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2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3.xml" ContentType="application/vnd.openxmlformats-officedocument.drawing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drawings/drawing4.xml" ContentType="application/vnd.openxmlformats-officedocument.drawing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18020" windowHeight="16800" activeTab="5"/>
  </bookViews>
  <sheets>
    <sheet name="V.Poor" sheetId="12" r:id="rId1"/>
    <sheet name="Poor" sheetId="1" r:id="rId2"/>
    <sheet name="Middle" sheetId="7" r:id="rId3"/>
    <sheet name="Rich" sheetId="8" r:id="rId4"/>
    <sheet name="Food" sheetId="10" r:id="rId5"/>
    <sheet name="Income" sheetId="9" r:id="rId6"/>
    <sheet name="Expenditure" sheetId="11" r:id="rId7"/>
    <sheet name="Percentiles" sheetId="13" r:id="rId8"/>
  </sheets>
  <definedNames>
    <definedName name="_xlnm.Print_Area" localSheetId="2">Middle!$A$1:$M$132</definedName>
    <definedName name="_xlnm.Print_Area" localSheetId="1">Poor!$A$1:$AK$86</definedName>
    <definedName name="_xlnm.Print_Area" localSheetId="3">Rich!$A$1:$M$132</definedName>
    <definedName name="_xlnm.Print_Area" localSheetId="0">V.Poor!$A$1:$M$132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51" i="1" l="1"/>
  <c r="E48" i="1"/>
  <c r="E47" i="1"/>
  <c r="E46" i="1"/>
  <c r="E45" i="1"/>
  <c r="E44" i="1"/>
  <c r="E43" i="1"/>
  <c r="E42" i="1"/>
  <c r="E41" i="1"/>
  <c r="B1" i="8"/>
  <c r="A1" i="8"/>
  <c r="B1" i="7"/>
  <c r="A1" i="7"/>
  <c r="B1" i="12"/>
  <c r="A1" i="12"/>
  <c r="B72" i="1"/>
  <c r="B71" i="1"/>
  <c r="B70" i="1"/>
  <c r="B32" i="7"/>
  <c r="B31" i="7"/>
  <c r="C32" i="7"/>
  <c r="D29" i="8"/>
  <c r="B83" i="8"/>
  <c r="G37" i="7"/>
  <c r="G37" i="8"/>
  <c r="H83" i="8"/>
  <c r="I83" i="8"/>
  <c r="F70" i="7"/>
  <c r="F70" i="8"/>
  <c r="H70" i="8"/>
  <c r="F71" i="7"/>
  <c r="F71" i="8"/>
  <c r="H71" i="8"/>
  <c r="F72" i="7"/>
  <c r="F72" i="8"/>
  <c r="H72" i="8"/>
  <c r="T26" i="8"/>
  <c r="D6" i="8"/>
  <c r="E6" i="7"/>
  <c r="E6" i="8"/>
  <c r="H6" i="8"/>
  <c r="I6" i="8"/>
  <c r="D7" i="8"/>
  <c r="E7" i="7"/>
  <c r="E7" i="8"/>
  <c r="H7" i="8"/>
  <c r="I7" i="8"/>
  <c r="D8" i="8"/>
  <c r="E8" i="7"/>
  <c r="E8" i="8"/>
  <c r="H8" i="8"/>
  <c r="I8" i="8"/>
  <c r="D9" i="8"/>
  <c r="I9" i="8"/>
  <c r="D10" i="8"/>
  <c r="I10" i="8"/>
  <c r="D11" i="8"/>
  <c r="E11" i="7"/>
  <c r="E11" i="8"/>
  <c r="H11" i="8"/>
  <c r="I11" i="8"/>
  <c r="D12" i="8"/>
  <c r="E12" i="7"/>
  <c r="E12" i="8"/>
  <c r="H12" i="8"/>
  <c r="I12" i="8"/>
  <c r="D13" i="8"/>
  <c r="I13" i="8"/>
  <c r="D14" i="8"/>
  <c r="I14" i="8"/>
  <c r="D15" i="8"/>
  <c r="I15" i="8"/>
  <c r="D16" i="8"/>
  <c r="I16" i="8"/>
  <c r="D17" i="8"/>
  <c r="I17" i="8"/>
  <c r="D18" i="8"/>
  <c r="I18" i="8"/>
  <c r="D19" i="8"/>
  <c r="I19" i="8"/>
  <c r="D20" i="8"/>
  <c r="I20" i="8"/>
  <c r="D21" i="8"/>
  <c r="I21" i="8"/>
  <c r="D22" i="8"/>
  <c r="I22" i="8"/>
  <c r="D23" i="8"/>
  <c r="I23" i="8"/>
  <c r="D24" i="8"/>
  <c r="I24" i="8"/>
  <c r="D25" i="8"/>
  <c r="I25" i="8"/>
  <c r="D26" i="8"/>
  <c r="I26" i="8"/>
  <c r="D27" i="8"/>
  <c r="I27" i="8"/>
  <c r="D28" i="8"/>
  <c r="I28" i="8"/>
  <c r="I29" i="8"/>
  <c r="B91" i="8"/>
  <c r="C91" i="8"/>
  <c r="D91" i="8"/>
  <c r="E37" i="7"/>
  <c r="E37" i="8"/>
  <c r="F37" i="7"/>
  <c r="F37" i="8"/>
  <c r="H91" i="8"/>
  <c r="I91" i="8"/>
  <c r="B92" i="8"/>
  <c r="C92" i="8"/>
  <c r="D92" i="8"/>
  <c r="E38" i="7"/>
  <c r="E38" i="8"/>
  <c r="G38" i="8"/>
  <c r="F38" i="7"/>
  <c r="F38" i="8"/>
  <c r="H92" i="8"/>
  <c r="I92" i="8"/>
  <c r="B93" i="8"/>
  <c r="C93" i="8"/>
  <c r="D93" i="8"/>
  <c r="E39" i="7"/>
  <c r="E39" i="8"/>
  <c r="G39" i="8"/>
  <c r="F39" i="7"/>
  <c r="F39" i="8"/>
  <c r="H93" i="8"/>
  <c r="I93" i="8"/>
  <c r="B94" i="8"/>
  <c r="C94" i="8"/>
  <c r="D94" i="8"/>
  <c r="E40" i="7"/>
  <c r="E40" i="8"/>
  <c r="G40" i="8"/>
  <c r="F40" i="7"/>
  <c r="F40" i="8"/>
  <c r="H94" i="8"/>
  <c r="I94" i="8"/>
  <c r="B95" i="8"/>
  <c r="C95" i="8"/>
  <c r="D95" i="8"/>
  <c r="E41" i="7"/>
  <c r="E41" i="8"/>
  <c r="G41" i="8"/>
  <c r="F41" i="7"/>
  <c r="F41" i="8"/>
  <c r="H95" i="8"/>
  <c r="I95" i="8"/>
  <c r="B96" i="8"/>
  <c r="C96" i="8"/>
  <c r="D96" i="8"/>
  <c r="E42" i="7"/>
  <c r="E42" i="8"/>
  <c r="G42" i="8"/>
  <c r="F42" i="7"/>
  <c r="F42" i="8"/>
  <c r="H96" i="8"/>
  <c r="I96" i="8"/>
  <c r="B97" i="8"/>
  <c r="C97" i="8"/>
  <c r="D97" i="8"/>
  <c r="E43" i="7"/>
  <c r="E43" i="8"/>
  <c r="G43" i="8"/>
  <c r="F43" i="7"/>
  <c r="F43" i="8"/>
  <c r="H97" i="8"/>
  <c r="I97" i="8"/>
  <c r="B98" i="8"/>
  <c r="C98" i="8"/>
  <c r="D98" i="8"/>
  <c r="E44" i="7"/>
  <c r="E44" i="8"/>
  <c r="G44" i="8"/>
  <c r="F44" i="7"/>
  <c r="F44" i="8"/>
  <c r="H98" i="8"/>
  <c r="I98" i="8"/>
  <c r="B99" i="8"/>
  <c r="C99" i="8"/>
  <c r="D99" i="8"/>
  <c r="E45" i="7"/>
  <c r="E45" i="8"/>
  <c r="G45" i="8"/>
  <c r="F45" i="7"/>
  <c r="F45" i="8"/>
  <c r="H99" i="8"/>
  <c r="I99" i="8"/>
  <c r="B100" i="8"/>
  <c r="C100" i="8"/>
  <c r="D100" i="8"/>
  <c r="E46" i="7"/>
  <c r="E46" i="8"/>
  <c r="G46" i="8"/>
  <c r="F46" i="7"/>
  <c r="F46" i="8"/>
  <c r="H100" i="8"/>
  <c r="I100" i="8"/>
  <c r="B101" i="8"/>
  <c r="C101" i="8"/>
  <c r="D101" i="8"/>
  <c r="E47" i="7"/>
  <c r="E47" i="8"/>
  <c r="G47" i="8"/>
  <c r="F47" i="7"/>
  <c r="F47" i="8"/>
  <c r="H101" i="8"/>
  <c r="I101" i="8"/>
  <c r="B102" i="8"/>
  <c r="C102" i="8"/>
  <c r="D102" i="8"/>
  <c r="E48" i="7"/>
  <c r="E48" i="8"/>
  <c r="G48" i="8"/>
  <c r="F48" i="7"/>
  <c r="F48" i="8"/>
  <c r="H102" i="8"/>
  <c r="I102" i="8"/>
  <c r="B103" i="8"/>
  <c r="C103" i="8"/>
  <c r="D103" i="8"/>
  <c r="G49" i="8"/>
  <c r="F49" i="7"/>
  <c r="F49" i="8"/>
  <c r="H103" i="8"/>
  <c r="I103" i="8"/>
  <c r="B104" i="8"/>
  <c r="C104" i="8"/>
  <c r="D104" i="8"/>
  <c r="G50" i="8"/>
  <c r="F50" i="7"/>
  <c r="F50" i="8"/>
  <c r="H104" i="8"/>
  <c r="I104" i="8"/>
  <c r="B105" i="8"/>
  <c r="C105" i="8"/>
  <c r="D105" i="8"/>
  <c r="E51" i="7"/>
  <c r="E51" i="8"/>
  <c r="G51" i="8"/>
  <c r="F51" i="7"/>
  <c r="F51" i="8"/>
  <c r="H105" i="8"/>
  <c r="I105" i="8"/>
  <c r="B106" i="8"/>
  <c r="C106" i="8"/>
  <c r="D106" i="8"/>
  <c r="G52" i="8"/>
  <c r="F52" i="7"/>
  <c r="F52" i="8"/>
  <c r="H106" i="8"/>
  <c r="I106" i="8"/>
  <c r="B107" i="8"/>
  <c r="C107" i="8"/>
  <c r="D107" i="8"/>
  <c r="G53" i="8"/>
  <c r="F53" i="7"/>
  <c r="F53" i="8"/>
  <c r="H107" i="8"/>
  <c r="I107" i="8"/>
  <c r="B108" i="8"/>
  <c r="C108" i="8"/>
  <c r="D108" i="8"/>
  <c r="G54" i="8"/>
  <c r="F54" i="7"/>
  <c r="F54" i="8"/>
  <c r="H108" i="8"/>
  <c r="I108" i="8"/>
  <c r="B109" i="8"/>
  <c r="C109" i="8"/>
  <c r="D109" i="8"/>
  <c r="G55" i="8"/>
  <c r="F55" i="7"/>
  <c r="F55" i="8"/>
  <c r="H109" i="8"/>
  <c r="I109" i="8"/>
  <c r="B110" i="8"/>
  <c r="C110" i="8"/>
  <c r="D110" i="8"/>
  <c r="G56" i="8"/>
  <c r="F56" i="7"/>
  <c r="F56" i="8"/>
  <c r="H110" i="8"/>
  <c r="I110" i="8"/>
  <c r="B111" i="8"/>
  <c r="C111" i="8"/>
  <c r="D111" i="8"/>
  <c r="E57" i="7"/>
  <c r="E57" i="8"/>
  <c r="G57" i="8"/>
  <c r="F57" i="7"/>
  <c r="F57" i="8"/>
  <c r="H111" i="8"/>
  <c r="I111" i="8"/>
  <c r="B112" i="8"/>
  <c r="C112" i="8"/>
  <c r="D112" i="8"/>
  <c r="E58" i="7"/>
  <c r="E58" i="8"/>
  <c r="G58" i="8"/>
  <c r="F58" i="7"/>
  <c r="F58" i="8"/>
  <c r="H112" i="8"/>
  <c r="I112" i="8"/>
  <c r="B113" i="8"/>
  <c r="C113" i="8"/>
  <c r="D113" i="8"/>
  <c r="E59" i="7"/>
  <c r="E59" i="8"/>
  <c r="G59" i="8"/>
  <c r="H113" i="8"/>
  <c r="I113" i="8"/>
  <c r="B114" i="8"/>
  <c r="C114" i="8"/>
  <c r="D114" i="8"/>
  <c r="E60" i="7"/>
  <c r="E60" i="8"/>
  <c r="G60" i="8"/>
  <c r="F60" i="7"/>
  <c r="F60" i="8"/>
  <c r="H114" i="8"/>
  <c r="I114" i="8"/>
  <c r="B115" i="8"/>
  <c r="C115" i="8"/>
  <c r="D115" i="8"/>
  <c r="G61" i="8"/>
  <c r="F61" i="7"/>
  <c r="F61" i="8"/>
  <c r="E61" i="7"/>
  <c r="E61" i="8"/>
  <c r="H115" i="8"/>
  <c r="I115" i="8"/>
  <c r="B116" i="8"/>
  <c r="C116" i="8"/>
  <c r="D116" i="8"/>
  <c r="G62" i="8"/>
  <c r="F62" i="7"/>
  <c r="F62" i="8"/>
  <c r="H116" i="8"/>
  <c r="I116" i="8"/>
  <c r="B117" i="8"/>
  <c r="C117" i="8"/>
  <c r="D117" i="8"/>
  <c r="G63" i="8"/>
  <c r="H117" i="8"/>
  <c r="I117" i="8"/>
  <c r="B118" i="8"/>
  <c r="C118" i="8"/>
  <c r="D118" i="8"/>
  <c r="G64" i="8"/>
  <c r="F64" i="7"/>
  <c r="F64" i="8"/>
  <c r="H118" i="8"/>
  <c r="I118" i="8"/>
  <c r="I119" i="8"/>
  <c r="B124" i="8"/>
  <c r="H124" i="8"/>
  <c r="I124" i="8"/>
  <c r="I30" i="8"/>
  <c r="I32" i="8"/>
  <c r="B125" i="8"/>
  <c r="I128" i="8"/>
  <c r="H125" i="8"/>
  <c r="I131" i="8"/>
  <c r="B127" i="8"/>
  <c r="K127" i="8"/>
  <c r="K6" i="8"/>
  <c r="L6" i="8"/>
  <c r="K7" i="8"/>
  <c r="L7" i="8"/>
  <c r="K8" i="8"/>
  <c r="L8" i="8"/>
  <c r="K9" i="8"/>
  <c r="L9" i="8"/>
  <c r="K10" i="8"/>
  <c r="L10" i="8"/>
  <c r="K11" i="8"/>
  <c r="L11" i="8"/>
  <c r="K12" i="8"/>
  <c r="L12" i="8"/>
  <c r="K13" i="8"/>
  <c r="L13" i="8"/>
  <c r="K14" i="8"/>
  <c r="L14" i="8"/>
  <c r="K15" i="8"/>
  <c r="L15" i="8"/>
  <c r="K16" i="8"/>
  <c r="L16" i="8"/>
  <c r="K17" i="8"/>
  <c r="L17" i="8"/>
  <c r="K18" i="8"/>
  <c r="L18" i="8"/>
  <c r="K19" i="8"/>
  <c r="L19" i="8"/>
  <c r="K20" i="8"/>
  <c r="L20" i="8"/>
  <c r="K21" i="8"/>
  <c r="L21" i="8"/>
  <c r="K22" i="8"/>
  <c r="L22" i="8"/>
  <c r="K23" i="8"/>
  <c r="L23" i="8"/>
  <c r="K24" i="8"/>
  <c r="L24" i="8"/>
  <c r="K25" i="8"/>
  <c r="L25" i="8"/>
  <c r="K26" i="8"/>
  <c r="L26" i="8"/>
  <c r="K27" i="8"/>
  <c r="L27" i="8"/>
  <c r="K28" i="8"/>
  <c r="L28" i="8"/>
  <c r="K29" i="8"/>
  <c r="L29" i="8"/>
  <c r="K91" i="8"/>
  <c r="L91" i="8"/>
  <c r="K92" i="8"/>
  <c r="L92" i="8"/>
  <c r="K93" i="8"/>
  <c r="L93" i="8"/>
  <c r="K94" i="8"/>
  <c r="L94" i="8"/>
  <c r="K95" i="8"/>
  <c r="L95" i="8"/>
  <c r="K96" i="8"/>
  <c r="L96" i="8"/>
  <c r="K97" i="8"/>
  <c r="L97" i="8"/>
  <c r="K98" i="8"/>
  <c r="L98" i="8"/>
  <c r="K99" i="8"/>
  <c r="L99" i="8"/>
  <c r="K100" i="8"/>
  <c r="L100" i="8"/>
  <c r="K101" i="8"/>
  <c r="L101" i="8"/>
  <c r="K102" i="8"/>
  <c r="L102" i="8"/>
  <c r="K103" i="8"/>
  <c r="L103" i="8"/>
  <c r="K104" i="8"/>
  <c r="L104" i="8"/>
  <c r="K105" i="8"/>
  <c r="L105" i="8"/>
  <c r="K106" i="8"/>
  <c r="L106" i="8"/>
  <c r="K107" i="8"/>
  <c r="L107" i="8"/>
  <c r="K108" i="8"/>
  <c r="L108" i="8"/>
  <c r="K109" i="8"/>
  <c r="L109" i="8"/>
  <c r="K110" i="8"/>
  <c r="L110" i="8"/>
  <c r="K111" i="8"/>
  <c r="L111" i="8"/>
  <c r="K112" i="8"/>
  <c r="L112" i="8"/>
  <c r="K113" i="8"/>
  <c r="L113" i="8"/>
  <c r="K114" i="8"/>
  <c r="L114" i="8"/>
  <c r="K115" i="8"/>
  <c r="L115" i="8"/>
  <c r="K116" i="8"/>
  <c r="L116" i="8"/>
  <c r="K117" i="8"/>
  <c r="L117" i="8"/>
  <c r="K118" i="8"/>
  <c r="L118" i="8"/>
  <c r="L119" i="8"/>
  <c r="L124" i="8"/>
  <c r="K30" i="8"/>
  <c r="B119" i="8"/>
  <c r="L30" i="8"/>
  <c r="L32" i="8"/>
  <c r="B126" i="8"/>
  <c r="B128" i="8"/>
  <c r="K128" i="8"/>
  <c r="L128" i="8"/>
  <c r="H126" i="8"/>
  <c r="F73" i="7"/>
  <c r="F73" i="8"/>
  <c r="H127" i="8"/>
  <c r="L127" i="8"/>
  <c r="J33" i="8"/>
  <c r="J8" i="8"/>
  <c r="M8" i="8"/>
  <c r="J9" i="8"/>
  <c r="M9" i="8"/>
  <c r="J10" i="8"/>
  <c r="M10" i="8"/>
  <c r="J11" i="8"/>
  <c r="M11" i="8"/>
  <c r="J6" i="8"/>
  <c r="M6" i="8"/>
  <c r="J7" i="8"/>
  <c r="M7" i="8"/>
  <c r="J12" i="8"/>
  <c r="M12" i="8"/>
  <c r="J13" i="8"/>
  <c r="M13" i="8"/>
  <c r="J14" i="8"/>
  <c r="M14" i="8"/>
  <c r="J15" i="8"/>
  <c r="M15" i="8"/>
  <c r="J16" i="8"/>
  <c r="M16" i="8"/>
  <c r="J17" i="8"/>
  <c r="M17" i="8"/>
  <c r="J18" i="8"/>
  <c r="M18" i="8"/>
  <c r="J19" i="8"/>
  <c r="M19" i="8"/>
  <c r="J20" i="8"/>
  <c r="M20" i="8"/>
  <c r="J21" i="8"/>
  <c r="M21" i="8"/>
  <c r="J22" i="8"/>
  <c r="M22" i="8"/>
  <c r="J23" i="8"/>
  <c r="M23" i="8"/>
  <c r="J24" i="8"/>
  <c r="M24" i="8"/>
  <c r="J25" i="8"/>
  <c r="M25" i="8"/>
  <c r="J26" i="8"/>
  <c r="M26" i="8"/>
  <c r="J27" i="8"/>
  <c r="M27" i="8"/>
  <c r="J28" i="8"/>
  <c r="M28" i="8"/>
  <c r="T7" i="8"/>
  <c r="J94" i="8"/>
  <c r="M94" i="8"/>
  <c r="J95" i="8"/>
  <c r="M95" i="8"/>
  <c r="J96" i="8"/>
  <c r="M96" i="8"/>
  <c r="J97" i="8"/>
  <c r="M97" i="8"/>
  <c r="J91" i="8"/>
  <c r="M91" i="8"/>
  <c r="J92" i="8"/>
  <c r="M92" i="8"/>
  <c r="J93" i="8"/>
  <c r="M93" i="8"/>
  <c r="J98" i="8"/>
  <c r="M98" i="8"/>
  <c r="J99" i="8"/>
  <c r="M99" i="8"/>
  <c r="J100" i="8"/>
  <c r="M100" i="8"/>
  <c r="J101" i="8"/>
  <c r="M101" i="8"/>
  <c r="J102" i="8"/>
  <c r="M102" i="8"/>
  <c r="J103" i="8"/>
  <c r="M103" i="8"/>
  <c r="J104" i="8"/>
  <c r="M104" i="8"/>
  <c r="J105" i="8"/>
  <c r="M105" i="8"/>
  <c r="J106" i="8"/>
  <c r="M106" i="8"/>
  <c r="J107" i="8"/>
  <c r="M107" i="8"/>
  <c r="J108" i="8"/>
  <c r="M108" i="8"/>
  <c r="J109" i="8"/>
  <c r="M109" i="8"/>
  <c r="J110" i="8"/>
  <c r="M110" i="8"/>
  <c r="J111" i="8"/>
  <c r="M111" i="8"/>
  <c r="J112" i="8"/>
  <c r="M112" i="8"/>
  <c r="J113" i="8"/>
  <c r="M113" i="8"/>
  <c r="J114" i="8"/>
  <c r="M114" i="8"/>
  <c r="J115" i="8"/>
  <c r="M115" i="8"/>
  <c r="J116" i="8"/>
  <c r="M116" i="8"/>
  <c r="J117" i="8"/>
  <c r="M117" i="8"/>
  <c r="J118" i="8"/>
  <c r="M118" i="8"/>
  <c r="T8" i="8"/>
  <c r="T9" i="8"/>
  <c r="T10" i="8"/>
  <c r="T11" i="8"/>
  <c r="T12" i="8"/>
  <c r="T13" i="8"/>
  <c r="T14" i="8"/>
  <c r="T15" i="8"/>
  <c r="T16" i="8"/>
  <c r="T17" i="8"/>
  <c r="T18" i="8"/>
  <c r="T19" i="8"/>
  <c r="T20" i="8"/>
  <c r="T21" i="8"/>
  <c r="T22" i="8"/>
  <c r="T23" i="8"/>
  <c r="T32" i="8"/>
  <c r="S26" i="8"/>
  <c r="S7" i="8"/>
  <c r="S8" i="8"/>
  <c r="S9" i="8"/>
  <c r="S10" i="8"/>
  <c r="S11" i="8"/>
  <c r="S12" i="8"/>
  <c r="S13" i="8"/>
  <c r="S14" i="8"/>
  <c r="S15" i="8"/>
  <c r="S16" i="8"/>
  <c r="S17" i="8"/>
  <c r="S18" i="8"/>
  <c r="S19" i="8"/>
  <c r="S20" i="8"/>
  <c r="S21" i="8"/>
  <c r="S22" i="8"/>
  <c r="S23" i="8"/>
  <c r="S32" i="8"/>
  <c r="R26" i="8"/>
  <c r="B84" i="8"/>
  <c r="I84" i="8"/>
  <c r="H84" i="8"/>
  <c r="R7" i="8"/>
  <c r="R8" i="8"/>
  <c r="R9" i="8"/>
  <c r="R10" i="8"/>
  <c r="R11" i="8"/>
  <c r="R12" i="8"/>
  <c r="R13" i="8"/>
  <c r="R14" i="8"/>
  <c r="R15" i="8"/>
  <c r="R16" i="8"/>
  <c r="R17" i="8"/>
  <c r="R18" i="8"/>
  <c r="R19" i="8"/>
  <c r="R20" i="8"/>
  <c r="R21" i="8"/>
  <c r="R22" i="8"/>
  <c r="R23" i="8"/>
  <c r="R32" i="8"/>
  <c r="T25" i="8"/>
  <c r="T31" i="8"/>
  <c r="S25" i="8"/>
  <c r="S31" i="8"/>
  <c r="R25" i="8"/>
  <c r="R31" i="8"/>
  <c r="T24" i="8"/>
  <c r="T30" i="8"/>
  <c r="S24" i="8"/>
  <c r="S30" i="8"/>
  <c r="R24" i="8"/>
  <c r="R30" i="8"/>
  <c r="D29" i="7"/>
  <c r="B83" i="7"/>
  <c r="H83" i="7"/>
  <c r="I83" i="7"/>
  <c r="H70" i="7"/>
  <c r="H71" i="7"/>
  <c r="H72" i="7"/>
  <c r="T26" i="7"/>
  <c r="D6" i="7"/>
  <c r="H6" i="7"/>
  <c r="I6" i="7"/>
  <c r="D7" i="7"/>
  <c r="H7" i="7"/>
  <c r="I7" i="7"/>
  <c r="D8" i="7"/>
  <c r="H8" i="7"/>
  <c r="I8" i="7"/>
  <c r="D9" i="7"/>
  <c r="I9" i="7"/>
  <c r="D10" i="7"/>
  <c r="I10" i="7"/>
  <c r="D11" i="7"/>
  <c r="H11" i="7"/>
  <c r="I11" i="7"/>
  <c r="D12" i="7"/>
  <c r="H12" i="7"/>
  <c r="I12" i="7"/>
  <c r="D13" i="7"/>
  <c r="I13" i="7"/>
  <c r="D14" i="7"/>
  <c r="I14" i="7"/>
  <c r="D15" i="7"/>
  <c r="I15" i="7"/>
  <c r="D16" i="7"/>
  <c r="I16" i="7"/>
  <c r="D17" i="7"/>
  <c r="I17" i="7"/>
  <c r="D18" i="7"/>
  <c r="I18" i="7"/>
  <c r="D19" i="7"/>
  <c r="I19" i="7"/>
  <c r="D20" i="7"/>
  <c r="I20" i="7"/>
  <c r="D21" i="7"/>
  <c r="I21" i="7"/>
  <c r="D22" i="7"/>
  <c r="I22" i="7"/>
  <c r="D23" i="7"/>
  <c r="I23" i="7"/>
  <c r="D24" i="7"/>
  <c r="I24" i="7"/>
  <c r="D25" i="7"/>
  <c r="I25" i="7"/>
  <c r="D26" i="7"/>
  <c r="I26" i="7"/>
  <c r="D27" i="7"/>
  <c r="I27" i="7"/>
  <c r="D28" i="7"/>
  <c r="I28" i="7"/>
  <c r="I29" i="7"/>
  <c r="B91" i="7"/>
  <c r="C91" i="7"/>
  <c r="D91" i="7"/>
  <c r="H91" i="7"/>
  <c r="I91" i="7"/>
  <c r="B92" i="7"/>
  <c r="C92" i="7"/>
  <c r="D92" i="7"/>
  <c r="G38" i="1"/>
  <c r="G38" i="7"/>
  <c r="H92" i="7"/>
  <c r="I92" i="7"/>
  <c r="B93" i="7"/>
  <c r="C93" i="7"/>
  <c r="D93" i="7"/>
  <c r="G39" i="1"/>
  <c r="G39" i="7"/>
  <c r="H93" i="7"/>
  <c r="I93" i="7"/>
  <c r="B94" i="7"/>
  <c r="C94" i="7"/>
  <c r="D94" i="7"/>
  <c r="G40" i="1"/>
  <c r="G40" i="7"/>
  <c r="H94" i="7"/>
  <c r="I94" i="7"/>
  <c r="B95" i="7"/>
  <c r="C95" i="7"/>
  <c r="D95" i="7"/>
  <c r="G41" i="1"/>
  <c r="G41" i="7"/>
  <c r="H95" i="7"/>
  <c r="I95" i="7"/>
  <c r="B96" i="7"/>
  <c r="C96" i="7"/>
  <c r="D96" i="7"/>
  <c r="G42" i="1"/>
  <c r="G42" i="7"/>
  <c r="H96" i="7"/>
  <c r="I96" i="7"/>
  <c r="B97" i="7"/>
  <c r="C97" i="7"/>
  <c r="D97" i="7"/>
  <c r="G43" i="1"/>
  <c r="G43" i="7"/>
  <c r="H97" i="7"/>
  <c r="I97" i="7"/>
  <c r="B98" i="7"/>
  <c r="C98" i="7"/>
  <c r="D98" i="7"/>
  <c r="G44" i="1"/>
  <c r="G44" i="7"/>
  <c r="H98" i="7"/>
  <c r="I98" i="7"/>
  <c r="B99" i="7"/>
  <c r="C99" i="7"/>
  <c r="D99" i="7"/>
  <c r="G45" i="1"/>
  <c r="G45" i="7"/>
  <c r="H99" i="7"/>
  <c r="I99" i="7"/>
  <c r="B100" i="7"/>
  <c r="C100" i="7"/>
  <c r="D100" i="7"/>
  <c r="G46" i="1"/>
  <c r="G46" i="7"/>
  <c r="H100" i="7"/>
  <c r="I100" i="7"/>
  <c r="B101" i="7"/>
  <c r="C101" i="7"/>
  <c r="D101" i="7"/>
  <c r="G47" i="1"/>
  <c r="G47" i="7"/>
  <c r="H101" i="7"/>
  <c r="I101" i="7"/>
  <c r="B102" i="7"/>
  <c r="C102" i="7"/>
  <c r="D102" i="7"/>
  <c r="G48" i="1"/>
  <c r="G48" i="7"/>
  <c r="H102" i="7"/>
  <c r="I102" i="7"/>
  <c r="B103" i="7"/>
  <c r="C103" i="7"/>
  <c r="D103" i="7"/>
  <c r="G49" i="1"/>
  <c r="G49" i="7"/>
  <c r="H103" i="7"/>
  <c r="I103" i="7"/>
  <c r="B104" i="7"/>
  <c r="C104" i="7"/>
  <c r="D104" i="7"/>
  <c r="G50" i="1"/>
  <c r="G50" i="7"/>
  <c r="H104" i="7"/>
  <c r="I104" i="7"/>
  <c r="B105" i="7"/>
  <c r="C105" i="7"/>
  <c r="D105" i="7"/>
  <c r="G51" i="1"/>
  <c r="G51" i="7"/>
  <c r="H105" i="7"/>
  <c r="I105" i="7"/>
  <c r="B106" i="7"/>
  <c r="C106" i="7"/>
  <c r="D106" i="7"/>
  <c r="G52" i="1"/>
  <c r="G52" i="7"/>
  <c r="H106" i="7"/>
  <c r="I106" i="7"/>
  <c r="B107" i="7"/>
  <c r="C107" i="7"/>
  <c r="D107" i="7"/>
  <c r="G53" i="1"/>
  <c r="G53" i="7"/>
  <c r="H107" i="7"/>
  <c r="I107" i="7"/>
  <c r="B108" i="7"/>
  <c r="C108" i="7"/>
  <c r="D108" i="7"/>
  <c r="G54" i="1"/>
  <c r="G54" i="7"/>
  <c r="H108" i="7"/>
  <c r="I108" i="7"/>
  <c r="B109" i="7"/>
  <c r="C109" i="7"/>
  <c r="D109" i="7"/>
  <c r="G55" i="1"/>
  <c r="G55" i="7"/>
  <c r="H109" i="7"/>
  <c r="I109" i="7"/>
  <c r="B110" i="7"/>
  <c r="C110" i="7"/>
  <c r="D110" i="7"/>
  <c r="G56" i="1"/>
  <c r="G56" i="7"/>
  <c r="H110" i="7"/>
  <c r="I110" i="7"/>
  <c r="B111" i="7"/>
  <c r="C111" i="7"/>
  <c r="D111" i="7"/>
  <c r="G57" i="1"/>
  <c r="G57" i="7"/>
  <c r="H111" i="7"/>
  <c r="I111" i="7"/>
  <c r="B112" i="7"/>
  <c r="C112" i="7"/>
  <c r="D112" i="7"/>
  <c r="G58" i="1"/>
  <c r="G58" i="7"/>
  <c r="H112" i="7"/>
  <c r="I112" i="7"/>
  <c r="B113" i="7"/>
  <c r="C113" i="7"/>
  <c r="D113" i="7"/>
  <c r="G59" i="1"/>
  <c r="G59" i="7"/>
  <c r="H113" i="7"/>
  <c r="I113" i="7"/>
  <c r="B114" i="7"/>
  <c r="C114" i="7"/>
  <c r="D114" i="7"/>
  <c r="G60" i="1"/>
  <c r="G60" i="7"/>
  <c r="H114" i="7"/>
  <c r="I114" i="7"/>
  <c r="B115" i="7"/>
  <c r="C115" i="7"/>
  <c r="D115" i="7"/>
  <c r="G61" i="1"/>
  <c r="G61" i="7"/>
  <c r="H115" i="7"/>
  <c r="I115" i="7"/>
  <c r="B116" i="7"/>
  <c r="C116" i="7"/>
  <c r="D116" i="7"/>
  <c r="G62" i="1"/>
  <c r="G62" i="7"/>
  <c r="H116" i="7"/>
  <c r="I116" i="7"/>
  <c r="B117" i="7"/>
  <c r="C117" i="7"/>
  <c r="D117" i="7"/>
  <c r="G63" i="1"/>
  <c r="G63" i="7"/>
  <c r="H117" i="7"/>
  <c r="I117" i="7"/>
  <c r="B118" i="7"/>
  <c r="C118" i="7"/>
  <c r="D118" i="7"/>
  <c r="G64" i="1"/>
  <c r="G64" i="7"/>
  <c r="H118" i="7"/>
  <c r="I118" i="7"/>
  <c r="I119" i="7"/>
  <c r="B124" i="7"/>
  <c r="H124" i="7"/>
  <c r="I124" i="7"/>
  <c r="I30" i="7"/>
  <c r="I32" i="7"/>
  <c r="B125" i="7"/>
  <c r="I128" i="7"/>
  <c r="H125" i="7"/>
  <c r="I131" i="7"/>
  <c r="B127" i="7"/>
  <c r="K127" i="7"/>
  <c r="K6" i="7"/>
  <c r="L6" i="7"/>
  <c r="K7" i="7"/>
  <c r="L7" i="7"/>
  <c r="K8" i="7"/>
  <c r="L8" i="7"/>
  <c r="K9" i="7"/>
  <c r="L9" i="7"/>
  <c r="K10" i="7"/>
  <c r="L10" i="7"/>
  <c r="K11" i="7"/>
  <c r="L11" i="7"/>
  <c r="K12" i="7"/>
  <c r="L12" i="7"/>
  <c r="K13" i="7"/>
  <c r="L13" i="7"/>
  <c r="K14" i="7"/>
  <c r="L14" i="7"/>
  <c r="K15" i="7"/>
  <c r="L15" i="7"/>
  <c r="K16" i="7"/>
  <c r="L16" i="7"/>
  <c r="K17" i="7"/>
  <c r="L17" i="7"/>
  <c r="K18" i="7"/>
  <c r="L18" i="7"/>
  <c r="K19" i="7"/>
  <c r="L19" i="7"/>
  <c r="K20" i="7"/>
  <c r="L20" i="7"/>
  <c r="K21" i="7"/>
  <c r="L21" i="7"/>
  <c r="K22" i="7"/>
  <c r="L22" i="7"/>
  <c r="K23" i="7"/>
  <c r="L23" i="7"/>
  <c r="K24" i="7"/>
  <c r="L24" i="7"/>
  <c r="K25" i="7"/>
  <c r="L25" i="7"/>
  <c r="K26" i="7"/>
  <c r="L26" i="7"/>
  <c r="K27" i="7"/>
  <c r="L27" i="7"/>
  <c r="K28" i="7"/>
  <c r="L28" i="7"/>
  <c r="K29" i="7"/>
  <c r="L29" i="7"/>
  <c r="K91" i="7"/>
  <c r="L91" i="7"/>
  <c r="K92" i="7"/>
  <c r="L92" i="7"/>
  <c r="K93" i="7"/>
  <c r="L93" i="7"/>
  <c r="K94" i="7"/>
  <c r="L94" i="7"/>
  <c r="K95" i="7"/>
  <c r="L95" i="7"/>
  <c r="K96" i="7"/>
  <c r="L96" i="7"/>
  <c r="K97" i="7"/>
  <c r="L97" i="7"/>
  <c r="K98" i="7"/>
  <c r="L98" i="7"/>
  <c r="K99" i="7"/>
  <c r="L99" i="7"/>
  <c r="K100" i="7"/>
  <c r="L100" i="7"/>
  <c r="K101" i="7"/>
  <c r="L101" i="7"/>
  <c r="K102" i="7"/>
  <c r="L102" i="7"/>
  <c r="K103" i="7"/>
  <c r="L103" i="7"/>
  <c r="K104" i="7"/>
  <c r="L104" i="7"/>
  <c r="K105" i="7"/>
  <c r="L105" i="7"/>
  <c r="K106" i="7"/>
  <c r="L106" i="7"/>
  <c r="K107" i="7"/>
  <c r="L107" i="7"/>
  <c r="K108" i="7"/>
  <c r="L108" i="7"/>
  <c r="K109" i="7"/>
  <c r="L109" i="7"/>
  <c r="K110" i="7"/>
  <c r="L110" i="7"/>
  <c r="K111" i="7"/>
  <c r="L111" i="7"/>
  <c r="K112" i="7"/>
  <c r="L112" i="7"/>
  <c r="K113" i="7"/>
  <c r="L113" i="7"/>
  <c r="K114" i="7"/>
  <c r="L114" i="7"/>
  <c r="K115" i="7"/>
  <c r="L115" i="7"/>
  <c r="K116" i="7"/>
  <c r="L116" i="7"/>
  <c r="K117" i="7"/>
  <c r="L117" i="7"/>
  <c r="K118" i="7"/>
  <c r="L118" i="7"/>
  <c r="L119" i="7"/>
  <c r="L124" i="7"/>
  <c r="K30" i="7"/>
  <c r="B119" i="7"/>
  <c r="L30" i="7"/>
  <c r="L32" i="7"/>
  <c r="B126" i="7"/>
  <c r="B128" i="7"/>
  <c r="K128" i="7"/>
  <c r="L128" i="7"/>
  <c r="H126" i="7"/>
  <c r="H127" i="7"/>
  <c r="L127" i="7"/>
  <c r="J33" i="7"/>
  <c r="J8" i="7"/>
  <c r="M8" i="7"/>
  <c r="J9" i="7"/>
  <c r="M9" i="7"/>
  <c r="J10" i="7"/>
  <c r="M10" i="7"/>
  <c r="J11" i="7"/>
  <c r="M11" i="7"/>
  <c r="J6" i="7"/>
  <c r="M6" i="7"/>
  <c r="J7" i="7"/>
  <c r="M7" i="7"/>
  <c r="J12" i="7"/>
  <c r="M12" i="7"/>
  <c r="J13" i="7"/>
  <c r="M13" i="7"/>
  <c r="J14" i="7"/>
  <c r="M14" i="7"/>
  <c r="J15" i="7"/>
  <c r="M15" i="7"/>
  <c r="J16" i="7"/>
  <c r="M16" i="7"/>
  <c r="J17" i="7"/>
  <c r="M17" i="7"/>
  <c r="J18" i="7"/>
  <c r="M18" i="7"/>
  <c r="J19" i="7"/>
  <c r="M19" i="7"/>
  <c r="J20" i="7"/>
  <c r="M20" i="7"/>
  <c r="J21" i="7"/>
  <c r="M21" i="7"/>
  <c r="J22" i="7"/>
  <c r="M22" i="7"/>
  <c r="J23" i="7"/>
  <c r="M23" i="7"/>
  <c r="J24" i="7"/>
  <c r="M24" i="7"/>
  <c r="J25" i="7"/>
  <c r="M25" i="7"/>
  <c r="J26" i="7"/>
  <c r="M26" i="7"/>
  <c r="J27" i="7"/>
  <c r="M27" i="7"/>
  <c r="J28" i="7"/>
  <c r="M28" i="7"/>
  <c r="T7" i="7"/>
  <c r="J94" i="7"/>
  <c r="M94" i="7"/>
  <c r="J95" i="7"/>
  <c r="M95" i="7"/>
  <c r="J96" i="7"/>
  <c r="M96" i="7"/>
  <c r="J97" i="7"/>
  <c r="M97" i="7"/>
  <c r="J91" i="7"/>
  <c r="M91" i="7"/>
  <c r="J92" i="7"/>
  <c r="M92" i="7"/>
  <c r="J93" i="7"/>
  <c r="M93" i="7"/>
  <c r="J98" i="7"/>
  <c r="M98" i="7"/>
  <c r="J99" i="7"/>
  <c r="M99" i="7"/>
  <c r="J100" i="7"/>
  <c r="M100" i="7"/>
  <c r="J101" i="7"/>
  <c r="M101" i="7"/>
  <c r="J102" i="7"/>
  <c r="M102" i="7"/>
  <c r="J103" i="7"/>
  <c r="M103" i="7"/>
  <c r="J104" i="7"/>
  <c r="M104" i="7"/>
  <c r="J105" i="7"/>
  <c r="M105" i="7"/>
  <c r="J106" i="7"/>
  <c r="M106" i="7"/>
  <c r="J107" i="7"/>
  <c r="M107" i="7"/>
  <c r="J108" i="7"/>
  <c r="M108" i="7"/>
  <c r="J109" i="7"/>
  <c r="M109" i="7"/>
  <c r="J110" i="7"/>
  <c r="M110" i="7"/>
  <c r="J111" i="7"/>
  <c r="M111" i="7"/>
  <c r="J112" i="7"/>
  <c r="M112" i="7"/>
  <c r="J113" i="7"/>
  <c r="M113" i="7"/>
  <c r="J114" i="7"/>
  <c r="M114" i="7"/>
  <c r="J115" i="7"/>
  <c r="M115" i="7"/>
  <c r="J116" i="7"/>
  <c r="M116" i="7"/>
  <c r="J117" i="7"/>
  <c r="M117" i="7"/>
  <c r="J118" i="7"/>
  <c r="M118" i="7"/>
  <c r="T8" i="7"/>
  <c r="T9" i="7"/>
  <c r="T10" i="7"/>
  <c r="T11" i="7"/>
  <c r="T12" i="7"/>
  <c r="T13" i="7"/>
  <c r="T14" i="7"/>
  <c r="T15" i="7"/>
  <c r="T16" i="7"/>
  <c r="T17" i="7"/>
  <c r="T18" i="7"/>
  <c r="T19" i="7"/>
  <c r="T20" i="7"/>
  <c r="T21" i="7"/>
  <c r="T22" i="7"/>
  <c r="T23" i="7"/>
  <c r="T32" i="7"/>
  <c r="S26" i="7"/>
  <c r="S7" i="7"/>
  <c r="S8" i="7"/>
  <c r="S9" i="7"/>
  <c r="S10" i="7"/>
  <c r="S11" i="7"/>
  <c r="S12" i="7"/>
  <c r="S13" i="7"/>
  <c r="S14" i="7"/>
  <c r="S15" i="7"/>
  <c r="S16" i="7"/>
  <c r="S17" i="7"/>
  <c r="S18" i="7"/>
  <c r="S19" i="7"/>
  <c r="S20" i="7"/>
  <c r="S21" i="7"/>
  <c r="S22" i="7"/>
  <c r="S23" i="7"/>
  <c r="S32" i="7"/>
  <c r="R26" i="7"/>
  <c r="B84" i="7"/>
  <c r="I84" i="7"/>
  <c r="H84" i="7"/>
  <c r="R7" i="7"/>
  <c r="R8" i="7"/>
  <c r="R9" i="7"/>
  <c r="R10" i="7"/>
  <c r="R11" i="7"/>
  <c r="R12" i="7"/>
  <c r="R13" i="7"/>
  <c r="R14" i="7"/>
  <c r="R15" i="7"/>
  <c r="R16" i="7"/>
  <c r="R17" i="7"/>
  <c r="R18" i="7"/>
  <c r="R19" i="7"/>
  <c r="R20" i="7"/>
  <c r="R21" i="7"/>
  <c r="R22" i="7"/>
  <c r="R23" i="7"/>
  <c r="R32" i="7"/>
  <c r="T25" i="7"/>
  <c r="T31" i="7"/>
  <c r="S25" i="7"/>
  <c r="S31" i="7"/>
  <c r="R25" i="7"/>
  <c r="R31" i="7"/>
  <c r="T24" i="7"/>
  <c r="T30" i="7"/>
  <c r="S24" i="7"/>
  <c r="S30" i="7"/>
  <c r="R24" i="7"/>
  <c r="R30" i="7"/>
  <c r="D29" i="1"/>
  <c r="B83" i="1"/>
  <c r="H83" i="1"/>
  <c r="I83" i="1"/>
  <c r="H70" i="1"/>
  <c r="H71" i="1"/>
  <c r="H72" i="1"/>
  <c r="T26" i="1"/>
  <c r="D6" i="1"/>
  <c r="H6" i="1"/>
  <c r="I6" i="1"/>
  <c r="D7" i="1"/>
  <c r="H7" i="1"/>
  <c r="I7" i="1"/>
  <c r="D8" i="1"/>
  <c r="H8" i="1"/>
  <c r="I8" i="1"/>
  <c r="D9" i="1"/>
  <c r="H9" i="1"/>
  <c r="I9" i="1"/>
  <c r="D10" i="1"/>
  <c r="H10" i="1"/>
  <c r="I10" i="1"/>
  <c r="D11" i="1"/>
  <c r="H11" i="1"/>
  <c r="I11" i="1"/>
  <c r="D12" i="1"/>
  <c r="H12" i="1"/>
  <c r="I12" i="1"/>
  <c r="D13" i="1"/>
  <c r="H13" i="1"/>
  <c r="I13" i="1"/>
  <c r="D14" i="1"/>
  <c r="H14" i="1"/>
  <c r="I14" i="1"/>
  <c r="D15" i="1"/>
  <c r="H15" i="1"/>
  <c r="I15" i="1"/>
  <c r="D16" i="1"/>
  <c r="H16" i="1"/>
  <c r="I16" i="1"/>
  <c r="D17" i="1"/>
  <c r="H17" i="1"/>
  <c r="I17" i="1"/>
  <c r="D18" i="1"/>
  <c r="H18" i="1"/>
  <c r="I18" i="1"/>
  <c r="D19" i="1"/>
  <c r="H19" i="1"/>
  <c r="I19" i="1"/>
  <c r="D20" i="1"/>
  <c r="H20" i="1"/>
  <c r="I20" i="1"/>
  <c r="D21" i="1"/>
  <c r="H21" i="1"/>
  <c r="I21" i="1"/>
  <c r="D22" i="1"/>
  <c r="H22" i="1"/>
  <c r="I22" i="1"/>
  <c r="D23" i="1"/>
  <c r="H23" i="1"/>
  <c r="I23" i="1"/>
  <c r="D24" i="1"/>
  <c r="H24" i="1"/>
  <c r="I24" i="1"/>
  <c r="D25" i="1"/>
  <c r="H25" i="1"/>
  <c r="I25" i="1"/>
  <c r="D26" i="1"/>
  <c r="H26" i="1"/>
  <c r="I26" i="1"/>
  <c r="D27" i="1"/>
  <c r="H27" i="1"/>
  <c r="I27" i="1"/>
  <c r="D28" i="1"/>
  <c r="H28" i="1"/>
  <c r="I28" i="1"/>
  <c r="H29" i="1"/>
  <c r="I29" i="1"/>
  <c r="B91" i="1"/>
  <c r="C91" i="1"/>
  <c r="D91" i="1"/>
  <c r="H91" i="1"/>
  <c r="I91" i="1"/>
  <c r="B92" i="1"/>
  <c r="C92" i="1"/>
  <c r="D92" i="1"/>
  <c r="H92" i="1"/>
  <c r="I92" i="1"/>
  <c r="B93" i="1"/>
  <c r="C93" i="1"/>
  <c r="D93" i="1"/>
  <c r="H93" i="1"/>
  <c r="I93" i="1"/>
  <c r="B94" i="1"/>
  <c r="C94" i="1"/>
  <c r="D94" i="1"/>
  <c r="H94" i="1"/>
  <c r="I94" i="1"/>
  <c r="B95" i="1"/>
  <c r="C95" i="1"/>
  <c r="D95" i="1"/>
  <c r="H95" i="1"/>
  <c r="I95" i="1"/>
  <c r="B96" i="1"/>
  <c r="C96" i="1"/>
  <c r="D96" i="1"/>
  <c r="H96" i="1"/>
  <c r="I96" i="1"/>
  <c r="B97" i="1"/>
  <c r="C97" i="1"/>
  <c r="D97" i="1"/>
  <c r="H97" i="1"/>
  <c r="I97" i="1"/>
  <c r="B98" i="1"/>
  <c r="C98" i="1"/>
  <c r="D98" i="1"/>
  <c r="H98" i="1"/>
  <c r="I98" i="1"/>
  <c r="B99" i="1"/>
  <c r="C99" i="1"/>
  <c r="D99" i="1"/>
  <c r="H99" i="1"/>
  <c r="I99" i="1"/>
  <c r="B100" i="1"/>
  <c r="C100" i="1"/>
  <c r="D100" i="1"/>
  <c r="H100" i="1"/>
  <c r="I100" i="1"/>
  <c r="B101" i="1"/>
  <c r="C101" i="1"/>
  <c r="D101" i="1"/>
  <c r="H101" i="1"/>
  <c r="I101" i="1"/>
  <c r="B102" i="1"/>
  <c r="C102" i="1"/>
  <c r="D102" i="1"/>
  <c r="H102" i="1"/>
  <c r="I102" i="1"/>
  <c r="B103" i="1"/>
  <c r="C103" i="1"/>
  <c r="D103" i="1"/>
  <c r="H103" i="1"/>
  <c r="I103" i="1"/>
  <c r="B104" i="1"/>
  <c r="C104" i="1"/>
  <c r="D104" i="1"/>
  <c r="H104" i="1"/>
  <c r="I104" i="1"/>
  <c r="B105" i="1"/>
  <c r="C105" i="1"/>
  <c r="D105" i="1"/>
  <c r="H105" i="1"/>
  <c r="I105" i="1"/>
  <c r="B106" i="1"/>
  <c r="C106" i="1"/>
  <c r="D106" i="1"/>
  <c r="H106" i="1"/>
  <c r="I106" i="1"/>
  <c r="B107" i="1"/>
  <c r="C107" i="1"/>
  <c r="D107" i="1"/>
  <c r="H107" i="1"/>
  <c r="I107" i="1"/>
  <c r="B108" i="1"/>
  <c r="C108" i="1"/>
  <c r="D108" i="1"/>
  <c r="H108" i="1"/>
  <c r="I108" i="1"/>
  <c r="B109" i="1"/>
  <c r="C109" i="1"/>
  <c r="D109" i="1"/>
  <c r="H109" i="1"/>
  <c r="I109" i="1"/>
  <c r="B110" i="1"/>
  <c r="C110" i="1"/>
  <c r="D110" i="1"/>
  <c r="H110" i="1"/>
  <c r="I110" i="1"/>
  <c r="B111" i="1"/>
  <c r="C111" i="1"/>
  <c r="D111" i="1"/>
  <c r="H111" i="1"/>
  <c r="I111" i="1"/>
  <c r="B112" i="1"/>
  <c r="C112" i="1"/>
  <c r="D112" i="1"/>
  <c r="H112" i="1"/>
  <c r="I112" i="1"/>
  <c r="B113" i="1"/>
  <c r="C113" i="1"/>
  <c r="D113" i="1"/>
  <c r="H113" i="1"/>
  <c r="I113" i="1"/>
  <c r="B114" i="1"/>
  <c r="C114" i="1"/>
  <c r="D114" i="1"/>
  <c r="H114" i="1"/>
  <c r="I114" i="1"/>
  <c r="B115" i="1"/>
  <c r="C115" i="1"/>
  <c r="D115" i="1"/>
  <c r="H115" i="1"/>
  <c r="I115" i="1"/>
  <c r="B116" i="1"/>
  <c r="C116" i="1"/>
  <c r="D116" i="1"/>
  <c r="H116" i="1"/>
  <c r="I116" i="1"/>
  <c r="B117" i="1"/>
  <c r="C117" i="1"/>
  <c r="D117" i="1"/>
  <c r="H117" i="1"/>
  <c r="I117" i="1"/>
  <c r="B118" i="1"/>
  <c r="C118" i="1"/>
  <c r="D118" i="1"/>
  <c r="H118" i="1"/>
  <c r="I118" i="1"/>
  <c r="I119" i="1"/>
  <c r="B124" i="1"/>
  <c r="H124" i="1"/>
  <c r="I124" i="1"/>
  <c r="I30" i="1"/>
  <c r="I32" i="1"/>
  <c r="B125" i="1"/>
  <c r="H125" i="1"/>
  <c r="I128" i="1"/>
  <c r="I131" i="1"/>
  <c r="B127" i="1"/>
  <c r="K127" i="1"/>
  <c r="H127" i="1"/>
  <c r="K6" i="1"/>
  <c r="L6" i="1"/>
  <c r="K7" i="1"/>
  <c r="L7" i="1"/>
  <c r="K8" i="1"/>
  <c r="L8" i="1"/>
  <c r="K9" i="1"/>
  <c r="L9" i="1"/>
  <c r="K10" i="1"/>
  <c r="L10" i="1"/>
  <c r="K11" i="1"/>
  <c r="L11" i="1"/>
  <c r="K12" i="1"/>
  <c r="L12" i="1"/>
  <c r="K13" i="1"/>
  <c r="L13" i="1"/>
  <c r="K14" i="1"/>
  <c r="L14" i="1"/>
  <c r="K15" i="1"/>
  <c r="L15" i="1"/>
  <c r="K16" i="1"/>
  <c r="L16" i="1"/>
  <c r="K17" i="1"/>
  <c r="L17" i="1"/>
  <c r="K18" i="1"/>
  <c r="L18" i="1"/>
  <c r="K19" i="1"/>
  <c r="L19" i="1"/>
  <c r="K20" i="1"/>
  <c r="L20" i="1"/>
  <c r="K21" i="1"/>
  <c r="L21" i="1"/>
  <c r="K22" i="1"/>
  <c r="L22" i="1"/>
  <c r="K23" i="1"/>
  <c r="L23" i="1"/>
  <c r="K24" i="1"/>
  <c r="L24" i="1"/>
  <c r="K25" i="1"/>
  <c r="L25" i="1"/>
  <c r="K26" i="1"/>
  <c r="L26" i="1"/>
  <c r="K27" i="1"/>
  <c r="L27" i="1"/>
  <c r="K28" i="1"/>
  <c r="L28" i="1"/>
  <c r="K29" i="1"/>
  <c r="L29" i="1"/>
  <c r="K91" i="1"/>
  <c r="L91" i="1"/>
  <c r="K92" i="1"/>
  <c r="L92" i="1"/>
  <c r="K93" i="1"/>
  <c r="L93" i="1"/>
  <c r="K94" i="1"/>
  <c r="L94" i="1"/>
  <c r="K95" i="1"/>
  <c r="L95" i="1"/>
  <c r="K96" i="1"/>
  <c r="L96" i="1"/>
  <c r="K97" i="1"/>
  <c r="L97" i="1"/>
  <c r="K98" i="1"/>
  <c r="L98" i="1"/>
  <c r="K99" i="1"/>
  <c r="L99" i="1"/>
  <c r="K100" i="1"/>
  <c r="L100" i="1"/>
  <c r="K101" i="1"/>
  <c r="L101" i="1"/>
  <c r="K102" i="1"/>
  <c r="L102" i="1"/>
  <c r="K103" i="1"/>
  <c r="L103" i="1"/>
  <c r="K104" i="1"/>
  <c r="L104" i="1"/>
  <c r="K105" i="1"/>
  <c r="L105" i="1"/>
  <c r="K106" i="1"/>
  <c r="L106" i="1"/>
  <c r="K107" i="1"/>
  <c r="L107" i="1"/>
  <c r="K108" i="1"/>
  <c r="L108" i="1"/>
  <c r="K109" i="1"/>
  <c r="L109" i="1"/>
  <c r="K110" i="1"/>
  <c r="L110" i="1"/>
  <c r="K111" i="1"/>
  <c r="L111" i="1"/>
  <c r="K112" i="1"/>
  <c r="L112" i="1"/>
  <c r="K113" i="1"/>
  <c r="L113" i="1"/>
  <c r="K114" i="1"/>
  <c r="L114" i="1"/>
  <c r="K115" i="1"/>
  <c r="L115" i="1"/>
  <c r="K116" i="1"/>
  <c r="L116" i="1"/>
  <c r="K117" i="1"/>
  <c r="L117" i="1"/>
  <c r="K118" i="1"/>
  <c r="L118" i="1"/>
  <c r="L119" i="1"/>
  <c r="L124" i="1"/>
  <c r="K30" i="1"/>
  <c r="B119" i="1"/>
  <c r="L30" i="1"/>
  <c r="L32" i="1"/>
  <c r="B126" i="1"/>
  <c r="H126" i="1"/>
  <c r="B128" i="1"/>
  <c r="K128" i="1"/>
  <c r="L128" i="1"/>
  <c r="L127" i="1"/>
  <c r="J33" i="1"/>
  <c r="J8" i="1"/>
  <c r="M8" i="1"/>
  <c r="J9" i="1"/>
  <c r="M9" i="1"/>
  <c r="J10" i="1"/>
  <c r="M10" i="1"/>
  <c r="J11" i="1"/>
  <c r="M11" i="1"/>
  <c r="J6" i="1"/>
  <c r="M6" i="1"/>
  <c r="J7" i="1"/>
  <c r="M7" i="1"/>
  <c r="J12" i="1"/>
  <c r="M12" i="1"/>
  <c r="J13" i="1"/>
  <c r="M13" i="1"/>
  <c r="J14" i="1"/>
  <c r="M14" i="1"/>
  <c r="J15" i="1"/>
  <c r="M15" i="1"/>
  <c r="J16" i="1"/>
  <c r="M16" i="1"/>
  <c r="J17" i="1"/>
  <c r="M17" i="1"/>
  <c r="J18" i="1"/>
  <c r="M18" i="1"/>
  <c r="J19" i="1"/>
  <c r="M19" i="1"/>
  <c r="J20" i="1"/>
  <c r="M20" i="1"/>
  <c r="J21" i="1"/>
  <c r="M21" i="1"/>
  <c r="J22" i="1"/>
  <c r="M22" i="1"/>
  <c r="J23" i="1"/>
  <c r="M23" i="1"/>
  <c r="J24" i="1"/>
  <c r="M24" i="1"/>
  <c r="J25" i="1"/>
  <c r="M25" i="1"/>
  <c r="J26" i="1"/>
  <c r="M26" i="1"/>
  <c r="J27" i="1"/>
  <c r="M27" i="1"/>
  <c r="J28" i="1"/>
  <c r="M28" i="1"/>
  <c r="T7" i="1"/>
  <c r="J94" i="1"/>
  <c r="M94" i="1"/>
  <c r="J95" i="1"/>
  <c r="M95" i="1"/>
  <c r="J96" i="1"/>
  <c r="M96" i="1"/>
  <c r="J97" i="1"/>
  <c r="M97" i="1"/>
  <c r="J91" i="1"/>
  <c r="M91" i="1"/>
  <c r="J92" i="1"/>
  <c r="M92" i="1"/>
  <c r="J93" i="1"/>
  <c r="M93" i="1"/>
  <c r="J98" i="1"/>
  <c r="M98" i="1"/>
  <c r="J99" i="1"/>
  <c r="M99" i="1"/>
  <c r="J100" i="1"/>
  <c r="M100" i="1"/>
  <c r="J101" i="1"/>
  <c r="M101" i="1"/>
  <c r="J102" i="1"/>
  <c r="M102" i="1"/>
  <c r="J103" i="1"/>
  <c r="M103" i="1"/>
  <c r="J104" i="1"/>
  <c r="M104" i="1"/>
  <c r="J105" i="1"/>
  <c r="M105" i="1"/>
  <c r="J106" i="1"/>
  <c r="M106" i="1"/>
  <c r="J107" i="1"/>
  <c r="M107" i="1"/>
  <c r="J108" i="1"/>
  <c r="M108" i="1"/>
  <c r="J109" i="1"/>
  <c r="M109" i="1"/>
  <c r="J110" i="1"/>
  <c r="M110" i="1"/>
  <c r="J111" i="1"/>
  <c r="M111" i="1"/>
  <c r="J112" i="1"/>
  <c r="M112" i="1"/>
  <c r="J113" i="1"/>
  <c r="M113" i="1"/>
  <c r="J114" i="1"/>
  <c r="M114" i="1"/>
  <c r="J115" i="1"/>
  <c r="M115" i="1"/>
  <c r="J116" i="1"/>
  <c r="M116" i="1"/>
  <c r="J117" i="1"/>
  <c r="M117" i="1"/>
  <c r="J118" i="1"/>
  <c r="M118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32" i="1"/>
  <c r="S2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32" i="1"/>
  <c r="R26" i="1"/>
  <c r="B84" i="1"/>
  <c r="I84" i="1"/>
  <c r="H84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32" i="1"/>
  <c r="T25" i="1"/>
  <c r="T31" i="1"/>
  <c r="S25" i="1"/>
  <c r="S31" i="1"/>
  <c r="R25" i="1"/>
  <c r="R31" i="1"/>
  <c r="T24" i="1"/>
  <c r="T30" i="1"/>
  <c r="S24" i="1"/>
  <c r="S30" i="1"/>
  <c r="R24" i="1"/>
  <c r="R30" i="1"/>
  <c r="B83" i="12"/>
  <c r="B94" i="12"/>
  <c r="K94" i="12"/>
  <c r="B95" i="12"/>
  <c r="K95" i="12"/>
  <c r="B96" i="12"/>
  <c r="K96" i="12"/>
  <c r="B97" i="12"/>
  <c r="K97" i="12"/>
  <c r="B91" i="12"/>
  <c r="K91" i="12"/>
  <c r="B92" i="12"/>
  <c r="K92" i="12"/>
  <c r="B93" i="12"/>
  <c r="K93" i="12"/>
  <c r="B98" i="12"/>
  <c r="K98" i="12"/>
  <c r="B99" i="12"/>
  <c r="K99" i="12"/>
  <c r="B100" i="12"/>
  <c r="K100" i="12"/>
  <c r="B101" i="12"/>
  <c r="K101" i="12"/>
  <c r="B102" i="12"/>
  <c r="K102" i="12"/>
  <c r="B103" i="12"/>
  <c r="K103" i="12"/>
  <c r="B104" i="12"/>
  <c r="K104" i="12"/>
  <c r="B105" i="12"/>
  <c r="K105" i="12"/>
  <c r="B106" i="12"/>
  <c r="K106" i="12"/>
  <c r="B107" i="12"/>
  <c r="K107" i="12"/>
  <c r="B108" i="12"/>
  <c r="K108" i="12"/>
  <c r="B109" i="12"/>
  <c r="K109" i="12"/>
  <c r="B110" i="12"/>
  <c r="K110" i="12"/>
  <c r="B111" i="12"/>
  <c r="K111" i="12"/>
  <c r="B112" i="12"/>
  <c r="K112" i="12"/>
  <c r="B113" i="12"/>
  <c r="K113" i="12"/>
  <c r="B114" i="12"/>
  <c r="K114" i="12"/>
  <c r="B115" i="12"/>
  <c r="K115" i="12"/>
  <c r="B116" i="12"/>
  <c r="K116" i="12"/>
  <c r="B117" i="12"/>
  <c r="K117" i="12"/>
  <c r="B118" i="12"/>
  <c r="K118" i="12"/>
  <c r="D29" i="12"/>
  <c r="B84" i="12"/>
  <c r="G37" i="12"/>
  <c r="H83" i="12"/>
  <c r="I83" i="12"/>
  <c r="F70" i="12"/>
  <c r="H70" i="12"/>
  <c r="I84" i="12"/>
  <c r="H84" i="12"/>
  <c r="R8" i="12"/>
  <c r="E40" i="12"/>
  <c r="G40" i="12"/>
  <c r="F40" i="12"/>
  <c r="H94" i="12"/>
  <c r="L94" i="12"/>
  <c r="E41" i="12"/>
  <c r="G41" i="12"/>
  <c r="F41" i="12"/>
  <c r="H95" i="12"/>
  <c r="L95" i="12"/>
  <c r="E42" i="12"/>
  <c r="G42" i="12"/>
  <c r="F42" i="12"/>
  <c r="H96" i="12"/>
  <c r="L96" i="12"/>
  <c r="E43" i="12"/>
  <c r="G43" i="12"/>
  <c r="F43" i="12"/>
  <c r="H97" i="12"/>
  <c r="L97" i="12"/>
  <c r="E37" i="12"/>
  <c r="F37" i="12"/>
  <c r="H91" i="12"/>
  <c r="L91" i="12"/>
  <c r="E38" i="12"/>
  <c r="G38" i="12"/>
  <c r="F38" i="12"/>
  <c r="H92" i="12"/>
  <c r="L92" i="12"/>
  <c r="E39" i="12"/>
  <c r="G39" i="12"/>
  <c r="F39" i="12"/>
  <c r="H93" i="12"/>
  <c r="L93" i="12"/>
  <c r="E44" i="12"/>
  <c r="G44" i="12"/>
  <c r="F44" i="12"/>
  <c r="H98" i="12"/>
  <c r="L98" i="12"/>
  <c r="E45" i="12"/>
  <c r="G45" i="12"/>
  <c r="F45" i="12"/>
  <c r="H99" i="12"/>
  <c r="L99" i="12"/>
  <c r="E46" i="12"/>
  <c r="G46" i="12"/>
  <c r="F46" i="12"/>
  <c r="H100" i="12"/>
  <c r="L100" i="12"/>
  <c r="E47" i="12"/>
  <c r="G47" i="12"/>
  <c r="F47" i="12"/>
  <c r="H101" i="12"/>
  <c r="L101" i="12"/>
  <c r="E48" i="12"/>
  <c r="G48" i="12"/>
  <c r="F48" i="12"/>
  <c r="H102" i="12"/>
  <c r="L102" i="12"/>
  <c r="G49" i="12"/>
  <c r="F49" i="12"/>
  <c r="H103" i="12"/>
  <c r="L103" i="12"/>
  <c r="G50" i="12"/>
  <c r="F50" i="12"/>
  <c r="H104" i="12"/>
  <c r="L104" i="12"/>
  <c r="E51" i="12"/>
  <c r="G51" i="12"/>
  <c r="F51" i="12"/>
  <c r="H105" i="12"/>
  <c r="L105" i="12"/>
  <c r="G52" i="12"/>
  <c r="F52" i="12"/>
  <c r="H106" i="12"/>
  <c r="L106" i="12"/>
  <c r="G53" i="12"/>
  <c r="F53" i="12"/>
  <c r="H107" i="12"/>
  <c r="L107" i="12"/>
  <c r="G54" i="12"/>
  <c r="F54" i="12"/>
  <c r="H108" i="12"/>
  <c r="L108" i="12"/>
  <c r="G55" i="12"/>
  <c r="F55" i="12"/>
  <c r="H109" i="12"/>
  <c r="L109" i="12"/>
  <c r="G56" i="12"/>
  <c r="F56" i="12"/>
  <c r="H110" i="12"/>
  <c r="L110" i="12"/>
  <c r="E57" i="12"/>
  <c r="G57" i="12"/>
  <c r="F57" i="12"/>
  <c r="H111" i="12"/>
  <c r="L111" i="12"/>
  <c r="E58" i="12"/>
  <c r="G58" i="12"/>
  <c r="F58" i="12"/>
  <c r="H112" i="12"/>
  <c r="L112" i="12"/>
  <c r="E59" i="12"/>
  <c r="G59" i="12"/>
  <c r="H113" i="12"/>
  <c r="L113" i="12"/>
  <c r="E60" i="12"/>
  <c r="G60" i="12"/>
  <c r="F60" i="12"/>
  <c r="H114" i="12"/>
  <c r="L114" i="12"/>
  <c r="G61" i="12"/>
  <c r="F61" i="12"/>
  <c r="E61" i="12"/>
  <c r="H115" i="12"/>
  <c r="L115" i="12"/>
  <c r="G62" i="12"/>
  <c r="F62" i="12"/>
  <c r="H116" i="12"/>
  <c r="L116" i="12"/>
  <c r="G63" i="12"/>
  <c r="H117" i="12"/>
  <c r="L117" i="12"/>
  <c r="G64" i="12"/>
  <c r="F64" i="12"/>
  <c r="H118" i="12"/>
  <c r="L118" i="12"/>
  <c r="S8" i="12"/>
  <c r="D6" i="12"/>
  <c r="E6" i="12"/>
  <c r="H6" i="12"/>
  <c r="I6" i="12"/>
  <c r="D7" i="12"/>
  <c r="E7" i="12"/>
  <c r="H7" i="12"/>
  <c r="I7" i="12"/>
  <c r="D8" i="12"/>
  <c r="E8" i="12"/>
  <c r="H8" i="12"/>
  <c r="I8" i="12"/>
  <c r="D9" i="12"/>
  <c r="I9" i="12"/>
  <c r="D10" i="12"/>
  <c r="I10" i="12"/>
  <c r="D11" i="12"/>
  <c r="E11" i="12"/>
  <c r="H11" i="12"/>
  <c r="I11" i="12"/>
  <c r="D12" i="12"/>
  <c r="E12" i="12"/>
  <c r="H12" i="12"/>
  <c r="I12" i="12"/>
  <c r="D13" i="12"/>
  <c r="I13" i="12"/>
  <c r="D14" i="12"/>
  <c r="I14" i="12"/>
  <c r="D15" i="12"/>
  <c r="I15" i="12"/>
  <c r="D16" i="12"/>
  <c r="I16" i="12"/>
  <c r="D17" i="12"/>
  <c r="I17" i="12"/>
  <c r="D18" i="12"/>
  <c r="I18" i="12"/>
  <c r="D19" i="12"/>
  <c r="I19" i="12"/>
  <c r="D20" i="12"/>
  <c r="I20" i="12"/>
  <c r="D21" i="12"/>
  <c r="I21" i="12"/>
  <c r="D22" i="12"/>
  <c r="I22" i="12"/>
  <c r="D23" i="12"/>
  <c r="I23" i="12"/>
  <c r="D24" i="12"/>
  <c r="I24" i="12"/>
  <c r="D25" i="12"/>
  <c r="I25" i="12"/>
  <c r="D26" i="12"/>
  <c r="I26" i="12"/>
  <c r="D27" i="12"/>
  <c r="I27" i="12"/>
  <c r="D28" i="12"/>
  <c r="I28" i="12"/>
  <c r="I29" i="12"/>
  <c r="C91" i="12"/>
  <c r="D91" i="12"/>
  <c r="I91" i="12"/>
  <c r="C92" i="12"/>
  <c r="D92" i="12"/>
  <c r="I92" i="12"/>
  <c r="C93" i="12"/>
  <c r="D93" i="12"/>
  <c r="I93" i="12"/>
  <c r="C94" i="12"/>
  <c r="D94" i="12"/>
  <c r="I94" i="12"/>
  <c r="C95" i="12"/>
  <c r="D95" i="12"/>
  <c r="I95" i="12"/>
  <c r="C96" i="12"/>
  <c r="D96" i="12"/>
  <c r="I96" i="12"/>
  <c r="C97" i="12"/>
  <c r="D97" i="12"/>
  <c r="I97" i="12"/>
  <c r="C98" i="12"/>
  <c r="D98" i="12"/>
  <c r="I98" i="12"/>
  <c r="C99" i="12"/>
  <c r="D99" i="12"/>
  <c r="I99" i="12"/>
  <c r="C100" i="12"/>
  <c r="D100" i="12"/>
  <c r="I100" i="12"/>
  <c r="C101" i="12"/>
  <c r="D101" i="12"/>
  <c r="I101" i="12"/>
  <c r="C102" i="12"/>
  <c r="D102" i="12"/>
  <c r="I102" i="12"/>
  <c r="C103" i="12"/>
  <c r="D103" i="12"/>
  <c r="I103" i="12"/>
  <c r="C104" i="12"/>
  <c r="D104" i="12"/>
  <c r="I104" i="12"/>
  <c r="C105" i="12"/>
  <c r="D105" i="12"/>
  <c r="I105" i="12"/>
  <c r="C106" i="12"/>
  <c r="D106" i="12"/>
  <c r="I106" i="12"/>
  <c r="C107" i="12"/>
  <c r="D107" i="12"/>
  <c r="I107" i="12"/>
  <c r="C108" i="12"/>
  <c r="D108" i="12"/>
  <c r="I108" i="12"/>
  <c r="C109" i="12"/>
  <c r="D109" i="12"/>
  <c r="I109" i="12"/>
  <c r="C110" i="12"/>
  <c r="D110" i="12"/>
  <c r="I110" i="12"/>
  <c r="C111" i="12"/>
  <c r="D111" i="12"/>
  <c r="I111" i="12"/>
  <c r="C112" i="12"/>
  <c r="D112" i="12"/>
  <c r="I112" i="12"/>
  <c r="C113" i="12"/>
  <c r="D113" i="12"/>
  <c r="I113" i="12"/>
  <c r="C114" i="12"/>
  <c r="D114" i="12"/>
  <c r="I114" i="12"/>
  <c r="C115" i="12"/>
  <c r="D115" i="12"/>
  <c r="I115" i="12"/>
  <c r="C116" i="12"/>
  <c r="D116" i="12"/>
  <c r="I116" i="12"/>
  <c r="C117" i="12"/>
  <c r="D117" i="12"/>
  <c r="I117" i="12"/>
  <c r="C118" i="12"/>
  <c r="D118" i="12"/>
  <c r="I118" i="12"/>
  <c r="I119" i="12"/>
  <c r="B124" i="12"/>
  <c r="H124" i="12"/>
  <c r="I124" i="12"/>
  <c r="I30" i="12"/>
  <c r="I32" i="12"/>
  <c r="B125" i="12"/>
  <c r="I128" i="12"/>
  <c r="F71" i="12"/>
  <c r="H125" i="12"/>
  <c r="I131" i="12"/>
  <c r="B127" i="12"/>
  <c r="K127" i="12"/>
  <c r="K6" i="12"/>
  <c r="L6" i="12"/>
  <c r="K7" i="12"/>
  <c r="L7" i="12"/>
  <c r="K8" i="12"/>
  <c r="L8" i="12"/>
  <c r="K9" i="12"/>
  <c r="L9" i="12"/>
  <c r="K10" i="12"/>
  <c r="L10" i="12"/>
  <c r="K11" i="12"/>
  <c r="L11" i="12"/>
  <c r="K12" i="12"/>
  <c r="L12" i="12"/>
  <c r="K13" i="12"/>
  <c r="L13" i="12"/>
  <c r="K14" i="12"/>
  <c r="L14" i="12"/>
  <c r="K15" i="12"/>
  <c r="L15" i="12"/>
  <c r="K16" i="12"/>
  <c r="L16" i="12"/>
  <c r="K17" i="12"/>
  <c r="L17" i="12"/>
  <c r="K18" i="12"/>
  <c r="L18" i="12"/>
  <c r="K19" i="12"/>
  <c r="L19" i="12"/>
  <c r="K20" i="12"/>
  <c r="L20" i="12"/>
  <c r="K21" i="12"/>
  <c r="L21" i="12"/>
  <c r="K22" i="12"/>
  <c r="L22" i="12"/>
  <c r="K23" i="12"/>
  <c r="L23" i="12"/>
  <c r="K24" i="12"/>
  <c r="L24" i="12"/>
  <c r="K25" i="12"/>
  <c r="L25" i="12"/>
  <c r="K26" i="12"/>
  <c r="L26" i="12"/>
  <c r="K27" i="12"/>
  <c r="L27" i="12"/>
  <c r="K28" i="12"/>
  <c r="L28" i="12"/>
  <c r="K29" i="12"/>
  <c r="L29" i="12"/>
  <c r="L119" i="12"/>
  <c r="L124" i="12"/>
  <c r="K30" i="12"/>
  <c r="B119" i="12"/>
  <c r="L30" i="12"/>
  <c r="L32" i="12"/>
  <c r="B126" i="12"/>
  <c r="B128" i="12"/>
  <c r="K128" i="12"/>
  <c r="L128" i="12"/>
  <c r="F72" i="12"/>
  <c r="H126" i="12"/>
  <c r="F73" i="12"/>
  <c r="H127" i="12"/>
  <c r="L127" i="12"/>
  <c r="J33" i="12"/>
  <c r="J94" i="12"/>
  <c r="M94" i="12"/>
  <c r="J95" i="12"/>
  <c r="M95" i="12"/>
  <c r="J96" i="12"/>
  <c r="M96" i="12"/>
  <c r="J97" i="12"/>
  <c r="M97" i="12"/>
  <c r="J91" i="12"/>
  <c r="M91" i="12"/>
  <c r="J92" i="12"/>
  <c r="M92" i="12"/>
  <c r="J93" i="12"/>
  <c r="M93" i="12"/>
  <c r="J98" i="12"/>
  <c r="M98" i="12"/>
  <c r="J99" i="12"/>
  <c r="M99" i="12"/>
  <c r="J100" i="12"/>
  <c r="M100" i="12"/>
  <c r="J101" i="12"/>
  <c r="M101" i="12"/>
  <c r="J102" i="12"/>
  <c r="M102" i="12"/>
  <c r="J103" i="12"/>
  <c r="M103" i="12"/>
  <c r="J104" i="12"/>
  <c r="M104" i="12"/>
  <c r="J105" i="12"/>
  <c r="M105" i="12"/>
  <c r="J106" i="12"/>
  <c r="M106" i="12"/>
  <c r="J107" i="12"/>
  <c r="M107" i="12"/>
  <c r="J108" i="12"/>
  <c r="M108" i="12"/>
  <c r="J109" i="12"/>
  <c r="M109" i="12"/>
  <c r="J110" i="12"/>
  <c r="M110" i="12"/>
  <c r="J111" i="12"/>
  <c r="M111" i="12"/>
  <c r="J112" i="12"/>
  <c r="M112" i="12"/>
  <c r="J113" i="12"/>
  <c r="M113" i="12"/>
  <c r="J114" i="12"/>
  <c r="M114" i="12"/>
  <c r="J115" i="12"/>
  <c r="M115" i="12"/>
  <c r="J116" i="12"/>
  <c r="M116" i="12"/>
  <c r="J117" i="12"/>
  <c r="M117" i="12"/>
  <c r="J118" i="12"/>
  <c r="M118" i="12"/>
  <c r="T8" i="12"/>
  <c r="R9" i="12"/>
  <c r="S9" i="12"/>
  <c r="J6" i="12"/>
  <c r="M6" i="12"/>
  <c r="J7" i="12"/>
  <c r="M7" i="12"/>
  <c r="J8" i="12"/>
  <c r="M8" i="12"/>
  <c r="T9" i="12"/>
  <c r="R10" i="12"/>
  <c r="S10" i="12"/>
  <c r="T10" i="12"/>
  <c r="R11" i="12"/>
  <c r="S11" i="12"/>
  <c r="T11" i="12"/>
  <c r="R12" i="12"/>
  <c r="S12" i="12"/>
  <c r="T12" i="12"/>
  <c r="R13" i="12"/>
  <c r="S13" i="12"/>
  <c r="J22" i="12"/>
  <c r="M22" i="12"/>
  <c r="J23" i="12"/>
  <c r="M23" i="12"/>
  <c r="T13" i="12"/>
  <c r="R14" i="12"/>
  <c r="S14" i="12"/>
  <c r="T14" i="12"/>
  <c r="R15" i="12"/>
  <c r="S15" i="12"/>
  <c r="T15" i="12"/>
  <c r="R16" i="12"/>
  <c r="S16" i="12"/>
  <c r="T16" i="12"/>
  <c r="R17" i="12"/>
  <c r="S17" i="12"/>
  <c r="T17" i="12"/>
  <c r="R18" i="12"/>
  <c r="S18" i="12"/>
  <c r="J26" i="12"/>
  <c r="M26" i="12"/>
  <c r="T18" i="12"/>
  <c r="R19" i="12"/>
  <c r="S19" i="12"/>
  <c r="J24" i="12"/>
  <c r="M24" i="12"/>
  <c r="J25" i="12"/>
  <c r="M25" i="12"/>
  <c r="T19" i="12"/>
  <c r="R20" i="12"/>
  <c r="S20" i="12"/>
  <c r="T20" i="12"/>
  <c r="R21" i="12"/>
  <c r="S21" i="12"/>
  <c r="T21" i="12"/>
  <c r="R22" i="12"/>
  <c r="S22" i="12"/>
  <c r="T22" i="12"/>
  <c r="R7" i="12"/>
  <c r="H71" i="12"/>
  <c r="H72" i="12"/>
  <c r="T26" i="12"/>
  <c r="S26" i="12"/>
  <c r="R26" i="12"/>
  <c r="T25" i="12"/>
  <c r="S25" i="12"/>
  <c r="R25" i="12"/>
  <c r="T24" i="12"/>
  <c r="S24" i="12"/>
  <c r="R24" i="12"/>
  <c r="J9" i="12"/>
  <c r="M9" i="12"/>
  <c r="J10" i="12"/>
  <c r="M10" i="12"/>
  <c r="J11" i="12"/>
  <c r="M11" i="12"/>
  <c r="J12" i="12"/>
  <c r="M12" i="12"/>
  <c r="J13" i="12"/>
  <c r="M13" i="12"/>
  <c r="J14" i="12"/>
  <c r="M14" i="12"/>
  <c r="J15" i="12"/>
  <c r="M15" i="12"/>
  <c r="J16" i="12"/>
  <c r="M16" i="12"/>
  <c r="J17" i="12"/>
  <c r="M17" i="12"/>
  <c r="J18" i="12"/>
  <c r="M18" i="12"/>
  <c r="J19" i="12"/>
  <c r="M19" i="12"/>
  <c r="J20" i="12"/>
  <c r="M20" i="12"/>
  <c r="J21" i="12"/>
  <c r="M21" i="12"/>
  <c r="J27" i="12"/>
  <c r="M27" i="12"/>
  <c r="J28" i="12"/>
  <c r="M28" i="12"/>
  <c r="T7" i="12"/>
  <c r="S7" i="12"/>
  <c r="T23" i="12"/>
  <c r="T32" i="12"/>
  <c r="S23" i="12"/>
  <c r="S32" i="12"/>
  <c r="R23" i="12"/>
  <c r="R32" i="12"/>
  <c r="T31" i="12"/>
  <c r="S31" i="12"/>
  <c r="R31" i="12"/>
  <c r="T30" i="12"/>
  <c r="S30" i="12"/>
  <c r="R30" i="12"/>
  <c r="J29" i="8"/>
  <c r="J30" i="8"/>
  <c r="J31" i="8"/>
  <c r="J29" i="7"/>
  <c r="J30" i="7"/>
  <c r="J31" i="7"/>
  <c r="J29" i="1"/>
  <c r="J30" i="1"/>
  <c r="J31" i="1"/>
  <c r="J29" i="12"/>
  <c r="J30" i="12"/>
  <c r="J31" i="12"/>
  <c r="L126" i="8"/>
  <c r="L125" i="8"/>
  <c r="L126" i="7"/>
  <c r="L125" i="7"/>
  <c r="L126" i="12"/>
  <c r="L125" i="12"/>
  <c r="L130" i="8"/>
  <c r="L129" i="8"/>
  <c r="B130" i="8"/>
  <c r="B129" i="8"/>
  <c r="K129" i="8"/>
  <c r="L130" i="7"/>
  <c r="L129" i="7"/>
  <c r="B130" i="7"/>
  <c r="B129" i="7"/>
  <c r="K129" i="7"/>
  <c r="L130" i="12"/>
  <c r="L129" i="12"/>
  <c r="B130" i="12"/>
  <c r="B129" i="12"/>
  <c r="K129" i="12"/>
  <c r="L125" i="1"/>
  <c r="L126" i="1"/>
  <c r="L130" i="1"/>
  <c r="L129" i="1"/>
  <c r="B130" i="1"/>
  <c r="B129" i="1"/>
  <c r="B75" i="1"/>
  <c r="L75" i="12"/>
  <c r="I127" i="8"/>
  <c r="I73" i="8"/>
  <c r="B32" i="8"/>
  <c r="I125" i="8"/>
  <c r="I71" i="8"/>
  <c r="I126" i="8"/>
  <c r="I72" i="8"/>
  <c r="E70" i="7"/>
  <c r="E70" i="8"/>
  <c r="F9" i="8"/>
  <c r="E71" i="7"/>
  <c r="E71" i="8"/>
  <c r="E72" i="7"/>
  <c r="E72" i="8"/>
  <c r="E29" i="7"/>
  <c r="E29" i="8"/>
  <c r="H29" i="8"/>
  <c r="E28" i="7"/>
  <c r="E28" i="8"/>
  <c r="H28" i="8"/>
  <c r="F9" i="7"/>
  <c r="H29" i="7"/>
  <c r="H28" i="7"/>
  <c r="F9" i="12"/>
  <c r="E70" i="12"/>
  <c r="E29" i="12"/>
  <c r="H29" i="12"/>
  <c r="AA82" i="12"/>
  <c r="AC82" i="12"/>
  <c r="AE82" i="12"/>
  <c r="AG82" i="12"/>
  <c r="AH82" i="12"/>
  <c r="AF82" i="12"/>
  <c r="AG83" i="12"/>
  <c r="AD82" i="12"/>
  <c r="AE83" i="12"/>
  <c r="AB82" i="12"/>
  <c r="AC83" i="12"/>
  <c r="Z82" i="12"/>
  <c r="AA83" i="12"/>
  <c r="E49" i="12"/>
  <c r="E50" i="12"/>
  <c r="E52" i="12"/>
  <c r="E53" i="12"/>
  <c r="E54" i="12"/>
  <c r="E55" i="12"/>
  <c r="E56" i="12"/>
  <c r="F59" i="12"/>
  <c r="E62" i="12"/>
  <c r="E63" i="12"/>
  <c r="F63" i="12"/>
  <c r="E64" i="12"/>
  <c r="E30" i="12"/>
  <c r="E9" i="12"/>
  <c r="H9" i="12"/>
  <c r="E10" i="12"/>
  <c r="H10" i="12"/>
  <c r="E13" i="12"/>
  <c r="H13" i="12"/>
  <c r="E14" i="12"/>
  <c r="H14" i="12"/>
  <c r="E15" i="12"/>
  <c r="H15" i="12"/>
  <c r="E16" i="12"/>
  <c r="H16" i="12"/>
  <c r="E17" i="12"/>
  <c r="H17" i="12"/>
  <c r="E18" i="12"/>
  <c r="H18" i="12"/>
  <c r="E19" i="12"/>
  <c r="H19" i="12"/>
  <c r="E20" i="12"/>
  <c r="H20" i="12"/>
  <c r="E21" i="12"/>
  <c r="H21" i="12"/>
  <c r="E22" i="12"/>
  <c r="H22" i="12"/>
  <c r="E23" i="12"/>
  <c r="H23" i="12"/>
  <c r="E24" i="12"/>
  <c r="H24" i="12"/>
  <c r="E25" i="12"/>
  <c r="H25" i="12"/>
  <c r="E26" i="12"/>
  <c r="H26" i="12"/>
  <c r="E27" i="12"/>
  <c r="H27" i="12"/>
  <c r="E28" i="12"/>
  <c r="H28" i="12"/>
  <c r="E71" i="12"/>
  <c r="E72" i="12"/>
  <c r="E73" i="12"/>
  <c r="Z6" i="12"/>
  <c r="X7" i="12"/>
  <c r="AA7" i="12"/>
  <c r="Z12" i="12"/>
  <c r="Z13" i="12"/>
  <c r="Z14" i="12"/>
  <c r="Z15" i="12"/>
  <c r="Z24" i="12"/>
  <c r="AA24" i="12"/>
  <c r="Z25" i="12"/>
  <c r="AA25" i="12"/>
  <c r="Z26" i="12"/>
  <c r="Z27" i="12"/>
  <c r="Z28" i="12"/>
  <c r="Z29" i="12"/>
  <c r="X8" i="12"/>
  <c r="X9" i="12"/>
  <c r="X10" i="12"/>
  <c r="X11" i="12"/>
  <c r="Z70" i="12"/>
  <c r="Z42" i="12"/>
  <c r="Z43" i="12"/>
  <c r="Z44" i="12"/>
  <c r="Z45" i="12"/>
  <c r="Z46" i="12"/>
  <c r="Z47" i="12"/>
  <c r="Z48" i="12"/>
  <c r="Z49" i="12"/>
  <c r="Z50" i="12"/>
  <c r="Z51" i="12"/>
  <c r="J52" i="12"/>
  <c r="Z52" i="12"/>
  <c r="AA52" i="12"/>
  <c r="J58" i="12"/>
  <c r="Z58" i="12"/>
  <c r="AA58" i="12"/>
  <c r="J59" i="12"/>
  <c r="Z59" i="12"/>
  <c r="AA59" i="12"/>
  <c r="J60" i="12"/>
  <c r="Z60" i="12"/>
  <c r="AA60" i="12"/>
  <c r="J61" i="12"/>
  <c r="Z61" i="12"/>
  <c r="AA61" i="12"/>
  <c r="J62" i="12"/>
  <c r="Z62" i="12"/>
  <c r="AA62" i="12"/>
  <c r="J63" i="12"/>
  <c r="Z63" i="12"/>
  <c r="AA63" i="12"/>
  <c r="J64" i="12"/>
  <c r="Z64" i="12"/>
  <c r="AA64" i="12"/>
  <c r="AB6" i="12"/>
  <c r="AB12" i="12"/>
  <c r="AB13" i="12"/>
  <c r="AB14" i="12"/>
  <c r="AB15" i="12"/>
  <c r="AB24" i="12"/>
  <c r="AC24" i="12"/>
  <c r="AB25" i="12"/>
  <c r="AC25" i="12"/>
  <c r="AB26" i="12"/>
  <c r="AB27" i="12"/>
  <c r="AB28" i="12"/>
  <c r="AB29" i="12"/>
  <c r="AD6" i="12"/>
  <c r="AD12" i="12"/>
  <c r="AD13" i="12"/>
  <c r="AD14" i="12"/>
  <c r="AD15" i="12"/>
  <c r="AD24" i="12"/>
  <c r="AE24" i="12"/>
  <c r="AD25" i="12"/>
  <c r="AE25" i="12"/>
  <c r="AD26" i="12"/>
  <c r="AD27" i="12"/>
  <c r="AD28" i="12"/>
  <c r="AD29" i="12"/>
  <c r="AC7" i="12"/>
  <c r="AB42" i="12"/>
  <c r="AD42" i="12"/>
  <c r="AF42" i="12"/>
  <c r="AB43" i="12"/>
  <c r="AD43" i="12"/>
  <c r="AF43" i="12"/>
  <c r="AB44" i="12"/>
  <c r="AD44" i="12"/>
  <c r="AF44" i="12"/>
  <c r="AB45" i="12"/>
  <c r="AD45" i="12"/>
  <c r="AF45" i="12"/>
  <c r="AB46" i="12"/>
  <c r="AD46" i="12"/>
  <c r="AF46" i="12"/>
  <c r="AB47" i="12"/>
  <c r="AD47" i="12"/>
  <c r="AF47" i="12"/>
  <c r="AB48" i="12"/>
  <c r="AD48" i="12"/>
  <c r="AF48" i="12"/>
  <c r="AB49" i="12"/>
  <c r="AD49" i="12"/>
  <c r="AF49" i="12"/>
  <c r="AB50" i="12"/>
  <c r="AD50" i="12"/>
  <c r="AF50" i="12"/>
  <c r="AB51" i="12"/>
  <c r="AD51" i="12"/>
  <c r="AF51" i="12"/>
  <c r="AB52" i="12"/>
  <c r="AD52" i="12"/>
  <c r="AF52" i="12"/>
  <c r="AG52" i="12"/>
  <c r="AB58" i="12"/>
  <c r="AD58" i="12"/>
  <c r="AF58" i="12"/>
  <c r="AG58" i="12"/>
  <c r="AB59" i="12"/>
  <c r="AD59" i="12"/>
  <c r="AF59" i="12"/>
  <c r="AG59" i="12"/>
  <c r="AB60" i="12"/>
  <c r="AD60" i="12"/>
  <c r="AF60" i="12"/>
  <c r="AG60" i="12"/>
  <c r="AB61" i="12"/>
  <c r="AD61" i="12"/>
  <c r="AF61" i="12"/>
  <c r="AG61" i="12"/>
  <c r="AB62" i="12"/>
  <c r="AD62" i="12"/>
  <c r="AF62" i="12"/>
  <c r="AG62" i="12"/>
  <c r="AB63" i="12"/>
  <c r="AD63" i="12"/>
  <c r="AF63" i="12"/>
  <c r="AG63" i="12"/>
  <c r="AB64" i="12"/>
  <c r="AD64" i="12"/>
  <c r="AF64" i="12"/>
  <c r="AG64" i="12"/>
  <c r="AF6" i="12"/>
  <c r="AE7" i="12"/>
  <c r="AF12" i="12"/>
  <c r="AF13" i="12"/>
  <c r="AF14" i="12"/>
  <c r="AF15" i="12"/>
  <c r="AF24" i="12"/>
  <c r="AG24" i="12"/>
  <c r="AF25" i="12"/>
  <c r="AG25" i="12"/>
  <c r="AF26" i="12"/>
  <c r="AF27" i="12"/>
  <c r="AF28" i="12"/>
  <c r="AF29" i="12"/>
  <c r="AF70" i="12"/>
  <c r="B32" i="12"/>
  <c r="AB70" i="12"/>
  <c r="AC52" i="12"/>
  <c r="AC58" i="12"/>
  <c r="AC59" i="12"/>
  <c r="AC60" i="12"/>
  <c r="AC61" i="12"/>
  <c r="AC62" i="12"/>
  <c r="AC63" i="12"/>
  <c r="AC64" i="12"/>
  <c r="AD70" i="12"/>
  <c r="AE52" i="12"/>
  <c r="AE58" i="12"/>
  <c r="AE59" i="12"/>
  <c r="AE60" i="12"/>
  <c r="AE61" i="12"/>
  <c r="AE62" i="12"/>
  <c r="AE63" i="12"/>
  <c r="AE64" i="12"/>
  <c r="Y24" i="12"/>
  <c r="Y25" i="12"/>
  <c r="H73" i="12"/>
  <c r="AG83" i="1"/>
  <c r="AE83" i="1"/>
  <c r="AC83" i="1"/>
  <c r="AA83" i="1"/>
  <c r="AA7" i="1"/>
  <c r="AA18" i="1"/>
  <c r="AA19" i="1"/>
  <c r="AA20" i="1"/>
  <c r="AA21" i="1"/>
  <c r="AA22" i="1"/>
  <c r="AA23" i="1"/>
  <c r="AA24" i="1"/>
  <c r="AA25" i="1"/>
  <c r="AC7" i="1"/>
  <c r="AC18" i="1"/>
  <c r="AC19" i="1"/>
  <c r="AC20" i="1"/>
  <c r="AC21" i="1"/>
  <c r="AC22" i="1"/>
  <c r="AC23" i="1"/>
  <c r="AC24" i="1"/>
  <c r="AC25" i="1"/>
  <c r="AE7" i="1"/>
  <c r="AE18" i="1"/>
  <c r="AE19" i="1"/>
  <c r="AE20" i="1"/>
  <c r="AE21" i="1"/>
  <c r="AE22" i="1"/>
  <c r="AE23" i="1"/>
  <c r="AE24" i="1"/>
  <c r="AE25" i="1"/>
  <c r="AG18" i="1"/>
  <c r="AG19" i="1"/>
  <c r="AG20" i="1"/>
  <c r="AG21" i="1"/>
  <c r="AG22" i="1"/>
  <c r="AG23" i="1"/>
  <c r="AG24" i="1"/>
  <c r="AG25" i="1"/>
  <c r="B32" i="1"/>
  <c r="Y18" i="1"/>
  <c r="Y19" i="1"/>
  <c r="Y20" i="1"/>
  <c r="Y21" i="1"/>
  <c r="Y22" i="1"/>
  <c r="Y23" i="1"/>
  <c r="Y24" i="1"/>
  <c r="Y25" i="1"/>
  <c r="AA82" i="7"/>
  <c r="AC82" i="7"/>
  <c r="AE82" i="7"/>
  <c r="AG82" i="7"/>
  <c r="AH82" i="7"/>
  <c r="AF82" i="7"/>
  <c r="AG83" i="7"/>
  <c r="AD82" i="7"/>
  <c r="AE83" i="7"/>
  <c r="AB82" i="7"/>
  <c r="AC83" i="7"/>
  <c r="Z82" i="7"/>
  <c r="AA83" i="7"/>
  <c r="E49" i="7"/>
  <c r="E50" i="7"/>
  <c r="E52" i="7"/>
  <c r="E53" i="7"/>
  <c r="E54" i="7"/>
  <c r="E55" i="7"/>
  <c r="E56" i="7"/>
  <c r="F59" i="7"/>
  <c r="E62" i="7"/>
  <c r="E63" i="7"/>
  <c r="F63" i="7"/>
  <c r="E64" i="7"/>
  <c r="E30" i="7"/>
  <c r="E9" i="7"/>
  <c r="H9" i="7"/>
  <c r="E10" i="7"/>
  <c r="H10" i="7"/>
  <c r="E13" i="7"/>
  <c r="H13" i="7"/>
  <c r="E14" i="7"/>
  <c r="H14" i="7"/>
  <c r="E15" i="7"/>
  <c r="H15" i="7"/>
  <c r="E16" i="7"/>
  <c r="H16" i="7"/>
  <c r="E17" i="7"/>
  <c r="H17" i="7"/>
  <c r="E18" i="7"/>
  <c r="H18" i="7"/>
  <c r="E19" i="7"/>
  <c r="H19" i="7"/>
  <c r="E20" i="7"/>
  <c r="H20" i="7"/>
  <c r="E21" i="7"/>
  <c r="H21" i="7"/>
  <c r="E22" i="7"/>
  <c r="H22" i="7"/>
  <c r="E23" i="7"/>
  <c r="H23" i="7"/>
  <c r="E24" i="7"/>
  <c r="H24" i="7"/>
  <c r="E25" i="7"/>
  <c r="H25" i="7"/>
  <c r="E26" i="7"/>
  <c r="H26" i="7"/>
  <c r="E27" i="7"/>
  <c r="H27" i="7"/>
  <c r="E73" i="7"/>
  <c r="Z6" i="7"/>
  <c r="X7" i="7"/>
  <c r="AA7" i="7"/>
  <c r="Z12" i="7"/>
  <c r="Z13" i="7"/>
  <c r="Z14" i="7"/>
  <c r="Z15" i="7"/>
  <c r="Z16" i="7"/>
  <c r="Z17" i="7"/>
  <c r="Z26" i="7"/>
  <c r="Z27" i="7"/>
  <c r="Z28" i="7"/>
  <c r="Z29" i="7"/>
  <c r="X8" i="7"/>
  <c r="X9" i="7"/>
  <c r="X10" i="7"/>
  <c r="X11" i="7"/>
  <c r="Z70" i="7"/>
  <c r="Z42" i="7"/>
  <c r="Z43" i="7"/>
  <c r="Z44" i="7"/>
  <c r="Z45" i="7"/>
  <c r="Z46" i="7"/>
  <c r="Z47" i="7"/>
  <c r="Z48" i="7"/>
  <c r="Z49" i="7"/>
  <c r="Z50" i="7"/>
  <c r="Z51" i="7"/>
  <c r="Z52" i="7"/>
  <c r="Z58" i="7"/>
  <c r="Z59" i="7"/>
  <c r="Z60" i="7"/>
  <c r="Z61" i="7"/>
  <c r="Z62" i="7"/>
  <c r="Z63" i="7"/>
  <c r="Z64" i="7"/>
  <c r="AB6" i="7"/>
  <c r="AC7" i="7"/>
  <c r="AB12" i="7"/>
  <c r="AB13" i="7"/>
  <c r="AB14" i="7"/>
  <c r="AB15" i="7"/>
  <c r="AB16" i="7"/>
  <c r="AB17" i="7"/>
  <c r="AB26" i="7"/>
  <c r="AB27" i="7"/>
  <c r="AB28" i="7"/>
  <c r="AB29" i="7"/>
  <c r="AB70" i="7"/>
  <c r="AB42" i="7"/>
  <c r="AB43" i="7"/>
  <c r="AB44" i="7"/>
  <c r="AB45" i="7"/>
  <c r="AB46" i="7"/>
  <c r="AB47" i="7"/>
  <c r="AB48" i="7"/>
  <c r="AB49" i="7"/>
  <c r="AB50" i="7"/>
  <c r="AB51" i="7"/>
  <c r="AB52" i="7"/>
  <c r="AB58" i="7"/>
  <c r="AB59" i="7"/>
  <c r="AB60" i="7"/>
  <c r="AB61" i="7"/>
  <c r="AB62" i="7"/>
  <c r="AB63" i="7"/>
  <c r="AB64" i="7"/>
  <c r="AD6" i="7"/>
  <c r="AE7" i="7"/>
  <c r="AD12" i="7"/>
  <c r="AD13" i="7"/>
  <c r="AD14" i="7"/>
  <c r="AD15" i="7"/>
  <c r="AD16" i="7"/>
  <c r="AD17" i="7"/>
  <c r="AD26" i="7"/>
  <c r="AD27" i="7"/>
  <c r="AD28" i="7"/>
  <c r="AD29" i="7"/>
  <c r="AD70" i="7"/>
  <c r="AD42" i="7"/>
  <c r="AD43" i="7"/>
  <c r="AD44" i="7"/>
  <c r="AD45" i="7"/>
  <c r="AD46" i="7"/>
  <c r="AD47" i="7"/>
  <c r="AD48" i="7"/>
  <c r="AD49" i="7"/>
  <c r="AD50" i="7"/>
  <c r="AD51" i="7"/>
  <c r="AD52" i="7"/>
  <c r="AD58" i="7"/>
  <c r="AD59" i="7"/>
  <c r="AD60" i="7"/>
  <c r="AD61" i="7"/>
  <c r="AD62" i="7"/>
  <c r="AD63" i="7"/>
  <c r="AD64" i="7"/>
  <c r="AF42" i="7"/>
  <c r="AF43" i="7"/>
  <c r="AF44" i="7"/>
  <c r="AF45" i="7"/>
  <c r="AF46" i="7"/>
  <c r="AF47" i="7"/>
  <c r="AF48" i="7"/>
  <c r="AF49" i="7"/>
  <c r="AF50" i="7"/>
  <c r="AF51" i="7"/>
  <c r="AF52" i="7"/>
  <c r="AF58" i="7"/>
  <c r="AF59" i="7"/>
  <c r="AF60" i="7"/>
  <c r="AF61" i="7"/>
  <c r="AF62" i="7"/>
  <c r="AF63" i="7"/>
  <c r="AF64" i="7"/>
  <c r="AF6" i="7"/>
  <c r="AF12" i="7"/>
  <c r="AF13" i="7"/>
  <c r="AF14" i="7"/>
  <c r="AF15" i="7"/>
  <c r="AF16" i="7"/>
  <c r="AF17" i="7"/>
  <c r="AF26" i="7"/>
  <c r="AF27" i="7"/>
  <c r="AF28" i="7"/>
  <c r="AF29" i="7"/>
  <c r="AF70" i="7"/>
  <c r="H73" i="7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53" i="7"/>
  <c r="D54" i="7"/>
  <c r="D55" i="7"/>
  <c r="D56" i="7"/>
  <c r="D57" i="7"/>
  <c r="D58" i="7"/>
  <c r="D59" i="7"/>
  <c r="D60" i="7"/>
  <c r="D61" i="7"/>
  <c r="D62" i="7"/>
  <c r="D63" i="7"/>
  <c r="D64" i="7"/>
  <c r="D53" i="12"/>
  <c r="D54" i="12"/>
  <c r="D55" i="12"/>
  <c r="D56" i="12"/>
  <c r="D57" i="12"/>
  <c r="D58" i="12"/>
  <c r="D59" i="12"/>
  <c r="D60" i="12"/>
  <c r="D61" i="12"/>
  <c r="D62" i="12"/>
  <c r="D63" i="12"/>
  <c r="D64" i="12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48" i="1"/>
  <c r="E25" i="8"/>
  <c r="H25" i="8"/>
  <c r="E26" i="8"/>
  <c r="H26" i="8"/>
  <c r="E27" i="8"/>
  <c r="H27" i="8"/>
  <c r="E49" i="8"/>
  <c r="E50" i="8"/>
  <c r="E52" i="8"/>
  <c r="E53" i="8"/>
  <c r="E54" i="8"/>
  <c r="E55" i="8"/>
  <c r="E56" i="8"/>
  <c r="F59" i="8"/>
  <c r="E62" i="8"/>
  <c r="E63" i="8"/>
  <c r="F63" i="8"/>
  <c r="E64" i="8"/>
  <c r="E30" i="8"/>
  <c r="E9" i="8"/>
  <c r="H9" i="8"/>
  <c r="E10" i="8"/>
  <c r="H10" i="8"/>
  <c r="E13" i="8"/>
  <c r="H13" i="8"/>
  <c r="E14" i="8"/>
  <c r="H14" i="8"/>
  <c r="E15" i="8"/>
  <c r="H15" i="8"/>
  <c r="E16" i="8"/>
  <c r="H16" i="8"/>
  <c r="E17" i="8"/>
  <c r="H17" i="8"/>
  <c r="E18" i="8"/>
  <c r="H18" i="8"/>
  <c r="E19" i="8"/>
  <c r="H19" i="8"/>
  <c r="E20" i="8"/>
  <c r="H20" i="8"/>
  <c r="E21" i="8"/>
  <c r="H21" i="8"/>
  <c r="E22" i="8"/>
  <c r="H22" i="8"/>
  <c r="E23" i="8"/>
  <c r="H23" i="8"/>
  <c r="E24" i="8"/>
  <c r="H24" i="8"/>
  <c r="E73" i="8"/>
  <c r="A38" i="8"/>
  <c r="A92" i="8"/>
  <c r="A39" i="8"/>
  <c r="A93" i="8"/>
  <c r="A40" i="8"/>
  <c r="A94" i="8"/>
  <c r="A41" i="8"/>
  <c r="A95" i="8"/>
  <c r="A42" i="8"/>
  <c r="A96" i="8"/>
  <c r="A43" i="8"/>
  <c r="A97" i="8"/>
  <c r="A44" i="8"/>
  <c r="A98" i="8"/>
  <c r="A45" i="8"/>
  <c r="A99" i="8"/>
  <c r="A46" i="8"/>
  <c r="A100" i="8"/>
  <c r="A47" i="8"/>
  <c r="A101" i="8"/>
  <c r="A48" i="8"/>
  <c r="A102" i="8"/>
  <c r="A49" i="8"/>
  <c r="A103" i="8"/>
  <c r="A50" i="8"/>
  <c r="A104" i="8"/>
  <c r="A51" i="8"/>
  <c r="A105" i="8"/>
  <c r="A52" i="8"/>
  <c r="A106" i="8"/>
  <c r="A53" i="8"/>
  <c r="A107" i="8"/>
  <c r="A54" i="8"/>
  <c r="A108" i="8"/>
  <c r="A55" i="8"/>
  <c r="A109" i="8"/>
  <c r="A56" i="8"/>
  <c r="A110" i="8"/>
  <c r="A57" i="8"/>
  <c r="A111" i="8"/>
  <c r="A58" i="8"/>
  <c r="A112" i="8"/>
  <c r="A59" i="8"/>
  <c r="A113" i="8"/>
  <c r="A60" i="8"/>
  <c r="A114" i="8"/>
  <c r="A61" i="8"/>
  <c r="A115" i="8"/>
  <c r="A62" i="8"/>
  <c r="A116" i="8"/>
  <c r="A63" i="8"/>
  <c r="A117" i="8"/>
  <c r="A64" i="8"/>
  <c r="A118" i="8"/>
  <c r="H53" i="8"/>
  <c r="I53" i="8"/>
  <c r="B65" i="8"/>
  <c r="K53" i="8"/>
  <c r="L53" i="8"/>
  <c r="H54" i="8"/>
  <c r="I54" i="8"/>
  <c r="K54" i="8"/>
  <c r="L54" i="8"/>
  <c r="H55" i="8"/>
  <c r="I55" i="8"/>
  <c r="K55" i="8"/>
  <c r="L55" i="8"/>
  <c r="H56" i="8"/>
  <c r="I56" i="8"/>
  <c r="K56" i="8"/>
  <c r="L56" i="8"/>
  <c r="H57" i="8"/>
  <c r="I57" i="8"/>
  <c r="K57" i="8"/>
  <c r="L57" i="8"/>
  <c r="H58" i="8"/>
  <c r="I58" i="8"/>
  <c r="K58" i="8"/>
  <c r="L58" i="8"/>
  <c r="H59" i="8"/>
  <c r="I59" i="8"/>
  <c r="K59" i="8"/>
  <c r="L59" i="8"/>
  <c r="H60" i="8"/>
  <c r="I60" i="8"/>
  <c r="K60" i="8"/>
  <c r="L60" i="8"/>
  <c r="H61" i="8"/>
  <c r="I61" i="8"/>
  <c r="K61" i="8"/>
  <c r="L61" i="8"/>
  <c r="H62" i="8"/>
  <c r="I62" i="8"/>
  <c r="K62" i="8"/>
  <c r="L62" i="8"/>
  <c r="H63" i="8"/>
  <c r="I63" i="8"/>
  <c r="K63" i="8"/>
  <c r="L63" i="8"/>
  <c r="H64" i="8"/>
  <c r="I64" i="8"/>
  <c r="K64" i="8"/>
  <c r="L64" i="8"/>
  <c r="A18" i="8"/>
  <c r="A19" i="8"/>
  <c r="A20" i="8"/>
  <c r="A21" i="8"/>
  <c r="A22" i="8"/>
  <c r="A23" i="8"/>
  <c r="A24" i="8"/>
  <c r="A25" i="8"/>
  <c r="H38" i="7"/>
  <c r="D38" i="7"/>
  <c r="I38" i="7"/>
  <c r="B65" i="7"/>
  <c r="K38" i="7"/>
  <c r="L38" i="7"/>
  <c r="H39" i="7"/>
  <c r="D39" i="7"/>
  <c r="I39" i="7"/>
  <c r="K39" i="7"/>
  <c r="L39" i="7"/>
  <c r="H40" i="7"/>
  <c r="D40" i="7"/>
  <c r="I40" i="7"/>
  <c r="K40" i="7"/>
  <c r="L40" i="7"/>
  <c r="H41" i="7"/>
  <c r="D41" i="7"/>
  <c r="I41" i="7"/>
  <c r="K41" i="7"/>
  <c r="L41" i="7"/>
  <c r="H42" i="7"/>
  <c r="D42" i="7"/>
  <c r="I42" i="7"/>
  <c r="K42" i="7"/>
  <c r="L42" i="7"/>
  <c r="H43" i="7"/>
  <c r="D43" i="7"/>
  <c r="I43" i="7"/>
  <c r="K43" i="7"/>
  <c r="L43" i="7"/>
  <c r="H44" i="7"/>
  <c r="D44" i="7"/>
  <c r="I44" i="7"/>
  <c r="K44" i="7"/>
  <c r="L44" i="7"/>
  <c r="H45" i="7"/>
  <c r="D45" i="7"/>
  <c r="I45" i="7"/>
  <c r="K45" i="7"/>
  <c r="L45" i="7"/>
  <c r="H46" i="7"/>
  <c r="D46" i="7"/>
  <c r="I46" i="7"/>
  <c r="K46" i="7"/>
  <c r="L46" i="7"/>
  <c r="H47" i="7"/>
  <c r="D47" i="7"/>
  <c r="I47" i="7"/>
  <c r="K47" i="7"/>
  <c r="L47" i="7"/>
  <c r="H48" i="7"/>
  <c r="D48" i="7"/>
  <c r="I48" i="7"/>
  <c r="K48" i="7"/>
  <c r="L48" i="7"/>
  <c r="H49" i="7"/>
  <c r="D49" i="7"/>
  <c r="I49" i="7"/>
  <c r="K49" i="7"/>
  <c r="L49" i="7"/>
  <c r="H50" i="7"/>
  <c r="D50" i="7"/>
  <c r="I50" i="7"/>
  <c r="K50" i="7"/>
  <c r="L50" i="7"/>
  <c r="H51" i="7"/>
  <c r="D51" i="7"/>
  <c r="I51" i="7"/>
  <c r="K51" i="7"/>
  <c r="L51" i="7"/>
  <c r="H52" i="7"/>
  <c r="D52" i="7"/>
  <c r="I52" i="7"/>
  <c r="K52" i="7"/>
  <c r="L52" i="7"/>
  <c r="H53" i="7"/>
  <c r="I53" i="7"/>
  <c r="K53" i="7"/>
  <c r="L53" i="7"/>
  <c r="H54" i="7"/>
  <c r="I54" i="7"/>
  <c r="K54" i="7"/>
  <c r="L54" i="7"/>
  <c r="H55" i="7"/>
  <c r="I55" i="7"/>
  <c r="K55" i="7"/>
  <c r="L55" i="7"/>
  <c r="H56" i="7"/>
  <c r="I56" i="7"/>
  <c r="K56" i="7"/>
  <c r="L56" i="7"/>
  <c r="H57" i="7"/>
  <c r="I57" i="7"/>
  <c r="K57" i="7"/>
  <c r="L57" i="7"/>
  <c r="H58" i="7"/>
  <c r="I58" i="7"/>
  <c r="K58" i="7"/>
  <c r="L58" i="7"/>
  <c r="H59" i="7"/>
  <c r="I59" i="7"/>
  <c r="K59" i="7"/>
  <c r="L59" i="7"/>
  <c r="H60" i="7"/>
  <c r="I60" i="7"/>
  <c r="K60" i="7"/>
  <c r="L60" i="7"/>
  <c r="H61" i="7"/>
  <c r="I61" i="7"/>
  <c r="K61" i="7"/>
  <c r="L61" i="7"/>
  <c r="H62" i="7"/>
  <c r="I62" i="7"/>
  <c r="K62" i="7"/>
  <c r="L62" i="7"/>
  <c r="H63" i="7"/>
  <c r="I63" i="7"/>
  <c r="K63" i="7"/>
  <c r="L63" i="7"/>
  <c r="H64" i="7"/>
  <c r="I64" i="7"/>
  <c r="K64" i="7"/>
  <c r="L64" i="7"/>
  <c r="A38" i="7"/>
  <c r="A92" i="7"/>
  <c r="A39" i="7"/>
  <c r="A93" i="7"/>
  <c r="A40" i="7"/>
  <c r="A94" i="7"/>
  <c r="A41" i="7"/>
  <c r="A95" i="7"/>
  <c r="A42" i="7"/>
  <c r="A96" i="7"/>
  <c r="A43" i="7"/>
  <c r="A97" i="7"/>
  <c r="A44" i="7"/>
  <c r="A98" i="7"/>
  <c r="A45" i="7"/>
  <c r="A99" i="7"/>
  <c r="A46" i="7"/>
  <c r="A100" i="7"/>
  <c r="A47" i="7"/>
  <c r="A101" i="7"/>
  <c r="A48" i="7"/>
  <c r="A102" i="7"/>
  <c r="A49" i="7"/>
  <c r="A103" i="7"/>
  <c r="A50" i="7"/>
  <c r="A104" i="7"/>
  <c r="A51" i="7"/>
  <c r="A105" i="7"/>
  <c r="A52" i="7"/>
  <c r="A106" i="7"/>
  <c r="A53" i="7"/>
  <c r="A107" i="7"/>
  <c r="A54" i="7"/>
  <c r="A108" i="7"/>
  <c r="A55" i="7"/>
  <c r="A109" i="7"/>
  <c r="A56" i="7"/>
  <c r="A110" i="7"/>
  <c r="A57" i="7"/>
  <c r="A111" i="7"/>
  <c r="A58" i="7"/>
  <c r="A112" i="7"/>
  <c r="A59" i="7"/>
  <c r="A113" i="7"/>
  <c r="A60" i="7"/>
  <c r="A114" i="7"/>
  <c r="A61" i="7"/>
  <c r="A115" i="7"/>
  <c r="A62" i="7"/>
  <c r="A116" i="7"/>
  <c r="A63" i="7"/>
  <c r="A117" i="7"/>
  <c r="A64" i="7"/>
  <c r="A118" i="7"/>
  <c r="A18" i="7"/>
  <c r="A19" i="7"/>
  <c r="A20" i="7"/>
  <c r="A21" i="7"/>
  <c r="A22" i="7"/>
  <c r="A23" i="7"/>
  <c r="A24" i="7"/>
  <c r="A25" i="7"/>
  <c r="J53" i="12"/>
  <c r="J54" i="12"/>
  <c r="J55" i="12"/>
  <c r="J56" i="12"/>
  <c r="J57" i="12"/>
  <c r="A53" i="12"/>
  <c r="A107" i="12"/>
  <c r="A54" i="12"/>
  <c r="A108" i="12"/>
  <c r="A55" i="12"/>
  <c r="A109" i="12"/>
  <c r="A56" i="12"/>
  <c r="A110" i="12"/>
  <c r="A57" i="12"/>
  <c r="A111" i="12"/>
  <c r="A58" i="12"/>
  <c r="A112" i="12"/>
  <c r="A59" i="12"/>
  <c r="A113" i="12"/>
  <c r="A60" i="12"/>
  <c r="A114" i="12"/>
  <c r="A61" i="12"/>
  <c r="A115" i="12"/>
  <c r="A62" i="12"/>
  <c r="A116" i="12"/>
  <c r="A63" i="12"/>
  <c r="A117" i="12"/>
  <c r="A64" i="12"/>
  <c r="A118" i="12"/>
  <c r="H38" i="12"/>
  <c r="D38" i="12"/>
  <c r="I38" i="12"/>
  <c r="B65" i="12"/>
  <c r="K38" i="12"/>
  <c r="L38" i="12"/>
  <c r="H39" i="12"/>
  <c r="D39" i="12"/>
  <c r="I39" i="12"/>
  <c r="K39" i="12"/>
  <c r="L39" i="12"/>
  <c r="H40" i="12"/>
  <c r="D40" i="12"/>
  <c r="I40" i="12"/>
  <c r="K40" i="12"/>
  <c r="L40" i="12"/>
  <c r="H41" i="12"/>
  <c r="D41" i="12"/>
  <c r="I41" i="12"/>
  <c r="K41" i="12"/>
  <c r="L41" i="12"/>
  <c r="H42" i="12"/>
  <c r="D42" i="12"/>
  <c r="I42" i="12"/>
  <c r="K42" i="12"/>
  <c r="L42" i="12"/>
  <c r="H43" i="12"/>
  <c r="D43" i="12"/>
  <c r="I43" i="12"/>
  <c r="K43" i="12"/>
  <c r="L43" i="12"/>
  <c r="H44" i="12"/>
  <c r="D44" i="12"/>
  <c r="I44" i="12"/>
  <c r="K44" i="12"/>
  <c r="L44" i="12"/>
  <c r="H45" i="12"/>
  <c r="D45" i="12"/>
  <c r="I45" i="12"/>
  <c r="K45" i="12"/>
  <c r="L45" i="12"/>
  <c r="H46" i="12"/>
  <c r="D46" i="12"/>
  <c r="I46" i="12"/>
  <c r="K46" i="12"/>
  <c r="L46" i="12"/>
  <c r="H47" i="12"/>
  <c r="D47" i="12"/>
  <c r="I47" i="12"/>
  <c r="K47" i="12"/>
  <c r="L47" i="12"/>
  <c r="H48" i="12"/>
  <c r="D48" i="12"/>
  <c r="I48" i="12"/>
  <c r="K48" i="12"/>
  <c r="L48" i="12"/>
  <c r="H49" i="12"/>
  <c r="D49" i="12"/>
  <c r="I49" i="12"/>
  <c r="K49" i="12"/>
  <c r="L49" i="12"/>
  <c r="H50" i="12"/>
  <c r="D50" i="12"/>
  <c r="I50" i="12"/>
  <c r="K50" i="12"/>
  <c r="L50" i="12"/>
  <c r="H51" i="12"/>
  <c r="D51" i="12"/>
  <c r="I51" i="12"/>
  <c r="K51" i="12"/>
  <c r="L51" i="12"/>
  <c r="H52" i="12"/>
  <c r="D52" i="12"/>
  <c r="I52" i="12"/>
  <c r="K52" i="12"/>
  <c r="L52" i="12"/>
  <c r="M52" i="12"/>
  <c r="H53" i="12"/>
  <c r="I53" i="12"/>
  <c r="K53" i="12"/>
  <c r="L53" i="12"/>
  <c r="M53" i="12"/>
  <c r="H54" i="12"/>
  <c r="I54" i="12"/>
  <c r="K54" i="12"/>
  <c r="L54" i="12"/>
  <c r="M54" i="12"/>
  <c r="H55" i="12"/>
  <c r="I55" i="12"/>
  <c r="K55" i="12"/>
  <c r="L55" i="12"/>
  <c r="M55" i="12"/>
  <c r="H56" i="12"/>
  <c r="I56" i="12"/>
  <c r="K56" i="12"/>
  <c r="L56" i="12"/>
  <c r="M56" i="12"/>
  <c r="H57" i="12"/>
  <c r="I57" i="12"/>
  <c r="K57" i="12"/>
  <c r="L57" i="12"/>
  <c r="M57" i="12"/>
  <c r="H58" i="12"/>
  <c r="I58" i="12"/>
  <c r="K58" i="12"/>
  <c r="L58" i="12"/>
  <c r="M58" i="12"/>
  <c r="H59" i="12"/>
  <c r="I59" i="12"/>
  <c r="K59" i="12"/>
  <c r="L59" i="12"/>
  <c r="M59" i="12"/>
  <c r="H60" i="12"/>
  <c r="I60" i="12"/>
  <c r="K60" i="12"/>
  <c r="L60" i="12"/>
  <c r="M60" i="12"/>
  <c r="H61" i="12"/>
  <c r="I61" i="12"/>
  <c r="K61" i="12"/>
  <c r="L61" i="12"/>
  <c r="M61" i="12"/>
  <c r="H62" i="12"/>
  <c r="I62" i="12"/>
  <c r="K62" i="12"/>
  <c r="L62" i="12"/>
  <c r="M62" i="12"/>
  <c r="H63" i="12"/>
  <c r="I63" i="12"/>
  <c r="K63" i="12"/>
  <c r="L63" i="12"/>
  <c r="M63" i="12"/>
  <c r="H64" i="12"/>
  <c r="I64" i="12"/>
  <c r="K64" i="12"/>
  <c r="L64" i="12"/>
  <c r="M64" i="12"/>
  <c r="A38" i="12"/>
  <c r="A39" i="12"/>
  <c r="A40" i="12"/>
  <c r="A41" i="12"/>
  <c r="A42" i="12"/>
  <c r="A43" i="12"/>
  <c r="A44" i="12"/>
  <c r="A45" i="12"/>
  <c r="A46" i="12"/>
  <c r="A47" i="12"/>
  <c r="A48" i="12"/>
  <c r="A49" i="12"/>
  <c r="A50" i="12"/>
  <c r="A51" i="12"/>
  <c r="A52" i="12"/>
  <c r="A16" i="12"/>
  <c r="A17" i="12"/>
  <c r="A18" i="12"/>
  <c r="A19" i="12"/>
  <c r="A20" i="12"/>
  <c r="A21" i="12"/>
  <c r="A22" i="12"/>
  <c r="A23" i="12"/>
  <c r="A24" i="12"/>
  <c r="A25" i="12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H50" i="1"/>
  <c r="I50" i="1"/>
  <c r="B65" i="1"/>
  <c r="K50" i="1"/>
  <c r="L50" i="1"/>
  <c r="H51" i="1"/>
  <c r="I51" i="1"/>
  <c r="K51" i="1"/>
  <c r="L51" i="1"/>
  <c r="H52" i="1"/>
  <c r="I52" i="1"/>
  <c r="K52" i="1"/>
  <c r="L52" i="1"/>
  <c r="H53" i="1"/>
  <c r="I53" i="1"/>
  <c r="K53" i="1"/>
  <c r="L53" i="1"/>
  <c r="H54" i="1"/>
  <c r="I54" i="1"/>
  <c r="K54" i="1"/>
  <c r="L54" i="1"/>
  <c r="H55" i="1"/>
  <c r="I55" i="1"/>
  <c r="K55" i="1"/>
  <c r="L55" i="1"/>
  <c r="H56" i="1"/>
  <c r="I56" i="1"/>
  <c r="K56" i="1"/>
  <c r="L56" i="1"/>
  <c r="H57" i="1"/>
  <c r="I57" i="1"/>
  <c r="K57" i="1"/>
  <c r="L57" i="1"/>
  <c r="H58" i="1"/>
  <c r="I58" i="1"/>
  <c r="K58" i="1"/>
  <c r="L58" i="1"/>
  <c r="H59" i="1"/>
  <c r="I59" i="1"/>
  <c r="K59" i="1"/>
  <c r="L59" i="1"/>
  <c r="H60" i="1"/>
  <c r="I60" i="1"/>
  <c r="K60" i="1"/>
  <c r="L60" i="1"/>
  <c r="H61" i="1"/>
  <c r="I61" i="1"/>
  <c r="K61" i="1"/>
  <c r="L61" i="1"/>
  <c r="H62" i="1"/>
  <c r="I62" i="1"/>
  <c r="K62" i="1"/>
  <c r="L62" i="1"/>
  <c r="H63" i="1"/>
  <c r="I63" i="1"/>
  <c r="K63" i="1"/>
  <c r="L63" i="1"/>
  <c r="H64" i="1"/>
  <c r="I64" i="1"/>
  <c r="K64" i="1"/>
  <c r="L64" i="1"/>
  <c r="AF25" i="1"/>
  <c r="AH25" i="1"/>
  <c r="AI25" i="1"/>
  <c r="AJ25" i="1"/>
  <c r="AK25" i="1"/>
  <c r="AF24" i="1"/>
  <c r="AH24" i="1"/>
  <c r="AI24" i="1"/>
  <c r="AJ24" i="1"/>
  <c r="AK24" i="1"/>
  <c r="AF21" i="1"/>
  <c r="AH21" i="1"/>
  <c r="AI21" i="1"/>
  <c r="AJ21" i="1"/>
  <c r="AK21" i="1"/>
  <c r="AF22" i="1"/>
  <c r="AH22" i="1"/>
  <c r="AI22" i="1"/>
  <c r="AJ22" i="1"/>
  <c r="AK22" i="1"/>
  <c r="AF23" i="1"/>
  <c r="AH23" i="1"/>
  <c r="AI23" i="1"/>
  <c r="AJ23" i="1"/>
  <c r="AK23" i="1"/>
  <c r="AF18" i="1"/>
  <c r="AH18" i="1"/>
  <c r="AI18" i="1"/>
  <c r="AJ18" i="1"/>
  <c r="AK18" i="1"/>
  <c r="AF19" i="1"/>
  <c r="AH19" i="1"/>
  <c r="AI19" i="1"/>
  <c r="AJ19" i="1"/>
  <c r="AK19" i="1"/>
  <c r="AF20" i="1"/>
  <c r="AH20" i="1"/>
  <c r="AI20" i="1"/>
  <c r="AJ20" i="1"/>
  <c r="AK20" i="1"/>
  <c r="K130" i="12"/>
  <c r="I130" i="12"/>
  <c r="I127" i="12"/>
  <c r="K126" i="12"/>
  <c r="I126" i="12"/>
  <c r="K125" i="12"/>
  <c r="I125" i="12"/>
  <c r="K124" i="12"/>
  <c r="K130" i="1"/>
  <c r="I130" i="1"/>
  <c r="K129" i="1"/>
  <c r="I127" i="1"/>
  <c r="K126" i="1"/>
  <c r="I126" i="1"/>
  <c r="K125" i="1"/>
  <c r="I125" i="1"/>
  <c r="K124" i="1"/>
  <c r="B74" i="1"/>
  <c r="B76" i="1"/>
  <c r="F91" i="9"/>
  <c r="AG82" i="1"/>
  <c r="AE82" i="1"/>
  <c r="AC82" i="1"/>
  <c r="AA82" i="1"/>
  <c r="AH82" i="1"/>
  <c r="H73" i="8"/>
  <c r="I92" i="9"/>
  <c r="H92" i="9"/>
  <c r="H73" i="1"/>
  <c r="G92" i="9"/>
  <c r="F92" i="9"/>
  <c r="E92" i="9"/>
  <c r="E88" i="9"/>
  <c r="E101" i="9"/>
  <c r="D92" i="9"/>
  <c r="D88" i="9"/>
  <c r="D101" i="9"/>
  <c r="C92" i="9"/>
  <c r="C88" i="9"/>
  <c r="C101" i="9"/>
  <c r="B92" i="9"/>
  <c r="B88" i="9"/>
  <c r="B101" i="9"/>
  <c r="I91" i="9"/>
  <c r="H91" i="9"/>
  <c r="G91" i="9"/>
  <c r="E91" i="9"/>
  <c r="E100" i="9"/>
  <c r="D91" i="9"/>
  <c r="D100" i="9"/>
  <c r="C91" i="9"/>
  <c r="C100" i="9"/>
  <c r="B91" i="9"/>
  <c r="B100" i="9"/>
  <c r="I90" i="9"/>
  <c r="H90" i="9"/>
  <c r="G90" i="9"/>
  <c r="F90" i="9"/>
  <c r="E90" i="9"/>
  <c r="E99" i="9"/>
  <c r="D90" i="9"/>
  <c r="D99" i="9"/>
  <c r="C90" i="9"/>
  <c r="C99" i="9"/>
  <c r="B90" i="9"/>
  <c r="B99" i="9"/>
  <c r="I89" i="9"/>
  <c r="H89" i="9"/>
  <c r="G89" i="9"/>
  <c r="F89" i="9"/>
  <c r="E89" i="9"/>
  <c r="E98" i="9"/>
  <c r="D89" i="9"/>
  <c r="D98" i="9"/>
  <c r="C89" i="9"/>
  <c r="C98" i="9"/>
  <c r="B89" i="9"/>
  <c r="B98" i="9"/>
  <c r="I95" i="9"/>
  <c r="I96" i="9"/>
  <c r="H95" i="9"/>
  <c r="H96" i="9"/>
  <c r="G95" i="9"/>
  <c r="G96" i="9"/>
  <c r="F95" i="9"/>
  <c r="F96" i="9"/>
  <c r="A95" i="9"/>
  <c r="A96" i="9"/>
  <c r="A91" i="9"/>
  <c r="A92" i="9"/>
  <c r="B76" i="7"/>
  <c r="K71" i="7"/>
  <c r="L71" i="7"/>
  <c r="I126" i="7"/>
  <c r="I72" i="7"/>
  <c r="K72" i="7"/>
  <c r="L72" i="7"/>
  <c r="B76" i="12"/>
  <c r="K71" i="12"/>
  <c r="L71" i="12"/>
  <c r="I72" i="12"/>
  <c r="K72" i="12"/>
  <c r="L72" i="12"/>
  <c r="I71" i="1"/>
  <c r="K71" i="1"/>
  <c r="L71" i="1"/>
  <c r="I72" i="1"/>
  <c r="K72" i="1"/>
  <c r="L72" i="1"/>
  <c r="I130" i="8"/>
  <c r="I130" i="7"/>
  <c r="I127" i="7"/>
  <c r="K125" i="7"/>
  <c r="K126" i="7"/>
  <c r="K125" i="8"/>
  <c r="K126" i="8"/>
  <c r="B31" i="12"/>
  <c r="B31" i="8"/>
  <c r="B31" i="1"/>
  <c r="D41" i="1"/>
  <c r="A9" i="7"/>
  <c r="A6" i="7"/>
  <c r="B22" i="13"/>
  <c r="D22" i="13"/>
  <c r="E22" i="13"/>
  <c r="B23" i="13"/>
  <c r="B107" i="13"/>
  <c r="B109" i="13"/>
  <c r="H30" i="12"/>
  <c r="H43" i="8"/>
  <c r="H39" i="1"/>
  <c r="D39" i="1"/>
  <c r="I39" i="1"/>
  <c r="H40" i="1"/>
  <c r="D40" i="1"/>
  <c r="I40" i="1"/>
  <c r="H44" i="1"/>
  <c r="H45" i="1"/>
  <c r="K45" i="1"/>
  <c r="L45" i="1"/>
  <c r="H46" i="1"/>
  <c r="D47" i="1"/>
  <c r="H47" i="1"/>
  <c r="I47" i="1"/>
  <c r="H49" i="1"/>
  <c r="A7" i="8"/>
  <c r="A9" i="12"/>
  <c r="A11" i="7"/>
  <c r="A15" i="7"/>
  <c r="A17" i="8"/>
  <c r="A28" i="12"/>
  <c r="AE109" i="13"/>
  <c r="B118" i="13"/>
  <c r="AK2" i="8"/>
  <c r="AJ2" i="8"/>
  <c r="AF2" i="8"/>
  <c r="AD2" i="8"/>
  <c r="AB2" i="8"/>
  <c r="Z2" i="8"/>
  <c r="AK2" i="7"/>
  <c r="AJ2" i="7"/>
  <c r="AF2" i="7"/>
  <c r="AD2" i="7"/>
  <c r="AB2" i="7"/>
  <c r="Z2" i="7"/>
  <c r="AK2" i="12"/>
  <c r="AJ2" i="12"/>
  <c r="AF2" i="12"/>
  <c r="AD2" i="12"/>
  <c r="AB2" i="12"/>
  <c r="Z2" i="12"/>
  <c r="X7" i="8"/>
  <c r="AC7" i="8"/>
  <c r="X11" i="8"/>
  <c r="X41" i="8"/>
  <c r="X9" i="8"/>
  <c r="X40" i="8"/>
  <c r="X8" i="8"/>
  <c r="X39" i="8"/>
  <c r="X41" i="7"/>
  <c r="X40" i="7"/>
  <c r="X39" i="7"/>
  <c r="X41" i="12"/>
  <c r="X40" i="12"/>
  <c r="AG82" i="8"/>
  <c r="AE82" i="8"/>
  <c r="AC82" i="8"/>
  <c r="AA82" i="8"/>
  <c r="AH82" i="8"/>
  <c r="Z82" i="8"/>
  <c r="AD73" i="8"/>
  <c r="AB73" i="8"/>
  <c r="Z73" i="8"/>
  <c r="AF73" i="1"/>
  <c r="AF73" i="8"/>
  <c r="AH73" i="8"/>
  <c r="AF70" i="1"/>
  <c r="AF70" i="8"/>
  <c r="AD70" i="8"/>
  <c r="AB70" i="8"/>
  <c r="Z70" i="8"/>
  <c r="AH70" i="8"/>
  <c r="AD64" i="8"/>
  <c r="AB64" i="8"/>
  <c r="Z64" i="8"/>
  <c r="AF64" i="8"/>
  <c r="AD63" i="8"/>
  <c r="AB63" i="8"/>
  <c r="Z63" i="8"/>
  <c r="AD62" i="8"/>
  <c r="AB62" i="8"/>
  <c r="Z62" i="8"/>
  <c r="AD61" i="8"/>
  <c r="AB61" i="8"/>
  <c r="Z61" i="8"/>
  <c r="AD60" i="8"/>
  <c r="AB60" i="8"/>
  <c r="Z60" i="8"/>
  <c r="AD59" i="8"/>
  <c r="AB59" i="8"/>
  <c r="Z59" i="8"/>
  <c r="AD58" i="8"/>
  <c r="AB58" i="8"/>
  <c r="Z58" i="8"/>
  <c r="AD52" i="8"/>
  <c r="AB52" i="8"/>
  <c r="Z52" i="8"/>
  <c r="AF52" i="8"/>
  <c r="AD51" i="8"/>
  <c r="AB51" i="8"/>
  <c r="Z51" i="8"/>
  <c r="AD50" i="8"/>
  <c r="AB50" i="8"/>
  <c r="Z50" i="8"/>
  <c r="AD49" i="8"/>
  <c r="AB49" i="8"/>
  <c r="Z49" i="8"/>
  <c r="AD48" i="8"/>
  <c r="AB48" i="8"/>
  <c r="Z48" i="8"/>
  <c r="AD47" i="8"/>
  <c r="AB47" i="8"/>
  <c r="Z47" i="8"/>
  <c r="AD46" i="8"/>
  <c r="AB46" i="8"/>
  <c r="Z46" i="8"/>
  <c r="AD45" i="8"/>
  <c r="AB45" i="8"/>
  <c r="Z45" i="8"/>
  <c r="AD44" i="8"/>
  <c r="AB44" i="8"/>
  <c r="Z44" i="8"/>
  <c r="AD43" i="8"/>
  <c r="AB43" i="8"/>
  <c r="Z43" i="8"/>
  <c r="AD42" i="8"/>
  <c r="AB42" i="8"/>
  <c r="Z42" i="8"/>
  <c r="AD29" i="8"/>
  <c r="AB29" i="8"/>
  <c r="Z29" i="8"/>
  <c r="AD28" i="8"/>
  <c r="AB28" i="8"/>
  <c r="Z28" i="8"/>
  <c r="AD27" i="8"/>
  <c r="AB27" i="8"/>
  <c r="Z27" i="8"/>
  <c r="AD26" i="8"/>
  <c r="AB26" i="8"/>
  <c r="Z26" i="8"/>
  <c r="AD17" i="8"/>
  <c r="Z17" i="8"/>
  <c r="AB17" i="8"/>
  <c r="AF17" i="8"/>
  <c r="AD16" i="8"/>
  <c r="AB16" i="8"/>
  <c r="Z16" i="8"/>
  <c r="AF16" i="8"/>
  <c r="AD15" i="8"/>
  <c r="AB15" i="8"/>
  <c r="Z15" i="8"/>
  <c r="AD14" i="8"/>
  <c r="AB14" i="8"/>
  <c r="Z14" i="8"/>
  <c r="AD13" i="8"/>
  <c r="AB13" i="8"/>
  <c r="Z13" i="8"/>
  <c r="AD12" i="8"/>
  <c r="AB12" i="8"/>
  <c r="Z12" i="8"/>
  <c r="X10" i="8"/>
  <c r="AD6" i="8"/>
  <c r="AB6" i="8"/>
  <c r="Z6" i="8"/>
  <c r="AF1" i="8"/>
  <c r="AD1" i="8"/>
  <c r="AK1" i="8"/>
  <c r="AB1" i="8"/>
  <c r="Z1" i="8"/>
  <c r="AD73" i="7"/>
  <c r="AB73" i="7"/>
  <c r="Z73" i="7"/>
  <c r="AF73" i="7"/>
  <c r="AH73" i="7"/>
  <c r="AH49" i="7"/>
  <c r="AF1" i="7"/>
  <c r="AD1" i="7"/>
  <c r="AK1" i="7"/>
  <c r="AB1" i="7"/>
  <c r="Z1" i="7"/>
  <c r="AF1" i="12"/>
  <c r="AD1" i="12"/>
  <c r="AK1" i="12"/>
  <c r="AB1" i="12"/>
  <c r="Z1" i="12"/>
  <c r="AJ1" i="12"/>
  <c r="AH64" i="12"/>
  <c r="AH61" i="12"/>
  <c r="AH48" i="12"/>
  <c r="AH47" i="12"/>
  <c r="AD73" i="12"/>
  <c r="AB73" i="12"/>
  <c r="AH70" i="12"/>
  <c r="Z73" i="12"/>
  <c r="AH58" i="12"/>
  <c r="AH51" i="12"/>
  <c r="AH43" i="12"/>
  <c r="AH70" i="1"/>
  <c r="A94" i="9"/>
  <c r="A93" i="9"/>
  <c r="A88" i="9"/>
  <c r="A72" i="13"/>
  <c r="A90" i="9"/>
  <c r="A57" i="13"/>
  <c r="A89" i="9"/>
  <c r="A73" i="13"/>
  <c r="A87" i="9"/>
  <c r="A86" i="9"/>
  <c r="A54" i="13"/>
  <c r="A120" i="13"/>
  <c r="A85" i="9"/>
  <c r="A84" i="9"/>
  <c r="A83" i="9"/>
  <c r="A69" i="13"/>
  <c r="A82" i="9"/>
  <c r="A81" i="9"/>
  <c r="A50" i="13"/>
  <c r="A116" i="13"/>
  <c r="A80" i="9"/>
  <c r="A79" i="9"/>
  <c r="A49" i="13"/>
  <c r="A115" i="13"/>
  <c r="A78" i="9"/>
  <c r="A65" i="13"/>
  <c r="A77" i="9"/>
  <c r="A76" i="9"/>
  <c r="A46" i="13"/>
  <c r="A112" i="13"/>
  <c r="A75" i="9"/>
  <c r="A74" i="9"/>
  <c r="A5" i="13"/>
  <c r="A73" i="9"/>
  <c r="A60" i="13"/>
  <c r="A72" i="9"/>
  <c r="A42" i="13"/>
  <c r="A108" i="13"/>
  <c r="AF13" i="1"/>
  <c r="AF12" i="1"/>
  <c r="AF64" i="1"/>
  <c r="AH64" i="1"/>
  <c r="AF63" i="1"/>
  <c r="AH63" i="1"/>
  <c r="AF62" i="1"/>
  <c r="AH62" i="1"/>
  <c r="AF61" i="1"/>
  <c r="AH61" i="1"/>
  <c r="AF60" i="1"/>
  <c r="AH60" i="1"/>
  <c r="AF59" i="1"/>
  <c r="AH59" i="1"/>
  <c r="AF58" i="1"/>
  <c r="AH58" i="1"/>
  <c r="AF57" i="1"/>
  <c r="AH57" i="1"/>
  <c r="AF56" i="1"/>
  <c r="AH56" i="1"/>
  <c r="AF55" i="1"/>
  <c r="AH55" i="1"/>
  <c r="AF49" i="1"/>
  <c r="AH49" i="1"/>
  <c r="AF48" i="1"/>
  <c r="AH48" i="1"/>
  <c r="AF47" i="1"/>
  <c r="AH47" i="1"/>
  <c r="AF46" i="1"/>
  <c r="AH46" i="1"/>
  <c r="AF45" i="1"/>
  <c r="AH45" i="1"/>
  <c r="AF44" i="1"/>
  <c r="AH44" i="1"/>
  <c r="AF43" i="1"/>
  <c r="AH43" i="1"/>
  <c r="AF42" i="1"/>
  <c r="AH42" i="1"/>
  <c r="AF29" i="1"/>
  <c r="AH29" i="1"/>
  <c r="AF28" i="1"/>
  <c r="AH28" i="1"/>
  <c r="AF27" i="1"/>
  <c r="AH27" i="1"/>
  <c r="AF26" i="1"/>
  <c r="AH26" i="1"/>
  <c r="AF17" i="1"/>
  <c r="AH17" i="1"/>
  <c r="AF16" i="1"/>
  <c r="AH16" i="1"/>
  <c r="AF15" i="1"/>
  <c r="AH15" i="1"/>
  <c r="AF14" i="1"/>
  <c r="AH14" i="1"/>
  <c r="AF6" i="1"/>
  <c r="AH6" i="1"/>
  <c r="AK1" i="1"/>
  <c r="AJ1" i="1"/>
  <c r="B3" i="11"/>
  <c r="G3" i="11"/>
  <c r="L3" i="11"/>
  <c r="R3" i="11"/>
  <c r="B3" i="10"/>
  <c r="G3" i="10"/>
  <c r="L3" i="10"/>
  <c r="R3" i="10"/>
  <c r="C3" i="9"/>
  <c r="G3" i="9"/>
  <c r="L3" i="9"/>
  <c r="R3" i="9"/>
  <c r="M4" i="7"/>
  <c r="M5" i="7"/>
  <c r="K31" i="7"/>
  <c r="A88" i="7"/>
  <c r="M89" i="7"/>
  <c r="M90" i="7"/>
  <c r="A121" i="7"/>
  <c r="M122" i="7"/>
  <c r="M123" i="7"/>
  <c r="M4" i="1"/>
  <c r="M5" i="1"/>
  <c r="H30" i="1"/>
  <c r="K31" i="1"/>
  <c r="H38" i="1"/>
  <c r="H42" i="1"/>
  <c r="K42" i="1"/>
  <c r="L42" i="1"/>
  <c r="H43" i="1"/>
  <c r="H48" i="1"/>
  <c r="A88" i="1"/>
  <c r="M89" i="1"/>
  <c r="M90" i="1"/>
  <c r="A121" i="1"/>
  <c r="M122" i="1"/>
  <c r="M123" i="1"/>
  <c r="M4" i="8"/>
  <c r="M5" i="8"/>
  <c r="K31" i="8"/>
  <c r="H45" i="8"/>
  <c r="K45" i="8"/>
  <c r="L45" i="8"/>
  <c r="A88" i="8"/>
  <c r="M89" i="8"/>
  <c r="M90" i="8"/>
  <c r="A121" i="8"/>
  <c r="M122" i="8"/>
  <c r="M123" i="8"/>
  <c r="M4" i="12"/>
  <c r="M5" i="12"/>
  <c r="A88" i="12"/>
  <c r="M89" i="12"/>
  <c r="M90" i="12"/>
  <c r="A121" i="12"/>
  <c r="M122" i="12"/>
  <c r="M123" i="12"/>
  <c r="H37" i="1"/>
  <c r="K37" i="1"/>
  <c r="L37" i="1"/>
  <c r="AH13" i="1"/>
  <c r="AH12" i="1"/>
  <c r="AF43" i="8"/>
  <c r="A38" i="13"/>
  <c r="A55" i="13"/>
  <c r="A39" i="13"/>
  <c r="A56" i="13"/>
  <c r="AB82" i="1"/>
  <c r="Z82" i="1"/>
  <c r="AH17" i="8"/>
  <c r="AH42" i="7"/>
  <c r="AH14" i="7"/>
  <c r="H37" i="7"/>
  <c r="AH73" i="1"/>
  <c r="AF73" i="12"/>
  <c r="AG73" i="12"/>
  <c r="K2" i="9"/>
  <c r="A28" i="7"/>
  <c r="A8" i="13"/>
  <c r="A30" i="13"/>
  <c r="A32" i="13"/>
  <c r="A48" i="13"/>
  <c r="A114" i="13"/>
  <c r="A52" i="13"/>
  <c r="A118" i="13"/>
  <c r="A9" i="13"/>
  <c r="A11" i="13"/>
  <c r="A13" i="13"/>
  <c r="A31" i="13"/>
  <c r="A33" i="13"/>
  <c r="A35" i="13"/>
  <c r="A28" i="8"/>
  <c r="A7" i="12"/>
  <c r="A6" i="12"/>
  <c r="A8" i="7"/>
  <c r="A8" i="8"/>
  <c r="A8" i="12"/>
  <c r="A9" i="8"/>
  <c r="A11" i="8"/>
  <c r="A11" i="12"/>
  <c r="A12" i="8"/>
  <c r="A12" i="7"/>
  <c r="A12" i="12"/>
  <c r="A13" i="12"/>
  <c r="A15" i="8"/>
  <c r="A15" i="12"/>
  <c r="A16" i="7"/>
  <c r="A16" i="8"/>
  <c r="A27" i="7"/>
  <c r="A27" i="8"/>
  <c r="D37" i="7"/>
  <c r="A37" i="12"/>
  <c r="A91" i="12"/>
  <c r="A37" i="8"/>
  <c r="A91" i="8"/>
  <c r="A37" i="7"/>
  <c r="A91" i="7"/>
  <c r="A91" i="1"/>
  <c r="A93" i="12"/>
  <c r="A94" i="12"/>
  <c r="A95" i="12"/>
  <c r="A97" i="12"/>
  <c r="D42" i="1"/>
  <c r="I42" i="1"/>
  <c r="A98" i="12"/>
  <c r="A99" i="12"/>
  <c r="A100" i="12"/>
  <c r="A103" i="12"/>
  <c r="I48" i="1"/>
  <c r="A104" i="12"/>
  <c r="A105" i="12"/>
  <c r="D38" i="1"/>
  <c r="I38" i="1"/>
  <c r="B74" i="12"/>
  <c r="A101" i="12"/>
  <c r="A27" i="12"/>
  <c r="A7" i="7"/>
  <c r="A6" i="8"/>
  <c r="AH12" i="12"/>
  <c r="AF42" i="8"/>
  <c r="AH42" i="8"/>
  <c r="A66" i="13"/>
  <c r="AH42" i="12"/>
  <c r="AH63" i="12"/>
  <c r="A10" i="13"/>
  <c r="AH60" i="7"/>
  <c r="AH63" i="7"/>
  <c r="AA7" i="8"/>
  <c r="AH45" i="12"/>
  <c r="AH52" i="12"/>
  <c r="AJ1" i="8"/>
  <c r="A63" i="13"/>
  <c r="A74" i="13"/>
  <c r="A29" i="13"/>
  <c r="A7" i="13"/>
  <c r="AH50" i="7"/>
  <c r="A43" i="13"/>
  <c r="A109" i="13"/>
  <c r="A40" i="13"/>
  <c r="AH60" i="12"/>
  <c r="AH46" i="12"/>
  <c r="AH59" i="12"/>
  <c r="AH26" i="12"/>
  <c r="AE7" i="8"/>
  <c r="AF26" i="8"/>
  <c r="AH26" i="8"/>
  <c r="AF50" i="8"/>
  <c r="AH50" i="8"/>
  <c r="AF63" i="8"/>
  <c r="AH63" i="8"/>
  <c r="C22" i="13"/>
  <c r="D23" i="13"/>
  <c r="K31" i="12"/>
  <c r="A14" i="12"/>
  <c r="A14" i="7"/>
  <c r="A14" i="8"/>
  <c r="D37" i="1"/>
  <c r="C65" i="1"/>
  <c r="D43" i="1"/>
  <c r="I43" i="1"/>
  <c r="A106" i="12"/>
  <c r="A102" i="12"/>
  <c r="AC73" i="1"/>
  <c r="AA73" i="1"/>
  <c r="AE73" i="1"/>
  <c r="C65" i="7"/>
  <c r="C65" i="8"/>
  <c r="D37" i="8"/>
  <c r="K52" i="8"/>
  <c r="K48" i="8"/>
  <c r="C32" i="8"/>
  <c r="C32" i="12"/>
  <c r="AG73" i="1"/>
  <c r="B74" i="8"/>
  <c r="D37" i="12"/>
  <c r="A10" i="7"/>
  <c r="A10" i="8"/>
  <c r="A10" i="12"/>
  <c r="A26" i="12"/>
  <c r="A26" i="7"/>
  <c r="A26" i="8"/>
  <c r="D44" i="1"/>
  <c r="A96" i="12"/>
  <c r="A92" i="12"/>
  <c r="I49" i="1"/>
  <c r="C32" i="1"/>
  <c r="K42" i="8"/>
  <c r="B24" i="13"/>
  <c r="C107" i="13"/>
  <c r="K73" i="7"/>
  <c r="K37" i="7"/>
  <c r="K2" i="11"/>
  <c r="K2" i="10"/>
  <c r="E23" i="13"/>
  <c r="F107" i="13"/>
  <c r="C23" i="13"/>
  <c r="C65" i="12"/>
  <c r="A13" i="8"/>
  <c r="A13" i="7"/>
  <c r="A29" i="7"/>
  <c r="A29" i="12"/>
  <c r="A29" i="8"/>
  <c r="A17" i="7"/>
  <c r="D45" i="1"/>
  <c r="D46" i="1"/>
  <c r="K124" i="8"/>
  <c r="I45" i="8"/>
  <c r="I44" i="1"/>
  <c r="I46" i="1"/>
  <c r="I43" i="8"/>
  <c r="A53" i="13"/>
  <c r="A119" i="13"/>
  <c r="A14" i="13"/>
  <c r="A36" i="13"/>
  <c r="A70" i="13"/>
  <c r="A3" i="13"/>
  <c r="A59" i="13"/>
  <c r="A25" i="13"/>
  <c r="A51" i="13"/>
  <c r="A117" i="13"/>
  <c r="A12" i="13"/>
  <c r="A34" i="13"/>
  <c r="A68" i="13"/>
  <c r="AH6" i="12"/>
  <c r="AH29" i="12"/>
  <c r="AH25" i="12"/>
  <c r="AH13" i="12"/>
  <c r="AH15" i="12"/>
  <c r="AH27" i="12"/>
  <c r="AH6" i="7"/>
  <c r="AH12" i="7"/>
  <c r="AH15" i="7"/>
  <c r="AH17" i="7"/>
  <c r="AH27" i="7"/>
  <c r="AH28" i="7"/>
  <c r="AH43" i="7"/>
  <c r="AH47" i="7"/>
  <c r="AH48" i="7"/>
  <c r="AH51" i="7"/>
  <c r="AH61" i="7"/>
  <c r="AH62" i="7"/>
  <c r="AH64" i="7"/>
  <c r="AF6" i="8"/>
  <c r="AH6" i="8"/>
  <c r="AF12" i="8"/>
  <c r="AH12" i="8"/>
  <c r="AF13" i="8"/>
  <c r="AH13" i="8"/>
  <c r="AF15" i="8"/>
  <c r="AH15" i="8"/>
  <c r="AF27" i="8"/>
  <c r="AH27" i="8"/>
  <c r="AF28" i="8"/>
  <c r="AH28" i="8"/>
  <c r="AF29" i="8"/>
  <c r="AH29" i="8"/>
  <c r="AF44" i="8"/>
  <c r="AH44" i="8"/>
  <c r="AF45" i="8"/>
  <c r="AH45" i="8"/>
  <c r="AF47" i="8"/>
  <c r="AH47" i="8"/>
  <c r="AF48" i="8"/>
  <c r="AH48" i="8"/>
  <c r="AF49" i="8"/>
  <c r="AH49" i="8"/>
  <c r="AF51" i="8"/>
  <c r="AH51" i="8"/>
  <c r="AF58" i="8"/>
  <c r="AH58" i="8"/>
  <c r="AF60" i="8"/>
  <c r="AH60" i="8"/>
  <c r="AF61" i="8"/>
  <c r="AH61" i="8"/>
  <c r="AF62" i="8"/>
  <c r="AH62" i="8"/>
  <c r="AB82" i="8"/>
  <c r="AH16" i="8"/>
  <c r="AH43" i="8"/>
  <c r="AH52" i="8"/>
  <c r="AH64" i="8"/>
  <c r="H48" i="8"/>
  <c r="L48" i="8"/>
  <c r="A45" i="13"/>
  <c r="A111" i="13"/>
  <c r="A62" i="13"/>
  <c r="A28" i="13"/>
  <c r="A47" i="13"/>
  <c r="A113" i="13"/>
  <c r="A64" i="13"/>
  <c r="AH24" i="12"/>
  <c r="H37" i="12"/>
  <c r="A6" i="13"/>
  <c r="AH28" i="12"/>
  <c r="AH14" i="12"/>
  <c r="A71" i="13"/>
  <c r="A37" i="13"/>
  <c r="A15" i="13"/>
  <c r="AH62" i="12"/>
  <c r="AH49" i="12"/>
  <c r="AF14" i="8"/>
  <c r="AH14" i="8"/>
  <c r="AF46" i="8"/>
  <c r="AH46" i="8"/>
  <c r="AF59" i="8"/>
  <c r="AH59" i="8"/>
  <c r="H30" i="7"/>
  <c r="H30" i="8"/>
  <c r="A67" i="13"/>
  <c r="AH73" i="12"/>
  <c r="AJ1" i="7"/>
  <c r="A27" i="13"/>
  <c r="A61" i="13"/>
  <c r="A44" i="13"/>
  <c r="A110" i="13"/>
  <c r="AH26" i="7"/>
  <c r="AH46" i="7"/>
  <c r="AH59" i="7"/>
  <c r="AE73" i="12"/>
  <c r="AK73" i="12"/>
  <c r="AC73" i="12"/>
  <c r="AA73" i="12"/>
  <c r="AH44" i="12"/>
  <c r="AH50" i="12"/>
  <c r="AH13" i="7"/>
  <c r="AH16" i="7"/>
  <c r="AH29" i="7"/>
  <c r="AH44" i="7"/>
  <c r="AH45" i="7"/>
  <c r="AH52" i="7"/>
  <c r="AH58" i="7"/>
  <c r="AH70" i="7"/>
  <c r="A26" i="13"/>
  <c r="A4" i="13"/>
  <c r="H47" i="8"/>
  <c r="I47" i="8"/>
  <c r="H44" i="8"/>
  <c r="H49" i="8"/>
  <c r="H41" i="1"/>
  <c r="F116" i="13"/>
  <c r="F117" i="13"/>
  <c r="F109" i="13"/>
  <c r="F110" i="13"/>
  <c r="F120" i="13"/>
  <c r="F108" i="13"/>
  <c r="F118" i="13"/>
  <c r="F115" i="13"/>
  <c r="F113" i="13"/>
  <c r="F119" i="13"/>
  <c r="K65" i="7"/>
  <c r="K41" i="1"/>
  <c r="L41" i="1"/>
  <c r="K38" i="1"/>
  <c r="L38" i="1"/>
  <c r="K48" i="1"/>
  <c r="L48" i="1"/>
  <c r="K40" i="1"/>
  <c r="L40" i="1"/>
  <c r="K46" i="1"/>
  <c r="L46" i="1"/>
  <c r="K47" i="1"/>
  <c r="L47" i="1"/>
  <c r="K44" i="1"/>
  <c r="L44" i="1"/>
  <c r="I37" i="1"/>
  <c r="D65" i="1"/>
  <c r="AI73" i="1"/>
  <c r="AJ73" i="1"/>
  <c r="D65" i="8"/>
  <c r="K43" i="1"/>
  <c r="L43" i="1"/>
  <c r="K37" i="12"/>
  <c r="K38" i="8"/>
  <c r="K40" i="8"/>
  <c r="K44" i="8"/>
  <c r="L44" i="8"/>
  <c r="K46" i="8"/>
  <c r="K50" i="8"/>
  <c r="D24" i="13"/>
  <c r="D107" i="13"/>
  <c r="E24" i="13"/>
  <c r="E107" i="13"/>
  <c r="K49" i="8"/>
  <c r="K51" i="8"/>
  <c r="K39" i="8"/>
  <c r="K41" i="8"/>
  <c r="K43" i="8"/>
  <c r="L43" i="8"/>
  <c r="B76" i="8"/>
  <c r="K47" i="8"/>
  <c r="L47" i="8"/>
  <c r="K37" i="8"/>
  <c r="AK73" i="1"/>
  <c r="B74" i="7"/>
  <c r="K74" i="7"/>
  <c r="C119" i="12"/>
  <c r="C24" i="13"/>
  <c r="K49" i="1"/>
  <c r="L49" i="1"/>
  <c r="D65" i="12"/>
  <c r="K74" i="8"/>
  <c r="K70" i="7"/>
  <c r="C119" i="8"/>
  <c r="D65" i="7"/>
  <c r="K39" i="1"/>
  <c r="AJ73" i="12"/>
  <c r="AI73" i="12"/>
  <c r="L37" i="12"/>
  <c r="I37" i="12"/>
  <c r="H46" i="8"/>
  <c r="AG73" i="7"/>
  <c r="AC73" i="7"/>
  <c r="AA73" i="7"/>
  <c r="AE73" i="7"/>
  <c r="I48" i="8"/>
  <c r="H50" i="8"/>
  <c r="I44" i="8"/>
  <c r="H52" i="8"/>
  <c r="H51" i="8"/>
  <c r="L49" i="8"/>
  <c r="I49" i="8"/>
  <c r="H38" i="8"/>
  <c r="I41" i="1"/>
  <c r="R19" i="13"/>
  <c r="DA43" i="13"/>
  <c r="DA42" i="13"/>
  <c r="G49" i="13"/>
  <c r="J45" i="13"/>
  <c r="L43" i="13"/>
  <c r="DA52" i="13"/>
  <c r="F46" i="13"/>
  <c r="CZ46" i="13"/>
  <c r="H48" i="13"/>
  <c r="CZ52" i="13"/>
  <c r="K43" i="13"/>
  <c r="DA49" i="13"/>
  <c r="I54" i="13"/>
  <c r="E82" i="9"/>
  <c r="E34" i="13"/>
  <c r="D82" i="9"/>
  <c r="D34" i="13"/>
  <c r="CX51" i="13"/>
  <c r="O52" i="13"/>
  <c r="L50" i="13"/>
  <c r="J48" i="13"/>
  <c r="R47" i="13"/>
  <c r="P52" i="13"/>
  <c r="P42" i="13"/>
  <c r="DA44" i="13"/>
  <c r="O45" i="13"/>
  <c r="H51" i="13"/>
  <c r="O54" i="13"/>
  <c r="G52" i="13"/>
  <c r="F53" i="13"/>
  <c r="E86" i="9"/>
  <c r="E37" i="13"/>
  <c r="D86" i="9"/>
  <c r="D37" i="13"/>
  <c r="CY54" i="13"/>
  <c r="I48" i="13"/>
  <c r="J51" i="13"/>
  <c r="N42" i="13"/>
  <c r="CZ53" i="13"/>
  <c r="P50" i="13"/>
  <c r="O42" i="13"/>
  <c r="L47" i="13"/>
  <c r="H42" i="13"/>
  <c r="Q53" i="13"/>
  <c r="N19" i="13"/>
  <c r="R50" i="13"/>
  <c r="E75" i="9"/>
  <c r="E28" i="13"/>
  <c r="D75" i="9"/>
  <c r="D28" i="13"/>
  <c r="CY45" i="13"/>
  <c r="G54" i="13"/>
  <c r="E79" i="9"/>
  <c r="E32" i="13"/>
  <c r="D79" i="9"/>
  <c r="D32" i="13"/>
  <c r="CX49" i="13"/>
  <c r="K46" i="13"/>
  <c r="N46" i="13"/>
  <c r="G19" i="13"/>
  <c r="G51" i="13"/>
  <c r="CZ51" i="13"/>
  <c r="G46" i="13"/>
  <c r="K52" i="13"/>
  <c r="F52" i="13"/>
  <c r="DA50" i="13"/>
  <c r="K54" i="13"/>
  <c r="Q43" i="13"/>
  <c r="E83" i="9"/>
  <c r="E35" i="13"/>
  <c r="D83" i="9"/>
  <c r="D35" i="13"/>
  <c r="CX52" i="13"/>
  <c r="G53" i="13"/>
  <c r="J44" i="13"/>
  <c r="I42" i="13"/>
  <c r="P53" i="13"/>
  <c r="N50" i="13"/>
  <c r="J52" i="13"/>
  <c r="O53" i="13"/>
  <c r="D16" i="13"/>
  <c r="E16" i="13"/>
  <c r="CX19" i="13"/>
  <c r="O47" i="13"/>
  <c r="G43" i="13"/>
  <c r="K42" i="13"/>
  <c r="P19" i="13"/>
  <c r="O19" i="13"/>
  <c r="H43" i="13"/>
  <c r="N52" i="13"/>
  <c r="G42" i="13"/>
  <c r="K44" i="13"/>
  <c r="E72" i="9"/>
  <c r="E25" i="13"/>
  <c r="D72" i="9"/>
  <c r="D25" i="13"/>
  <c r="CY42" i="13"/>
  <c r="J42" i="13"/>
  <c r="CZ48" i="13"/>
  <c r="K51" i="13"/>
  <c r="CZ19" i="13"/>
  <c r="I50" i="13"/>
  <c r="G48" i="13"/>
  <c r="O46" i="13"/>
  <c r="R54" i="13"/>
  <c r="DA47" i="13"/>
  <c r="F19" i="13"/>
  <c r="CY52" i="13"/>
  <c r="M42" i="13"/>
  <c r="F54" i="13"/>
  <c r="O43" i="13"/>
  <c r="E76" i="9"/>
  <c r="E29" i="13"/>
  <c r="D76" i="9"/>
  <c r="D29" i="13"/>
  <c r="CY46" i="13"/>
  <c r="L48" i="13"/>
  <c r="E73" i="9"/>
  <c r="E26" i="13"/>
  <c r="D73" i="9"/>
  <c r="D26" i="13"/>
  <c r="CX43" i="13"/>
  <c r="DA53" i="13"/>
  <c r="E81" i="9"/>
  <c r="E33" i="13"/>
  <c r="D81" i="9"/>
  <c r="D33" i="13"/>
  <c r="CY50" i="13"/>
  <c r="F45" i="13"/>
  <c r="Q51" i="13"/>
  <c r="R52" i="13"/>
  <c r="Q42" i="13"/>
  <c r="R51" i="13"/>
  <c r="DA54" i="13"/>
  <c r="Q46" i="13"/>
  <c r="CZ47" i="13"/>
  <c r="Q19" i="13"/>
  <c r="E78" i="9"/>
  <c r="E31" i="13"/>
  <c r="D78" i="9"/>
  <c r="D31" i="13"/>
  <c r="CY48" i="13"/>
  <c r="L49" i="13"/>
  <c r="N48" i="13"/>
  <c r="H47" i="13"/>
  <c r="M19" i="13"/>
  <c r="CX45" i="13"/>
  <c r="R45" i="13"/>
  <c r="Q47" i="13"/>
  <c r="P46" i="13"/>
  <c r="J19" i="13"/>
  <c r="M54" i="13"/>
  <c r="M53" i="13"/>
  <c r="O44" i="13"/>
  <c r="I43" i="13"/>
  <c r="N49" i="13"/>
  <c r="Q45" i="13"/>
  <c r="H45" i="13"/>
  <c r="K48" i="13"/>
  <c r="R46" i="13"/>
  <c r="M47" i="13"/>
  <c r="K49" i="13"/>
  <c r="R53" i="13"/>
  <c r="CX50" i="13"/>
  <c r="N43" i="13"/>
  <c r="CX48" i="13"/>
  <c r="P48" i="13"/>
  <c r="N51" i="13"/>
  <c r="L42" i="13"/>
  <c r="L54" i="13"/>
  <c r="E77" i="9"/>
  <c r="E30" i="13"/>
  <c r="D77" i="9"/>
  <c r="D30" i="13"/>
  <c r="CY47" i="13"/>
  <c r="I45" i="13"/>
  <c r="H46" i="13"/>
  <c r="I53" i="13"/>
  <c r="K53" i="13"/>
  <c r="G47" i="13"/>
  <c r="P47" i="13"/>
  <c r="L45" i="13"/>
  <c r="G50" i="13"/>
  <c r="L46" i="13"/>
  <c r="H49" i="13"/>
  <c r="DA45" i="13"/>
  <c r="CY51" i="13"/>
  <c r="CY43" i="13"/>
  <c r="F48" i="13"/>
  <c r="E85" i="9"/>
  <c r="E36" i="13"/>
  <c r="D85" i="9"/>
  <c r="D36" i="13"/>
  <c r="CX53" i="13"/>
  <c r="N53" i="13"/>
  <c r="E74" i="9"/>
  <c r="E27" i="13"/>
  <c r="D74" i="9"/>
  <c r="D27" i="13"/>
  <c r="CX44" i="13"/>
  <c r="O49" i="13"/>
  <c r="I52" i="13"/>
  <c r="H19" i="13"/>
  <c r="P49" i="13"/>
  <c r="P51" i="13"/>
  <c r="G45" i="13"/>
  <c r="F47" i="13"/>
  <c r="J53" i="13"/>
  <c r="L19" i="13"/>
  <c r="CX42" i="13"/>
  <c r="CZ45" i="13"/>
  <c r="Q50" i="13"/>
  <c r="M49" i="13"/>
  <c r="CX47" i="13"/>
  <c r="R49" i="13"/>
  <c r="CZ42" i="13"/>
  <c r="Q48" i="13"/>
  <c r="CZ44" i="13"/>
  <c r="I44" i="13"/>
  <c r="H50" i="13"/>
  <c r="I19" i="13"/>
  <c r="P54" i="13"/>
  <c r="F43" i="13"/>
  <c r="M52" i="13"/>
  <c r="M45" i="13"/>
  <c r="N54" i="13"/>
  <c r="J46" i="13"/>
  <c r="M44" i="13"/>
  <c r="K50" i="13"/>
  <c r="J43" i="13"/>
  <c r="CY49" i="13"/>
  <c r="M46" i="13"/>
  <c r="F49" i="13"/>
  <c r="R44" i="13"/>
  <c r="R43" i="13"/>
  <c r="I51" i="13"/>
  <c r="CZ43" i="13"/>
  <c r="L44" i="13"/>
  <c r="J49" i="13"/>
  <c r="CZ54" i="13"/>
  <c r="Q52" i="13"/>
  <c r="H44" i="13"/>
  <c r="Q54" i="13"/>
  <c r="F42" i="13"/>
  <c r="P43" i="13"/>
  <c r="O51" i="13"/>
  <c r="P44" i="13"/>
  <c r="DA19" i="13"/>
  <c r="K47" i="13"/>
  <c r="L51" i="13"/>
  <c r="N45" i="13"/>
  <c r="CX46" i="13"/>
  <c r="H53" i="13"/>
  <c r="M48" i="13"/>
  <c r="I46" i="13"/>
  <c r="F44" i="13"/>
  <c r="I49" i="13"/>
  <c r="J47" i="13"/>
  <c r="R48" i="13"/>
  <c r="J50" i="13"/>
  <c r="K45" i="13"/>
  <c r="CZ49" i="13"/>
  <c r="N44" i="13"/>
  <c r="G44" i="13"/>
  <c r="Q49" i="13"/>
  <c r="CY44" i="13"/>
  <c r="DA46" i="13"/>
  <c r="O48" i="13"/>
  <c r="I47" i="13"/>
  <c r="O50" i="13"/>
  <c r="K19" i="13"/>
  <c r="DA48" i="13"/>
  <c r="M43" i="13"/>
  <c r="DA51" i="13"/>
  <c r="F51" i="13"/>
  <c r="J54" i="13"/>
  <c r="CX54" i="13"/>
  <c r="CY19" i="13"/>
  <c r="R42" i="13"/>
  <c r="L53" i="13"/>
  <c r="P45" i="13"/>
  <c r="F50" i="13"/>
  <c r="H52" i="13"/>
  <c r="CZ50" i="13"/>
  <c r="Q44" i="13"/>
  <c r="M51" i="13"/>
  <c r="L52" i="13"/>
  <c r="N47" i="13"/>
  <c r="M50" i="13"/>
  <c r="H54" i="13"/>
  <c r="CY53" i="13"/>
  <c r="D119" i="8"/>
  <c r="D30" i="8"/>
  <c r="D32" i="8"/>
  <c r="K73" i="12"/>
  <c r="K70" i="12"/>
  <c r="K74" i="12"/>
  <c r="K70" i="1"/>
  <c r="K75" i="1"/>
  <c r="K73" i="1"/>
  <c r="K74" i="1"/>
  <c r="K65" i="8"/>
  <c r="C119" i="7"/>
  <c r="K124" i="7"/>
  <c r="K65" i="1"/>
  <c r="C119" i="1"/>
  <c r="K73" i="8"/>
  <c r="K70" i="8"/>
  <c r="K130" i="8"/>
  <c r="K119" i="12"/>
  <c r="K119" i="8"/>
  <c r="K65" i="12"/>
  <c r="D119" i="12"/>
  <c r="D30" i="12"/>
  <c r="D32" i="12"/>
  <c r="AK73" i="7"/>
  <c r="L46" i="8"/>
  <c r="I46" i="8"/>
  <c r="AC73" i="8"/>
  <c r="AG73" i="8"/>
  <c r="AE73" i="8"/>
  <c r="AA73" i="8"/>
  <c r="AJ73" i="7"/>
  <c r="AI73" i="7"/>
  <c r="I50" i="8"/>
  <c r="L50" i="8"/>
  <c r="I52" i="8"/>
  <c r="L52" i="8"/>
  <c r="L51" i="8"/>
  <c r="I51" i="8"/>
  <c r="L38" i="8"/>
  <c r="I38" i="8"/>
  <c r="K130" i="7"/>
  <c r="K119" i="7"/>
  <c r="K119" i="1"/>
  <c r="D119" i="7"/>
  <c r="D30" i="7"/>
  <c r="D32" i="7"/>
  <c r="B75" i="8"/>
  <c r="K75" i="8"/>
  <c r="K76" i="8"/>
  <c r="B75" i="12"/>
  <c r="K75" i="12"/>
  <c r="K76" i="12"/>
  <c r="D119" i="1"/>
  <c r="D30" i="1"/>
  <c r="D32" i="1"/>
  <c r="K76" i="1"/>
  <c r="AJ73" i="8"/>
  <c r="AI73" i="8"/>
  <c r="AK73" i="8"/>
  <c r="B75" i="7"/>
  <c r="K75" i="7"/>
  <c r="K76" i="7"/>
  <c r="AJ7" i="1"/>
  <c r="AD82" i="8"/>
  <c r="AF82" i="8"/>
  <c r="AF82" i="1"/>
  <c r="AD82" i="1"/>
  <c r="AJ7" i="8"/>
  <c r="I45" i="1"/>
  <c r="H41" i="8"/>
  <c r="H40" i="8"/>
  <c r="L39" i="1"/>
  <c r="L65" i="1"/>
  <c r="H39" i="8"/>
  <c r="I65" i="1"/>
  <c r="I37" i="7"/>
  <c r="L37" i="7"/>
  <c r="H37" i="8"/>
  <c r="AJ7" i="12"/>
  <c r="AJ7" i="7"/>
  <c r="C75" i="9"/>
  <c r="C74" i="9"/>
  <c r="C86" i="9"/>
  <c r="C81" i="9"/>
  <c r="C85" i="9"/>
  <c r="C78" i="9"/>
  <c r="C80" i="9"/>
  <c r="C84" i="9"/>
  <c r="C76" i="9"/>
  <c r="I73" i="1"/>
  <c r="G75" i="9"/>
  <c r="C73" i="9"/>
  <c r="C82" i="9"/>
  <c r="C87" i="9"/>
  <c r="C77" i="9"/>
  <c r="C79" i="9"/>
  <c r="I65" i="12"/>
  <c r="L65" i="12"/>
  <c r="H42" i="8"/>
  <c r="L41" i="8"/>
  <c r="I41" i="8"/>
  <c r="L40" i="8"/>
  <c r="I40" i="8"/>
  <c r="L65" i="7"/>
  <c r="I65" i="7"/>
  <c r="I39" i="8"/>
  <c r="L39" i="8"/>
  <c r="L37" i="8"/>
  <c r="I37" i="8"/>
  <c r="AH83" i="1"/>
  <c r="I76" i="1"/>
  <c r="I70" i="1"/>
  <c r="C36" i="13"/>
  <c r="C14" i="13"/>
  <c r="C4" i="13"/>
  <c r="C26" i="13"/>
  <c r="C72" i="9"/>
  <c r="O124" i="12"/>
  <c r="C17" i="13"/>
  <c r="C39" i="13"/>
  <c r="C10" i="13"/>
  <c r="C32" i="13"/>
  <c r="C12" i="13"/>
  <c r="C34" i="13"/>
  <c r="C29" i="13"/>
  <c r="C7" i="13"/>
  <c r="C37" i="13"/>
  <c r="C15" i="13"/>
  <c r="C5" i="13"/>
  <c r="C27" i="13"/>
  <c r="C18" i="13"/>
  <c r="C40" i="13"/>
  <c r="G94" i="9"/>
  <c r="C30" i="13"/>
  <c r="C8" i="13"/>
  <c r="I73" i="7"/>
  <c r="D87" i="9"/>
  <c r="H75" i="9"/>
  <c r="D84" i="9"/>
  <c r="D80" i="9"/>
  <c r="C83" i="9"/>
  <c r="I73" i="12"/>
  <c r="B85" i="9"/>
  <c r="B84" i="9"/>
  <c r="B87" i="9"/>
  <c r="B78" i="9"/>
  <c r="B77" i="9"/>
  <c r="B74" i="9"/>
  <c r="B80" i="9"/>
  <c r="F87" i="9"/>
  <c r="B86" i="9"/>
  <c r="B79" i="9"/>
  <c r="B75" i="9"/>
  <c r="F75" i="9"/>
  <c r="B76" i="9"/>
  <c r="B82" i="9"/>
  <c r="B81" i="9"/>
  <c r="B73" i="9"/>
  <c r="O127" i="12"/>
  <c r="G93" i="9"/>
  <c r="C9" i="13"/>
  <c r="C31" i="13"/>
  <c r="C11" i="13"/>
  <c r="C33" i="13"/>
  <c r="C6" i="13"/>
  <c r="C28" i="13"/>
  <c r="L42" i="8"/>
  <c r="I42" i="8"/>
  <c r="L65" i="8"/>
  <c r="I65" i="8"/>
  <c r="L74" i="1"/>
  <c r="I70" i="7"/>
  <c r="I76" i="7"/>
  <c r="B28" i="13"/>
  <c r="Y45" i="13"/>
  <c r="AP45" i="13"/>
  <c r="B7" i="13"/>
  <c r="B29" i="13"/>
  <c r="F93" i="9"/>
  <c r="AC83" i="8"/>
  <c r="AG83" i="8"/>
  <c r="I75" i="9"/>
  <c r="AA83" i="8"/>
  <c r="E87" i="9"/>
  <c r="E84" i="9"/>
  <c r="E80" i="9"/>
  <c r="AE83" i="8"/>
  <c r="B4" i="13"/>
  <c r="AS4" i="13"/>
  <c r="AT4" i="13"/>
  <c r="BS4" i="13"/>
  <c r="BG4" i="13"/>
  <c r="BI4" i="13"/>
  <c r="BA4" i="13"/>
  <c r="BJ4" i="13"/>
  <c r="AV4" i="13"/>
  <c r="BQ4" i="13"/>
  <c r="BT4" i="13"/>
  <c r="AM4" i="13"/>
  <c r="BN4" i="13"/>
  <c r="AQ4" i="13"/>
  <c r="BB4" i="13"/>
  <c r="AF4" i="13"/>
  <c r="BO4" i="13"/>
  <c r="AJ4" i="13"/>
  <c r="AO4" i="13"/>
  <c r="AZ4" i="13"/>
  <c r="BH4" i="13"/>
  <c r="BR4" i="13"/>
  <c r="AW4" i="13"/>
  <c r="BU4" i="13"/>
  <c r="BC4" i="13"/>
  <c r="BF4" i="13"/>
  <c r="AX4" i="13"/>
  <c r="AP4" i="13"/>
  <c r="AU4" i="13"/>
  <c r="AY4" i="13"/>
  <c r="AN4" i="13"/>
  <c r="BE4" i="13"/>
  <c r="BL4" i="13"/>
  <c r="AG4" i="13"/>
  <c r="AI4" i="13"/>
  <c r="BK4" i="13"/>
  <c r="AK4" i="13"/>
  <c r="AE4" i="13"/>
  <c r="AR4" i="13"/>
  <c r="BD4" i="13"/>
  <c r="BP4" i="13"/>
  <c r="AH4" i="13"/>
  <c r="AL4" i="13"/>
  <c r="BM4" i="13"/>
  <c r="B36" i="13"/>
  <c r="AM53" i="13"/>
  <c r="B72" i="9"/>
  <c r="B15" i="13"/>
  <c r="B37" i="13"/>
  <c r="AV54" i="13"/>
  <c r="B8" i="13"/>
  <c r="B30" i="13"/>
  <c r="AF47" i="13"/>
  <c r="D10" i="13"/>
  <c r="BY32" i="13"/>
  <c r="D14" i="13"/>
  <c r="BG36" i="13"/>
  <c r="B31" i="13"/>
  <c r="BA31" i="13"/>
  <c r="D9" i="13"/>
  <c r="D6" i="13"/>
  <c r="BD28" i="13"/>
  <c r="BR5" i="13"/>
  <c r="B5" i="13"/>
  <c r="AR5" i="13"/>
  <c r="BP5" i="13"/>
  <c r="BS5" i="13"/>
  <c r="BT5" i="13"/>
  <c r="AM5" i="13"/>
  <c r="BN5" i="13"/>
  <c r="AX5" i="13"/>
  <c r="AW5" i="13"/>
  <c r="BF5" i="13"/>
  <c r="BI5" i="13"/>
  <c r="AH5" i="13"/>
  <c r="AY5" i="13"/>
  <c r="AL5" i="13"/>
  <c r="AZ5" i="13"/>
  <c r="AQ5" i="13"/>
  <c r="AT5" i="13"/>
  <c r="BU5" i="13"/>
  <c r="BC5" i="13"/>
  <c r="AI5" i="13"/>
  <c r="BE5" i="13"/>
  <c r="AP5" i="13"/>
  <c r="BH5" i="13"/>
  <c r="AG5" i="13"/>
  <c r="AE5" i="13"/>
  <c r="AU5" i="13"/>
  <c r="BO5" i="13"/>
  <c r="BD5" i="13"/>
  <c r="AO5" i="13"/>
  <c r="AF5" i="13"/>
  <c r="AV5" i="13"/>
  <c r="BA5" i="13"/>
  <c r="BB5" i="13"/>
  <c r="BG5" i="13"/>
  <c r="BL5" i="13"/>
  <c r="AS5" i="13"/>
  <c r="BQ5" i="13"/>
  <c r="AK5" i="13"/>
  <c r="BK5" i="13"/>
  <c r="BJ5" i="13"/>
  <c r="BM5" i="13"/>
  <c r="AJ5" i="13"/>
  <c r="AN5" i="13"/>
  <c r="T46" i="13"/>
  <c r="AK46" i="13"/>
  <c r="AP46" i="13"/>
  <c r="AV46" i="13"/>
  <c r="AM46" i="13"/>
  <c r="W46" i="13"/>
  <c r="Z46" i="13"/>
  <c r="AE46" i="13"/>
  <c r="AH46" i="13"/>
  <c r="AG46" i="13"/>
  <c r="AS46" i="13"/>
  <c r="AI46" i="13"/>
  <c r="AW46" i="13"/>
  <c r="Y46" i="13"/>
  <c r="AA46" i="13"/>
  <c r="AQ46" i="13"/>
  <c r="AT46" i="13"/>
  <c r="AU46" i="13"/>
  <c r="AD46" i="13"/>
  <c r="C112" i="13"/>
  <c r="AN46" i="13"/>
  <c r="AY46" i="13"/>
  <c r="AZ46" i="13"/>
  <c r="V46" i="13"/>
  <c r="AJ46" i="13"/>
  <c r="U46" i="13"/>
  <c r="AR46" i="13"/>
  <c r="AC46" i="13"/>
  <c r="AO46" i="13"/>
  <c r="X46" i="13"/>
  <c r="AB46" i="13"/>
  <c r="AF46" i="13"/>
  <c r="S46" i="13"/>
  <c r="AL46" i="13"/>
  <c r="AX46" i="13"/>
  <c r="B33" i="13"/>
  <c r="AY50" i="13"/>
  <c r="AC50" i="13"/>
  <c r="V50" i="13"/>
  <c r="BM33" i="13"/>
  <c r="AG50" i="13"/>
  <c r="B6" i="13"/>
  <c r="AH6" i="13"/>
  <c r="BE6" i="13"/>
  <c r="AW6" i="13"/>
  <c r="BH6" i="13"/>
  <c r="BB6" i="13"/>
  <c r="AT6" i="13"/>
  <c r="BR6" i="13"/>
  <c r="AY6" i="13"/>
  <c r="AM6" i="13"/>
  <c r="AZ6" i="13"/>
  <c r="BO6" i="13"/>
  <c r="BN6" i="13"/>
  <c r="AE6" i="13"/>
  <c r="AN6" i="13"/>
  <c r="AI6" i="13"/>
  <c r="AK6" i="13"/>
  <c r="BJ6" i="13"/>
  <c r="BM6" i="13"/>
  <c r="BQ6" i="13"/>
  <c r="AO6" i="13"/>
  <c r="AR6" i="13"/>
  <c r="BC6" i="13"/>
  <c r="AP6" i="13"/>
  <c r="BA6" i="13"/>
  <c r="BT6" i="13"/>
  <c r="BL6" i="13"/>
  <c r="AL6" i="13"/>
  <c r="BP6" i="13"/>
  <c r="AF6" i="13"/>
  <c r="AG6" i="13"/>
  <c r="AU6" i="13"/>
  <c r="AQ6" i="13"/>
  <c r="BF6" i="13"/>
  <c r="BU6" i="13"/>
  <c r="BG6" i="13"/>
  <c r="BK6" i="13"/>
  <c r="AV6" i="13"/>
  <c r="BD6" i="13"/>
  <c r="BS6" i="13"/>
  <c r="AX6" i="13"/>
  <c r="AJ6" i="13"/>
  <c r="BI6" i="13"/>
  <c r="AS6" i="13"/>
  <c r="B9" i="13"/>
  <c r="AW9" i="13"/>
  <c r="BE9" i="13"/>
  <c r="AP9" i="13"/>
  <c r="AX9" i="13"/>
  <c r="BA9" i="13"/>
  <c r="AJ9" i="13"/>
  <c r="BP9" i="13"/>
  <c r="AV9" i="13"/>
  <c r="AY9" i="13"/>
  <c r="AQ9" i="13"/>
  <c r="AS9" i="13"/>
  <c r="AE9" i="13"/>
  <c r="AK9" i="13"/>
  <c r="AT9" i="13"/>
  <c r="BS9" i="13"/>
  <c r="AI9" i="13"/>
  <c r="AM9" i="13"/>
  <c r="AO9" i="13"/>
  <c r="AF9" i="13"/>
  <c r="BT9" i="13"/>
  <c r="BR9" i="13"/>
  <c r="BK9" i="13"/>
  <c r="BL9" i="13"/>
  <c r="AL9" i="13"/>
  <c r="AU9" i="13"/>
  <c r="BD9" i="13"/>
  <c r="BH9" i="13"/>
  <c r="AR9" i="13"/>
  <c r="BG9" i="13"/>
  <c r="AZ9" i="13"/>
  <c r="BB9" i="13"/>
  <c r="AH9" i="13"/>
  <c r="BI9" i="13"/>
  <c r="BN9" i="13"/>
  <c r="BM9" i="13"/>
  <c r="BC9" i="13"/>
  <c r="AG9" i="13"/>
  <c r="BO9" i="13"/>
  <c r="BF9" i="13"/>
  <c r="BU9" i="13"/>
  <c r="BQ9" i="13"/>
  <c r="AN9" i="13"/>
  <c r="BJ9" i="13"/>
  <c r="AL50" i="13"/>
  <c r="B11" i="13"/>
  <c r="B32" i="13"/>
  <c r="T49" i="13"/>
  <c r="B10" i="13"/>
  <c r="B27" i="13"/>
  <c r="B14" i="13"/>
  <c r="AH53" i="13"/>
  <c r="D8" i="13"/>
  <c r="CC30" i="13"/>
  <c r="D11" i="13"/>
  <c r="BP33" i="13"/>
  <c r="D5" i="13"/>
  <c r="BJ27" i="13"/>
  <c r="B18" i="13"/>
  <c r="AI18" i="13"/>
  <c r="BP18" i="13"/>
  <c r="BF18" i="13"/>
  <c r="AZ18" i="13"/>
  <c r="BT18" i="13"/>
  <c r="BD18" i="13"/>
  <c r="BI18" i="13"/>
  <c r="AQ18" i="13"/>
  <c r="BG18" i="13"/>
  <c r="AN18" i="13"/>
  <c r="BQ18" i="13"/>
  <c r="AW18" i="13"/>
  <c r="BB18" i="13"/>
  <c r="BC18" i="13"/>
  <c r="AX18" i="13"/>
  <c r="AK18" i="13"/>
  <c r="BJ18" i="13"/>
  <c r="AU18" i="13"/>
  <c r="AY18" i="13"/>
  <c r="AE18" i="13"/>
  <c r="AH18" i="13"/>
  <c r="AM18" i="13"/>
  <c r="AP18" i="13"/>
  <c r="BK18" i="13"/>
  <c r="AV18" i="13"/>
  <c r="BU18" i="13"/>
  <c r="AJ18" i="13"/>
  <c r="AF18" i="13"/>
  <c r="BA18" i="13"/>
  <c r="BL18" i="13"/>
  <c r="BH18" i="13"/>
  <c r="BR18" i="13"/>
  <c r="BE18" i="13"/>
  <c r="AG18" i="13"/>
  <c r="AR18" i="13"/>
  <c r="BS18" i="13"/>
  <c r="BN18" i="13"/>
  <c r="BM18" i="13"/>
  <c r="AS18" i="13"/>
  <c r="AO18" i="13"/>
  <c r="AT18" i="13"/>
  <c r="BO18" i="13"/>
  <c r="AL18" i="13"/>
  <c r="W54" i="13"/>
  <c r="AR54" i="13"/>
  <c r="AZ54" i="13"/>
  <c r="AK54" i="13"/>
  <c r="V54" i="13"/>
  <c r="B12" i="13"/>
  <c r="AO12" i="13"/>
  <c r="BN12" i="13"/>
  <c r="BE12" i="13"/>
  <c r="AW12" i="13"/>
  <c r="AM12" i="13"/>
  <c r="AT12" i="13"/>
  <c r="BU12" i="13"/>
  <c r="BM12" i="13"/>
  <c r="AR12" i="13"/>
  <c r="BR12" i="13"/>
  <c r="AE12" i="13"/>
  <c r="BG12" i="13"/>
  <c r="BO12" i="13"/>
  <c r="AF12" i="13"/>
  <c r="AK12" i="13"/>
  <c r="BA12" i="13"/>
  <c r="BL12" i="13"/>
  <c r="AP12" i="13"/>
  <c r="BK12" i="13"/>
  <c r="BQ12" i="13"/>
  <c r="AL12" i="13"/>
  <c r="BT12" i="13"/>
  <c r="AJ12" i="13"/>
  <c r="AY12" i="13"/>
  <c r="AX12" i="13"/>
  <c r="AN12" i="13"/>
  <c r="AH12" i="13"/>
  <c r="BP12" i="13"/>
  <c r="AS12" i="13"/>
  <c r="BJ12" i="13"/>
  <c r="BF12" i="13"/>
  <c r="BI12" i="13"/>
  <c r="BS12" i="13"/>
  <c r="AI12" i="13"/>
  <c r="AZ12" i="13"/>
  <c r="AU12" i="13"/>
  <c r="AG12" i="13"/>
  <c r="BB12" i="13"/>
  <c r="AQ12" i="13"/>
  <c r="AV12" i="13"/>
  <c r="BH12" i="13"/>
  <c r="BD12" i="13"/>
  <c r="BC12" i="13"/>
  <c r="B17" i="13"/>
  <c r="AV17" i="13"/>
  <c r="AN17" i="13"/>
  <c r="AT17" i="13"/>
  <c r="AQ17" i="13"/>
  <c r="AW17" i="13"/>
  <c r="BF17" i="13"/>
  <c r="AU17" i="13"/>
  <c r="BH17" i="13"/>
  <c r="AE17" i="13"/>
  <c r="BD17" i="13"/>
  <c r="AP17" i="13"/>
  <c r="BS17" i="13"/>
  <c r="BG17" i="13"/>
  <c r="BE17" i="13"/>
  <c r="AS17" i="13"/>
  <c r="BK17" i="13"/>
  <c r="AM17" i="13"/>
  <c r="AY17" i="13"/>
  <c r="AG17" i="13"/>
  <c r="BI17" i="13"/>
  <c r="AL17" i="13"/>
  <c r="BC17" i="13"/>
  <c r="AO17" i="13"/>
  <c r="AJ17" i="13"/>
  <c r="BP17" i="13"/>
  <c r="BR17" i="13"/>
  <c r="BO17" i="13"/>
  <c r="BN17" i="13"/>
  <c r="BT17" i="13"/>
  <c r="AF17" i="13"/>
  <c r="AX17" i="13"/>
  <c r="BA17" i="13"/>
  <c r="BQ17" i="13"/>
  <c r="BM17" i="13"/>
  <c r="AH17" i="13"/>
  <c r="AZ17" i="13"/>
  <c r="BU17" i="13"/>
  <c r="AI17" i="13"/>
  <c r="AK17" i="13"/>
  <c r="BL17" i="13"/>
  <c r="BB17" i="13"/>
  <c r="BJ17" i="13"/>
  <c r="AR17" i="13"/>
  <c r="B40" i="13"/>
  <c r="D39" i="13"/>
  <c r="D17" i="13"/>
  <c r="AH83" i="12"/>
  <c r="B26" i="13"/>
  <c r="AV43" i="13"/>
  <c r="AJ45" i="13"/>
  <c r="D4" i="13"/>
  <c r="BU26" i="13"/>
  <c r="B34" i="13"/>
  <c r="BJ34" i="13"/>
  <c r="D12" i="13"/>
  <c r="BC40" i="13"/>
  <c r="AW40" i="13"/>
  <c r="BL40" i="13"/>
  <c r="BF40" i="13"/>
  <c r="BK40" i="13"/>
  <c r="AY40" i="13"/>
  <c r="BT40" i="13"/>
  <c r="AX40" i="13"/>
  <c r="AI40" i="13"/>
  <c r="BU40" i="13"/>
  <c r="AK40" i="13"/>
  <c r="AP40" i="13"/>
  <c r="BI40" i="13"/>
  <c r="BE40" i="13"/>
  <c r="AZ40" i="13"/>
  <c r="BR40" i="13"/>
  <c r="AO40" i="13"/>
  <c r="AF40" i="13"/>
  <c r="AE40" i="13"/>
  <c r="BJ40" i="13"/>
  <c r="BP40" i="13"/>
  <c r="AT40" i="13"/>
  <c r="AS40" i="13"/>
  <c r="BN40" i="13"/>
  <c r="BO40" i="13"/>
  <c r="BD40" i="13"/>
  <c r="BS40" i="13"/>
  <c r="BQ40" i="13"/>
  <c r="AJ40" i="13"/>
  <c r="BH40" i="13"/>
  <c r="AQ40" i="13"/>
  <c r="BB40" i="13"/>
  <c r="AV40" i="13"/>
  <c r="AH40" i="13"/>
  <c r="BG40" i="13"/>
  <c r="AM40" i="13"/>
  <c r="AN40" i="13"/>
  <c r="BA40" i="13"/>
  <c r="AL40" i="13"/>
  <c r="AG40" i="13"/>
  <c r="BM40" i="13"/>
  <c r="AU40" i="13"/>
  <c r="AR40" i="13"/>
  <c r="BB15" i="13"/>
  <c r="AF15" i="13"/>
  <c r="BN15" i="13"/>
  <c r="AE15" i="13"/>
  <c r="AH15" i="13"/>
  <c r="AY15" i="13"/>
  <c r="BL15" i="13"/>
  <c r="BH15" i="13"/>
  <c r="BF15" i="13"/>
  <c r="BQ15" i="13"/>
  <c r="AQ15" i="13"/>
  <c r="AW15" i="13"/>
  <c r="BI15" i="13"/>
  <c r="BP15" i="13"/>
  <c r="BD15" i="13"/>
  <c r="AV15" i="13"/>
  <c r="BE15" i="13"/>
  <c r="BA15" i="13"/>
  <c r="BO15" i="13"/>
  <c r="AI15" i="13"/>
  <c r="AL15" i="13"/>
  <c r="AS15" i="13"/>
  <c r="BK15" i="13"/>
  <c r="AT15" i="13"/>
  <c r="BU15" i="13"/>
  <c r="AN15" i="13"/>
  <c r="BS15" i="13"/>
  <c r="BR15" i="13"/>
  <c r="BT15" i="13"/>
  <c r="AO15" i="13"/>
  <c r="AK15" i="13"/>
  <c r="AJ15" i="13"/>
  <c r="AP15" i="13"/>
  <c r="AG15" i="13"/>
  <c r="BJ15" i="13"/>
  <c r="AU15" i="13"/>
  <c r="BM15" i="13"/>
  <c r="BG15" i="13"/>
  <c r="AZ15" i="13"/>
  <c r="BC15" i="13"/>
  <c r="AM15" i="13"/>
  <c r="AR15" i="13"/>
  <c r="AX15" i="13"/>
  <c r="CB34" i="13"/>
  <c r="BX34" i="13"/>
  <c r="BD34" i="13"/>
  <c r="BG34" i="13"/>
  <c r="BM34" i="13"/>
  <c r="AL51" i="13"/>
  <c r="BR34" i="13"/>
  <c r="BO34" i="13"/>
  <c r="BW34" i="13"/>
  <c r="AT51" i="13"/>
  <c r="BT34" i="13"/>
  <c r="AE51" i="13"/>
  <c r="BP34" i="13"/>
  <c r="BL34" i="13"/>
  <c r="BI34" i="13"/>
  <c r="BB34" i="13"/>
  <c r="BA34" i="13"/>
  <c r="BS34" i="13"/>
  <c r="BN34" i="13"/>
  <c r="BI39" i="13"/>
  <c r="BS39" i="13"/>
  <c r="B39" i="13"/>
  <c r="BC39" i="13"/>
  <c r="BB39" i="13"/>
  <c r="AT39" i="13"/>
  <c r="BM39" i="13"/>
  <c r="BL39" i="13"/>
  <c r="AN39" i="13"/>
  <c r="BE39" i="13"/>
  <c r="BP39" i="13"/>
  <c r="BJ39" i="13"/>
  <c r="AS39" i="13"/>
  <c r="AW39" i="13"/>
  <c r="BA39" i="13"/>
  <c r="AF39" i="13"/>
  <c r="AU39" i="13"/>
  <c r="BO39" i="13"/>
  <c r="BK39" i="13"/>
  <c r="AP39" i="13"/>
  <c r="AG39" i="13"/>
  <c r="AE39" i="13"/>
  <c r="BG39" i="13"/>
  <c r="AR39" i="13"/>
  <c r="AO39" i="13"/>
  <c r="AI39" i="13"/>
  <c r="AM39" i="13"/>
  <c r="BU39" i="13"/>
  <c r="AJ39" i="13"/>
  <c r="AL39" i="13"/>
  <c r="BR39" i="13"/>
  <c r="AV39" i="13"/>
  <c r="BT39" i="13"/>
  <c r="AZ39" i="13"/>
  <c r="AK39" i="13"/>
  <c r="BQ39" i="13"/>
  <c r="AQ39" i="13"/>
  <c r="BD39" i="13"/>
  <c r="AH39" i="13"/>
  <c r="BF39" i="13"/>
  <c r="AX39" i="13"/>
  <c r="AY39" i="13"/>
  <c r="BH39" i="13"/>
  <c r="BN39" i="13"/>
  <c r="F94" i="9"/>
  <c r="D40" i="13"/>
  <c r="D18" i="13"/>
  <c r="BS11" i="13"/>
  <c r="BK11" i="13"/>
  <c r="AX11" i="13"/>
  <c r="BG11" i="13"/>
  <c r="AN11" i="13"/>
  <c r="BJ11" i="13"/>
  <c r="AZ11" i="13"/>
  <c r="BP11" i="13"/>
  <c r="BE11" i="13"/>
  <c r="AY11" i="13"/>
  <c r="AM11" i="13"/>
  <c r="AR11" i="13"/>
  <c r="AV11" i="13"/>
  <c r="AL11" i="13"/>
  <c r="BU11" i="13"/>
  <c r="AH11" i="13"/>
  <c r="AO11" i="13"/>
  <c r="AI11" i="13"/>
  <c r="BN11" i="13"/>
  <c r="BC11" i="13"/>
  <c r="AT11" i="13"/>
  <c r="BF11" i="13"/>
  <c r="AQ11" i="13"/>
  <c r="AK11" i="13"/>
  <c r="AU11" i="13"/>
  <c r="BM11" i="13"/>
  <c r="BQ11" i="13"/>
  <c r="BI11" i="13"/>
  <c r="BD11" i="13"/>
  <c r="BB11" i="13"/>
  <c r="BH11" i="13"/>
  <c r="AP11" i="13"/>
  <c r="BT11" i="13"/>
  <c r="AS11" i="13"/>
  <c r="AW11" i="13"/>
  <c r="BR11" i="13"/>
  <c r="AE11" i="13"/>
  <c r="BO11" i="13"/>
  <c r="AG11" i="13"/>
  <c r="AF11" i="13"/>
  <c r="AJ11" i="13"/>
  <c r="BL11" i="13"/>
  <c r="BA11" i="13"/>
  <c r="D7" i="13"/>
  <c r="BP29" i="13"/>
  <c r="AH47" i="13"/>
  <c r="AK47" i="13"/>
  <c r="BK30" i="13"/>
  <c r="AJ47" i="13"/>
  <c r="BS10" i="13"/>
  <c r="BI10" i="13"/>
  <c r="AZ10" i="13"/>
  <c r="BJ10" i="13"/>
  <c r="BL10" i="13"/>
  <c r="BK10" i="13"/>
  <c r="AO10" i="13"/>
  <c r="BB10" i="13"/>
  <c r="BT10" i="13"/>
  <c r="BC10" i="13"/>
  <c r="AF10" i="13"/>
  <c r="BU10" i="13"/>
  <c r="BD10" i="13"/>
  <c r="BG10" i="13"/>
  <c r="BQ10" i="13"/>
  <c r="AH10" i="13"/>
  <c r="AW10" i="13"/>
  <c r="BE10" i="13"/>
  <c r="BM10" i="13"/>
  <c r="AI10" i="13"/>
  <c r="BA10" i="13"/>
  <c r="AV10" i="13"/>
  <c r="AJ10" i="13"/>
  <c r="BF10" i="13"/>
  <c r="AG10" i="13"/>
  <c r="BO10" i="13"/>
  <c r="BH10" i="13"/>
  <c r="AP10" i="13"/>
  <c r="AR10" i="13"/>
  <c r="AX10" i="13"/>
  <c r="AY10" i="13"/>
  <c r="AS10" i="13"/>
  <c r="AQ10" i="13"/>
  <c r="AK10" i="13"/>
  <c r="AT10" i="13"/>
  <c r="BP10" i="13"/>
  <c r="BR10" i="13"/>
  <c r="AN10" i="13"/>
  <c r="AE10" i="13"/>
  <c r="AU10" i="13"/>
  <c r="AM10" i="13"/>
  <c r="AL10" i="13"/>
  <c r="BN10" i="13"/>
  <c r="AR43" i="13"/>
  <c r="BO14" i="13"/>
  <c r="AV14" i="13"/>
  <c r="BM14" i="13"/>
  <c r="AT14" i="13"/>
  <c r="AR14" i="13"/>
  <c r="BD14" i="13"/>
  <c r="BK14" i="13"/>
  <c r="BH14" i="13"/>
  <c r="AU14" i="13"/>
  <c r="BP14" i="13"/>
  <c r="BG14" i="13"/>
  <c r="AN14" i="13"/>
  <c r="AE14" i="13"/>
  <c r="BL14" i="13"/>
  <c r="BS14" i="13"/>
  <c r="AY14" i="13"/>
  <c r="AX14" i="13"/>
  <c r="AK14" i="13"/>
  <c r="AM14" i="13"/>
  <c r="AO14" i="13"/>
  <c r="BF14" i="13"/>
  <c r="BT14" i="13"/>
  <c r="AP14" i="13"/>
  <c r="AS14" i="13"/>
  <c r="AW14" i="13"/>
  <c r="BN14" i="13"/>
  <c r="BU14" i="13"/>
  <c r="AZ14" i="13"/>
  <c r="AL14" i="13"/>
  <c r="BJ14" i="13"/>
  <c r="BR14" i="13"/>
  <c r="BA14" i="13"/>
  <c r="AH14" i="13"/>
  <c r="AG14" i="13"/>
  <c r="AJ14" i="13"/>
  <c r="BQ14" i="13"/>
  <c r="AQ14" i="13"/>
  <c r="BB14" i="13"/>
  <c r="AF14" i="13"/>
  <c r="BC14" i="13"/>
  <c r="BE14" i="13"/>
  <c r="AI14" i="13"/>
  <c r="BI14" i="13"/>
  <c r="H93" i="9"/>
  <c r="B83" i="9"/>
  <c r="AI51" i="13"/>
  <c r="AT48" i="13"/>
  <c r="C13" i="13"/>
  <c r="C35" i="13"/>
  <c r="D15" i="13"/>
  <c r="BQ37" i="13"/>
  <c r="AU8" i="13"/>
  <c r="BG8" i="13"/>
  <c r="BB8" i="13"/>
  <c r="AE8" i="13"/>
  <c r="BC8" i="13"/>
  <c r="BF8" i="13"/>
  <c r="AS8" i="13"/>
  <c r="AL8" i="13"/>
  <c r="AF8" i="13"/>
  <c r="AG8" i="13"/>
  <c r="BQ8" i="13"/>
  <c r="BA8" i="13"/>
  <c r="AN8" i="13"/>
  <c r="BP8" i="13"/>
  <c r="AM8" i="13"/>
  <c r="BK8" i="13"/>
  <c r="AW8" i="13"/>
  <c r="BI8" i="13"/>
  <c r="AV8" i="13"/>
  <c r="BD8" i="13"/>
  <c r="BT8" i="13"/>
  <c r="AJ8" i="13"/>
  <c r="BM8" i="13"/>
  <c r="BO8" i="13"/>
  <c r="BR8" i="13"/>
  <c r="AY8" i="13"/>
  <c r="BH8" i="13"/>
  <c r="AZ8" i="13"/>
  <c r="AK8" i="13"/>
  <c r="BL8" i="13"/>
  <c r="AX8" i="13"/>
  <c r="AH8" i="13"/>
  <c r="AO8" i="13"/>
  <c r="AI8" i="13"/>
  <c r="AR8" i="13"/>
  <c r="BJ8" i="13"/>
  <c r="AT8" i="13"/>
  <c r="BN8" i="13"/>
  <c r="BE8" i="13"/>
  <c r="AQ8" i="13"/>
  <c r="AP8" i="13"/>
  <c r="BS8" i="13"/>
  <c r="BU8" i="13"/>
  <c r="BV27" i="13"/>
  <c r="BX27" i="13"/>
  <c r="BC27" i="13"/>
  <c r="AH44" i="13"/>
  <c r="AT44" i="13"/>
  <c r="X44" i="13"/>
  <c r="AY44" i="13"/>
  <c r="Z44" i="13"/>
  <c r="BY27" i="13"/>
  <c r="S44" i="13"/>
  <c r="AN44" i="13"/>
  <c r="AQ44" i="13"/>
  <c r="AC44" i="13"/>
  <c r="W44" i="13"/>
  <c r="AS44" i="13"/>
  <c r="AR44" i="13"/>
  <c r="BL27" i="13"/>
  <c r="CB27" i="13"/>
  <c r="CF27" i="13"/>
  <c r="AD44" i="13"/>
  <c r="C110" i="13"/>
  <c r="AG44" i="13"/>
  <c r="BD27" i="13"/>
  <c r="CE27" i="13"/>
  <c r="AI44" i="13"/>
  <c r="BA27" i="13"/>
  <c r="BZ27" i="13"/>
  <c r="AB44" i="13"/>
  <c r="AU44" i="13"/>
  <c r="AL44" i="13"/>
  <c r="AV44" i="13"/>
  <c r="AK44" i="13"/>
  <c r="AW44" i="13"/>
  <c r="AF44" i="13"/>
  <c r="T44" i="13"/>
  <c r="AO44" i="13"/>
  <c r="AP44" i="13"/>
  <c r="AA44" i="13"/>
  <c r="AE44" i="13"/>
  <c r="AX44" i="13"/>
  <c r="AZ44" i="13"/>
  <c r="CA27" i="13"/>
  <c r="BT27" i="13"/>
  <c r="AM44" i="13"/>
  <c r="V44" i="13"/>
  <c r="Y44" i="13"/>
  <c r="U44" i="13"/>
  <c r="BE27" i="13"/>
  <c r="AJ44" i="13"/>
  <c r="AU7" i="13"/>
  <c r="BA7" i="13"/>
  <c r="BG7" i="13"/>
  <c r="AP7" i="13"/>
  <c r="BR7" i="13"/>
  <c r="AY7" i="13"/>
  <c r="AV7" i="13"/>
  <c r="AI7" i="13"/>
  <c r="AW7" i="13"/>
  <c r="BE7" i="13"/>
  <c r="AX7" i="13"/>
  <c r="AL7" i="13"/>
  <c r="BO7" i="13"/>
  <c r="BF7" i="13"/>
  <c r="BT7" i="13"/>
  <c r="AJ7" i="13"/>
  <c r="AK7" i="13"/>
  <c r="BU7" i="13"/>
  <c r="BD7" i="13"/>
  <c r="BQ7" i="13"/>
  <c r="BH7" i="13"/>
  <c r="AM7" i="13"/>
  <c r="BL7" i="13"/>
  <c r="BJ7" i="13"/>
  <c r="AR7" i="13"/>
  <c r="AT7" i="13"/>
  <c r="AF7" i="13"/>
  <c r="AQ7" i="13"/>
  <c r="AZ7" i="13"/>
  <c r="AS7" i="13"/>
  <c r="BN7" i="13"/>
  <c r="AO7" i="13"/>
  <c r="BK7" i="13"/>
  <c r="BP7" i="13"/>
  <c r="BS7" i="13"/>
  <c r="BM7" i="13"/>
  <c r="AE7" i="13"/>
  <c r="AG7" i="13"/>
  <c r="AN7" i="13"/>
  <c r="BB7" i="13"/>
  <c r="BI7" i="13"/>
  <c r="AH7" i="13"/>
  <c r="BC7" i="13"/>
  <c r="CE32" i="13"/>
  <c r="BI32" i="13"/>
  <c r="AC49" i="13"/>
  <c r="BT32" i="13"/>
  <c r="BZ32" i="13"/>
  <c r="CF32" i="13"/>
  <c r="C25" i="13"/>
  <c r="C3" i="13"/>
  <c r="H94" i="9"/>
  <c r="AH83" i="7"/>
  <c r="I74" i="1"/>
  <c r="L75" i="1"/>
  <c r="BR32" i="13"/>
  <c r="BO32" i="13"/>
  <c r="BE32" i="13"/>
  <c r="BD26" i="13"/>
  <c r="AA54" i="13"/>
  <c r="U54" i="13"/>
  <c r="U15" i="13"/>
  <c r="U71" i="13"/>
  <c r="V45" i="13"/>
  <c r="V6" i="13"/>
  <c r="V62" i="13"/>
  <c r="BX32" i="13"/>
  <c r="BV32" i="13"/>
  <c r="CG32" i="13"/>
  <c r="BD32" i="13"/>
  <c r="AY51" i="13"/>
  <c r="BZ34" i="13"/>
  <c r="BF34" i="13"/>
  <c r="CG34" i="13"/>
  <c r="CC34" i="13"/>
  <c r="BK34" i="13"/>
  <c r="CD34" i="13"/>
  <c r="BY34" i="13"/>
  <c r="BH34" i="13"/>
  <c r="BU34" i="13"/>
  <c r="AQ54" i="13"/>
  <c r="AQ71" i="13"/>
  <c r="AJ54" i="13"/>
  <c r="AS54" i="13"/>
  <c r="X54" i="13"/>
  <c r="X15" i="13"/>
  <c r="X71" i="13"/>
  <c r="AI54" i="13"/>
  <c r="AO50" i="13"/>
  <c r="AA50" i="13"/>
  <c r="AH45" i="13"/>
  <c r="AH62" i="13"/>
  <c r="BR30" i="13"/>
  <c r="AM54" i="13"/>
  <c r="AP54" i="13"/>
  <c r="L70" i="1"/>
  <c r="CD32" i="13"/>
  <c r="BU32" i="13"/>
  <c r="BM32" i="13"/>
  <c r="BF32" i="13"/>
  <c r="BK32" i="13"/>
  <c r="CB26" i="13"/>
  <c r="BY30" i="13"/>
  <c r="BO30" i="13"/>
  <c r="BC34" i="13"/>
  <c r="CE34" i="13"/>
  <c r="BV34" i="13"/>
  <c r="AN51" i="13"/>
  <c r="CF34" i="13"/>
  <c r="BE34" i="13"/>
  <c r="CA34" i="13"/>
  <c r="BQ34" i="13"/>
  <c r="S54" i="13"/>
  <c r="AE54" i="13"/>
  <c r="AH54" i="13"/>
  <c r="AH71" i="13"/>
  <c r="AT54" i="13"/>
  <c r="AT71" i="13"/>
  <c r="AD54" i="13"/>
  <c r="C120" i="13"/>
  <c r="BX33" i="13"/>
  <c r="CG33" i="13"/>
  <c r="AD53" i="13"/>
  <c r="C119" i="13"/>
  <c r="AU45" i="13"/>
  <c r="BR36" i="13"/>
  <c r="BV30" i="13"/>
  <c r="AA47" i="13"/>
  <c r="AA8" i="13"/>
  <c r="AA64" i="13"/>
  <c r="AP47" i="13"/>
  <c r="CC29" i="13"/>
  <c r="BE36" i="13"/>
  <c r="AA43" i="13"/>
  <c r="AA4" i="13"/>
  <c r="AA60" i="13"/>
  <c r="BE30" i="13"/>
  <c r="AB47" i="13"/>
  <c r="AV47" i="13"/>
  <c r="AS47" i="13"/>
  <c r="AS64" i="13"/>
  <c r="BA30" i="13"/>
  <c r="BQ30" i="13"/>
  <c r="U47" i="13"/>
  <c r="U8" i="13"/>
  <c r="U64" i="13"/>
  <c r="BC30" i="13"/>
  <c r="AU51" i="13"/>
  <c r="CG37" i="13"/>
  <c r="AH50" i="13"/>
  <c r="AH67" i="13"/>
  <c r="AW50" i="13"/>
  <c r="AU50" i="13"/>
  <c r="AZ50" i="13"/>
  <c r="AZ67" i="13"/>
  <c r="AT50" i="13"/>
  <c r="AT67" i="13"/>
  <c r="X53" i="13"/>
  <c r="AF53" i="13"/>
  <c r="Z53" i="13"/>
  <c r="Z14" i="13"/>
  <c r="Z70" i="13"/>
  <c r="CB28" i="13"/>
  <c r="BX28" i="13"/>
  <c r="AR45" i="13"/>
  <c r="AV45" i="13"/>
  <c r="CE36" i="13"/>
  <c r="BL28" i="13"/>
  <c r="BG30" i="13"/>
  <c r="CG30" i="13"/>
  <c r="S47" i="13"/>
  <c r="CB30" i="13"/>
  <c r="BC36" i="13"/>
  <c r="BO28" i="13"/>
  <c r="BF28" i="13"/>
  <c r="AT43" i="13"/>
  <c r="AT60" i="13"/>
  <c r="Y47" i="13"/>
  <c r="CA30" i="13"/>
  <c r="BD30" i="13"/>
  <c r="AO47" i="13"/>
  <c r="AT47" i="13"/>
  <c r="BN30" i="13"/>
  <c r="W47" i="13"/>
  <c r="W8" i="13"/>
  <c r="W64" i="13"/>
  <c r="AK51" i="13"/>
  <c r="AK68" i="13"/>
  <c r="U50" i="13"/>
  <c r="AE50" i="13"/>
  <c r="AE67" i="13"/>
  <c r="AJ50" i="13"/>
  <c r="AJ67" i="13"/>
  <c r="BC33" i="13"/>
  <c r="AV53" i="13"/>
  <c r="BY36" i="13"/>
  <c r="CD36" i="13"/>
  <c r="AL45" i="13"/>
  <c r="BT28" i="13"/>
  <c r="BM28" i="13"/>
  <c r="AX45" i="13"/>
  <c r="AX62" i="13"/>
  <c r="BU31" i="13"/>
  <c r="BY31" i="13"/>
  <c r="Y43" i="13"/>
  <c r="Y4" i="13"/>
  <c r="Y60" i="13"/>
  <c r="W43" i="13"/>
  <c r="W4" i="13"/>
  <c r="W60" i="13"/>
  <c r="BR37" i="13"/>
  <c r="BA33" i="13"/>
  <c r="BJ33" i="13"/>
  <c r="AA53" i="13"/>
  <c r="AA14" i="13"/>
  <c r="AA70" i="13"/>
  <c r="BB31" i="13"/>
  <c r="BJ31" i="13"/>
  <c r="BG31" i="13"/>
  <c r="BQ31" i="13"/>
  <c r="BP32" i="13"/>
  <c r="BQ32" i="13"/>
  <c r="BB32" i="13"/>
  <c r="BL32" i="13"/>
  <c r="CA32" i="13"/>
  <c r="BW32" i="13"/>
  <c r="BC32" i="13"/>
  <c r="BH32" i="13"/>
  <c r="BI27" i="13"/>
  <c r="BM27" i="13"/>
  <c r="BH27" i="13"/>
  <c r="BB27" i="13"/>
  <c r="CC27" i="13"/>
  <c r="BF27" i="13"/>
  <c r="BS27" i="13"/>
  <c r="CG27" i="13"/>
  <c r="BQ27" i="13"/>
  <c r="BU27" i="13"/>
  <c r="BK27" i="13"/>
  <c r="BO27" i="13"/>
  <c r="BP27" i="13"/>
  <c r="AN43" i="13"/>
  <c r="AN60" i="13"/>
  <c r="BV26" i="13"/>
  <c r="AY43" i="13"/>
  <c r="AY60" i="13"/>
  <c r="AZ43" i="13"/>
  <c r="AZ60" i="13"/>
  <c r="BY26" i="13"/>
  <c r="W51" i="13"/>
  <c r="W12" i="13"/>
  <c r="W68" i="13"/>
  <c r="S51" i="13"/>
  <c r="AX51" i="13"/>
  <c r="AX68" i="13"/>
  <c r="X51" i="13"/>
  <c r="X12" i="13"/>
  <c r="X68" i="13"/>
  <c r="BD37" i="13"/>
  <c r="AW54" i="13"/>
  <c r="AW71" i="13"/>
  <c r="CD37" i="13"/>
  <c r="BH37" i="13"/>
  <c r="AX54" i="13"/>
  <c r="AX71" i="13"/>
  <c r="AU54" i="13"/>
  <c r="AU71" i="13"/>
  <c r="Y54" i="13"/>
  <c r="Y15" i="13"/>
  <c r="Y71" i="13"/>
  <c r="T54" i="13"/>
  <c r="T15" i="13"/>
  <c r="T71" i="13"/>
  <c r="AB54" i="13"/>
  <c r="AB15" i="13"/>
  <c r="AB71" i="13"/>
  <c r="AN54" i="13"/>
  <c r="AN71" i="13"/>
  <c r="AM50" i="13"/>
  <c r="AM67" i="13"/>
  <c r="CE33" i="13"/>
  <c r="CD33" i="13"/>
  <c r="AR50" i="13"/>
  <c r="X50" i="13"/>
  <c r="X11" i="13"/>
  <c r="X67" i="13"/>
  <c r="BE33" i="13"/>
  <c r="BG33" i="13"/>
  <c r="BT33" i="13"/>
  <c r="AV50" i="13"/>
  <c r="AV67" i="13"/>
  <c r="BD29" i="13"/>
  <c r="AC53" i="13"/>
  <c r="AC14" i="13"/>
  <c r="AC70" i="13"/>
  <c r="BV36" i="13"/>
  <c r="AU53" i="13"/>
  <c r="AU70" i="13"/>
  <c r="S53" i="13"/>
  <c r="S14" i="13"/>
  <c r="S70" i="13"/>
  <c r="AK53" i="13"/>
  <c r="AK70" i="13"/>
  <c r="AS53" i="13"/>
  <c r="AS70" i="13"/>
  <c r="BW31" i="13"/>
  <c r="BF31" i="13"/>
  <c r="BC31" i="13"/>
  <c r="BM31" i="13"/>
  <c r="BI31" i="13"/>
  <c r="Z45" i="13"/>
  <c r="Z6" i="13"/>
  <c r="Z62" i="13"/>
  <c r="BI28" i="13"/>
  <c r="BZ28" i="13"/>
  <c r="AZ45" i="13"/>
  <c r="AZ62" i="13"/>
  <c r="AB45" i="13"/>
  <c r="AB6" i="13"/>
  <c r="AB62" i="13"/>
  <c r="AS45" i="13"/>
  <c r="AS62" i="13"/>
  <c r="AT45" i="13"/>
  <c r="AT62" i="13"/>
  <c r="BD31" i="13"/>
  <c r="BH31" i="13"/>
  <c r="BV31" i="13"/>
  <c r="AJ43" i="13"/>
  <c r="AX43" i="13"/>
  <c r="AX60" i="13"/>
  <c r="BR33" i="13"/>
  <c r="BC29" i="13"/>
  <c r="AB53" i="13"/>
  <c r="AB14" i="13"/>
  <c r="AB70" i="13"/>
  <c r="BG32" i="13"/>
  <c r="CC32" i="13"/>
  <c r="BA32" i="13"/>
  <c r="BJ32" i="13"/>
  <c r="CB32" i="13"/>
  <c r="BN32" i="13"/>
  <c r="BS32" i="13"/>
  <c r="X49" i="13"/>
  <c r="X10" i="13"/>
  <c r="X66" i="13"/>
  <c r="BW27" i="13"/>
  <c r="BG27" i="13"/>
  <c r="CD27" i="13"/>
  <c r="BN27" i="13"/>
  <c r="BR27" i="13"/>
  <c r="AD43" i="13"/>
  <c r="C109" i="13"/>
  <c r="BG26" i="13"/>
  <c r="AC43" i="13"/>
  <c r="AC4" i="13"/>
  <c r="AC60" i="13"/>
  <c r="T51" i="13"/>
  <c r="T12" i="13"/>
  <c r="T68" i="13"/>
  <c r="Y51" i="13"/>
  <c r="Y12" i="13"/>
  <c r="Y68" i="13"/>
  <c r="AJ51" i="13"/>
  <c r="AJ68" i="13"/>
  <c r="AO51" i="13"/>
  <c r="AO68" i="13"/>
  <c r="BJ37" i="13"/>
  <c r="AL54" i="13"/>
  <c r="AG54" i="13"/>
  <c r="AG71" i="13"/>
  <c r="AO54" i="13"/>
  <c r="AO71" i="13"/>
  <c r="AY54" i="13"/>
  <c r="AY71" i="13"/>
  <c r="AF54" i="13"/>
  <c r="Z54" i="13"/>
  <c r="Z15" i="13"/>
  <c r="Z71" i="13"/>
  <c r="AC54" i="13"/>
  <c r="BO33" i="13"/>
  <c r="BI33" i="13"/>
  <c r="BB33" i="13"/>
  <c r="BY29" i="13"/>
  <c r="AP53" i="13"/>
  <c r="AP70" i="13"/>
  <c r="AL53" i="13"/>
  <c r="AL70" i="13"/>
  <c r="AR53" i="13"/>
  <c r="AR70" i="13"/>
  <c r="AW53" i="13"/>
  <c r="AW70" i="13"/>
  <c r="AT53" i="13"/>
  <c r="AT70" i="13"/>
  <c r="AH83" i="8"/>
  <c r="BX31" i="13"/>
  <c r="BZ31" i="13"/>
  <c r="AK48" i="13"/>
  <c r="AK65" i="13"/>
  <c r="AN45" i="13"/>
  <c r="AN62" i="13"/>
  <c r="AD45" i="13"/>
  <c r="C111" i="13"/>
  <c r="AG45" i="13"/>
  <c r="AG62" i="13"/>
  <c r="AQ45" i="13"/>
  <c r="BV28" i="13"/>
  <c r="BH28" i="13"/>
  <c r="J4" i="13"/>
  <c r="J60" i="13"/>
  <c r="O4" i="13"/>
  <c r="O60" i="13"/>
  <c r="R4" i="13"/>
  <c r="R60" i="13"/>
  <c r="M4" i="13"/>
  <c r="M60" i="13"/>
  <c r="V4" i="13"/>
  <c r="AB4" i="13"/>
  <c r="H4" i="13"/>
  <c r="H60" i="13"/>
  <c r="Q4" i="13"/>
  <c r="Q60" i="13"/>
  <c r="L4" i="13"/>
  <c r="L60" i="13"/>
  <c r="G4" i="13"/>
  <c r="G60" i="13"/>
  <c r="F4" i="13"/>
  <c r="F60" i="13"/>
  <c r="I4" i="13"/>
  <c r="I60" i="13"/>
  <c r="X4" i="13"/>
  <c r="S4" i="13"/>
  <c r="AD4" i="13"/>
  <c r="P4" i="13"/>
  <c r="P60" i="13"/>
  <c r="Z4" i="13"/>
  <c r="K4" i="13"/>
  <c r="K60" i="13"/>
  <c r="N4" i="13"/>
  <c r="N60" i="13"/>
  <c r="U4" i="13"/>
  <c r="T4" i="13"/>
  <c r="M18" i="13"/>
  <c r="AD18" i="13"/>
  <c r="L18" i="13"/>
  <c r="AB18" i="13"/>
  <c r="W18" i="13"/>
  <c r="AC18" i="13"/>
  <c r="AA18" i="13"/>
  <c r="P18" i="13"/>
  <c r="I18" i="13"/>
  <c r="H18" i="13"/>
  <c r="U18" i="13"/>
  <c r="J18" i="13"/>
  <c r="Y18" i="13"/>
  <c r="G18" i="13"/>
  <c r="S18" i="13"/>
  <c r="T18" i="13"/>
  <c r="R18" i="13"/>
  <c r="F18" i="13"/>
  <c r="N18" i="13"/>
  <c r="Q18" i="13"/>
  <c r="Z18" i="13"/>
  <c r="V18" i="13"/>
  <c r="X18" i="13"/>
  <c r="K18" i="13"/>
  <c r="O18" i="13"/>
  <c r="E39" i="13"/>
  <c r="E17" i="13"/>
  <c r="CG54" i="13"/>
  <c r="CG71" i="13"/>
  <c r="CF54" i="13"/>
  <c r="CF71" i="13"/>
  <c r="BX54" i="13"/>
  <c r="BX71" i="13"/>
  <c r="BG54" i="13"/>
  <c r="BG71" i="13"/>
  <c r="CC54" i="13"/>
  <c r="CC71" i="13"/>
  <c r="BP54" i="13"/>
  <c r="BP71" i="13"/>
  <c r="BJ54" i="13"/>
  <c r="BJ71" i="13"/>
  <c r="BT54" i="13"/>
  <c r="BT71" i="13"/>
  <c r="BI54" i="13"/>
  <c r="BI71" i="13"/>
  <c r="BL54" i="13"/>
  <c r="BL71" i="13"/>
  <c r="BQ54" i="13"/>
  <c r="BQ71" i="13"/>
  <c r="BU54" i="13"/>
  <c r="BA54" i="13"/>
  <c r="BA71" i="13"/>
  <c r="BW54" i="13"/>
  <c r="BW71" i="13"/>
  <c r="BD54" i="13"/>
  <c r="BD71" i="13"/>
  <c r="CD54" i="13"/>
  <c r="CD71" i="13"/>
  <c r="CE54" i="13"/>
  <c r="CE71" i="13"/>
  <c r="BR54" i="13"/>
  <c r="BR71" i="13"/>
  <c r="BK54" i="13"/>
  <c r="BK71" i="13"/>
  <c r="BZ54" i="13"/>
  <c r="BZ71" i="13"/>
  <c r="BY54" i="13"/>
  <c r="BY71" i="13"/>
  <c r="BF54" i="13"/>
  <c r="BF71" i="13"/>
  <c r="BC54" i="13"/>
  <c r="BC71" i="13"/>
  <c r="BS54" i="13"/>
  <c r="BS71" i="13"/>
  <c r="BH54" i="13"/>
  <c r="BH71" i="13"/>
  <c r="CA54" i="13"/>
  <c r="CA71" i="13"/>
  <c r="BV54" i="13"/>
  <c r="BV71" i="13"/>
  <c r="BO54" i="13"/>
  <c r="BO71" i="13"/>
  <c r="BM54" i="13"/>
  <c r="BM71" i="13"/>
  <c r="CB54" i="13"/>
  <c r="CB71" i="13"/>
  <c r="BN54" i="13"/>
  <c r="BN71" i="13"/>
  <c r="BB54" i="13"/>
  <c r="BB71" i="13"/>
  <c r="BE54" i="13"/>
  <c r="BE71" i="13"/>
  <c r="CF37" i="13"/>
  <c r="CC37" i="13"/>
  <c r="BP37" i="13"/>
  <c r="BW37" i="13"/>
  <c r="BT37" i="13"/>
  <c r="BE37" i="13"/>
  <c r="BL37" i="13"/>
  <c r="BY37" i="13"/>
  <c r="BA37" i="13"/>
  <c r="BK37" i="13"/>
  <c r="BZ37" i="13"/>
  <c r="BI37" i="13"/>
  <c r="CB37" i="13"/>
  <c r="BC37" i="13"/>
  <c r="CE37" i="13"/>
  <c r="BU37" i="13"/>
  <c r="M31" i="13"/>
  <c r="I31" i="13"/>
  <c r="P31" i="13"/>
  <c r="K31" i="13"/>
  <c r="O31" i="13"/>
  <c r="L31" i="13"/>
  <c r="G31" i="13"/>
  <c r="N31" i="13"/>
  <c r="J31" i="13"/>
  <c r="H31" i="13"/>
  <c r="R31" i="13"/>
  <c r="Q31" i="13"/>
  <c r="S31" i="13"/>
  <c r="AH31" i="13"/>
  <c r="AJ31" i="13"/>
  <c r="AB31" i="13"/>
  <c r="AV31" i="13"/>
  <c r="AQ31" i="13"/>
  <c r="AE31" i="13"/>
  <c r="Y31" i="13"/>
  <c r="AW31" i="13"/>
  <c r="AI31" i="13"/>
  <c r="AF31" i="13"/>
  <c r="AL31" i="13"/>
  <c r="T31" i="13"/>
  <c r="AY31" i="13"/>
  <c r="AR31" i="13"/>
  <c r="AG31" i="13"/>
  <c r="AC31" i="13"/>
  <c r="AX31" i="13"/>
  <c r="W31" i="13"/>
  <c r="AD31" i="13"/>
  <c r="F31" i="13"/>
  <c r="AS31" i="13"/>
  <c r="U31" i="13"/>
  <c r="AZ31" i="13"/>
  <c r="Z31" i="13"/>
  <c r="AM31" i="13"/>
  <c r="AT31" i="13"/>
  <c r="X31" i="13"/>
  <c r="AK31" i="13"/>
  <c r="V31" i="13"/>
  <c r="AT65" i="13"/>
  <c r="AU31" i="13"/>
  <c r="AA31" i="13"/>
  <c r="AO31" i="13"/>
  <c r="AP31" i="13"/>
  <c r="AN31" i="13"/>
  <c r="AN48" i="13"/>
  <c r="AN65" i="13"/>
  <c r="AZ48" i="13"/>
  <c r="AZ65" i="13"/>
  <c r="U48" i="13"/>
  <c r="U9" i="13"/>
  <c r="U65" i="13"/>
  <c r="AE48" i="13"/>
  <c r="AE65" i="13"/>
  <c r="AJ48" i="13"/>
  <c r="AJ65" i="13"/>
  <c r="W48" i="13"/>
  <c r="W9" i="13"/>
  <c r="W65" i="13"/>
  <c r="V48" i="13"/>
  <c r="V9" i="13"/>
  <c r="V65" i="13"/>
  <c r="X48" i="13"/>
  <c r="X9" i="13"/>
  <c r="X65" i="13"/>
  <c r="AG48" i="13"/>
  <c r="AG65" i="13"/>
  <c r="AI48" i="13"/>
  <c r="AI65" i="13"/>
  <c r="Z48" i="13"/>
  <c r="Z9" i="13"/>
  <c r="Z65" i="13"/>
  <c r="AU48" i="13"/>
  <c r="AU65" i="13"/>
  <c r="AV48" i="13"/>
  <c r="AV65" i="13"/>
  <c r="AQ48" i="13"/>
  <c r="AQ65" i="13"/>
  <c r="S48" i="13"/>
  <c r="S9" i="13"/>
  <c r="S65" i="13"/>
  <c r="AF48" i="13"/>
  <c r="AF65" i="13"/>
  <c r="Y48" i="13"/>
  <c r="Y9" i="13"/>
  <c r="Y65" i="13"/>
  <c r="AW48" i="13"/>
  <c r="AW65" i="13"/>
  <c r="AM48" i="13"/>
  <c r="AM65" i="13"/>
  <c r="AL48" i="13"/>
  <c r="AL65" i="13"/>
  <c r="AH48" i="13"/>
  <c r="AH65" i="13"/>
  <c r="AD48" i="13"/>
  <c r="C114" i="13"/>
  <c r="T48" i="13"/>
  <c r="T9" i="13"/>
  <c r="T65" i="13"/>
  <c r="AC48" i="13"/>
  <c r="AC9" i="13"/>
  <c r="AC65" i="13"/>
  <c r="AR48" i="13"/>
  <c r="AR65" i="13"/>
  <c r="BP46" i="13"/>
  <c r="BP63" i="13"/>
  <c r="BY46" i="13"/>
  <c r="BY63" i="13"/>
  <c r="BE46" i="13"/>
  <c r="BE63" i="13"/>
  <c r="BT46" i="13"/>
  <c r="BT63" i="13"/>
  <c r="BH46" i="13"/>
  <c r="BH63" i="13"/>
  <c r="CE46" i="13"/>
  <c r="CE63" i="13"/>
  <c r="BF46" i="13"/>
  <c r="BF63" i="13"/>
  <c r="BJ46" i="13"/>
  <c r="BJ63" i="13"/>
  <c r="BL46" i="13"/>
  <c r="BL63" i="13"/>
  <c r="BW46" i="13"/>
  <c r="BW63" i="13"/>
  <c r="BM46" i="13"/>
  <c r="BM63" i="13"/>
  <c r="BG46" i="13"/>
  <c r="BG63" i="13"/>
  <c r="BN46" i="13"/>
  <c r="BN63" i="13"/>
  <c r="BV46" i="13"/>
  <c r="BV63" i="13"/>
  <c r="BR46" i="13"/>
  <c r="BR63" i="13"/>
  <c r="BD46" i="13"/>
  <c r="BD63" i="13"/>
  <c r="BS46" i="13"/>
  <c r="BS63" i="13"/>
  <c r="CA46" i="13"/>
  <c r="CA63" i="13"/>
  <c r="BA46" i="13"/>
  <c r="BA63" i="13"/>
  <c r="CG46" i="13"/>
  <c r="CG63" i="13"/>
  <c r="CF46" i="13"/>
  <c r="CF63" i="13"/>
  <c r="BQ46" i="13"/>
  <c r="BQ63" i="13"/>
  <c r="CB46" i="13"/>
  <c r="CB63" i="13"/>
  <c r="BU46" i="13"/>
  <c r="BO46" i="13"/>
  <c r="BO63" i="13"/>
  <c r="CC46" i="13"/>
  <c r="CC63" i="13"/>
  <c r="BX46" i="13"/>
  <c r="BX63" i="13"/>
  <c r="BK46" i="13"/>
  <c r="BK63" i="13"/>
  <c r="BZ46" i="13"/>
  <c r="BZ63" i="13"/>
  <c r="CD46" i="13"/>
  <c r="CD63" i="13"/>
  <c r="BI46" i="13"/>
  <c r="BI63" i="13"/>
  <c r="BB46" i="13"/>
  <c r="BB63" i="13"/>
  <c r="BC46" i="13"/>
  <c r="BC63" i="13"/>
  <c r="CF29" i="13"/>
  <c r="CD29" i="13"/>
  <c r="BF29" i="13"/>
  <c r="CA29" i="13"/>
  <c r="BR29" i="13"/>
  <c r="CE29" i="13"/>
  <c r="BM29" i="13"/>
  <c r="BK29" i="13"/>
  <c r="CB29" i="13"/>
  <c r="BL29" i="13"/>
  <c r="BV29" i="13"/>
  <c r="BX29" i="13"/>
  <c r="BJ29" i="13"/>
  <c r="BG29" i="13"/>
  <c r="CG29" i="13"/>
  <c r="BH29" i="13"/>
  <c r="BA29" i="13"/>
  <c r="BZ29" i="13"/>
  <c r="BT29" i="13"/>
  <c r="BE29" i="13"/>
  <c r="BW29" i="13"/>
  <c r="BO29" i="13"/>
  <c r="BQ29" i="13"/>
  <c r="CG4" i="13"/>
  <c r="CP4" i="13"/>
  <c r="CA4" i="13"/>
  <c r="CL4" i="13"/>
  <c r="BV4" i="13"/>
  <c r="CD4" i="13"/>
  <c r="CH4" i="13"/>
  <c r="CQ4" i="13"/>
  <c r="CF4" i="13"/>
  <c r="CK4" i="13"/>
  <c r="BW4" i="13"/>
  <c r="CE4" i="13"/>
  <c r="CC4" i="13"/>
  <c r="CO4" i="13"/>
  <c r="BZ4" i="13"/>
  <c r="BX4" i="13"/>
  <c r="CJ4" i="13"/>
  <c r="E4" i="13"/>
  <c r="CR4" i="13"/>
  <c r="CM4" i="13"/>
  <c r="CN4" i="13"/>
  <c r="CB4" i="13"/>
  <c r="CI4" i="13"/>
  <c r="BY4" i="13"/>
  <c r="AO26" i="13"/>
  <c r="Y26" i="13"/>
  <c r="O26" i="13"/>
  <c r="AD26" i="13"/>
  <c r="Z26" i="13"/>
  <c r="L26" i="13"/>
  <c r="AB26" i="13"/>
  <c r="P26" i="13"/>
  <c r="F26" i="13"/>
  <c r="AI26" i="13"/>
  <c r="AX26" i="13"/>
  <c r="AP26" i="13"/>
  <c r="W26" i="13"/>
  <c r="T26" i="13"/>
  <c r="AW26" i="13"/>
  <c r="I26" i="13"/>
  <c r="M26" i="13"/>
  <c r="AQ26" i="13"/>
  <c r="AK26" i="13"/>
  <c r="AJ26" i="13"/>
  <c r="AH26" i="13"/>
  <c r="AS26" i="13"/>
  <c r="X26" i="13"/>
  <c r="H26" i="13"/>
  <c r="S26" i="13"/>
  <c r="AV26" i="13"/>
  <c r="Q26" i="13"/>
  <c r="AR26" i="13"/>
  <c r="AF26" i="13"/>
  <c r="J26" i="13"/>
  <c r="AN26" i="13"/>
  <c r="U26" i="13"/>
  <c r="AZ26" i="13"/>
  <c r="AE26" i="13"/>
  <c r="AK43" i="13"/>
  <c r="AK60" i="13"/>
  <c r="AR60" i="13"/>
  <c r="AJ60" i="13"/>
  <c r="AY26" i="13"/>
  <c r="K26" i="13"/>
  <c r="N26" i="13"/>
  <c r="AM26" i="13"/>
  <c r="V26" i="13"/>
  <c r="AC26" i="13"/>
  <c r="AT26" i="13"/>
  <c r="AG26" i="13"/>
  <c r="R26" i="13"/>
  <c r="AU26" i="13"/>
  <c r="AV60" i="13"/>
  <c r="AA26" i="13"/>
  <c r="AL26" i="13"/>
  <c r="G26" i="13"/>
  <c r="V43" i="13"/>
  <c r="V60" i="13"/>
  <c r="AQ43" i="13"/>
  <c r="AQ60" i="13"/>
  <c r="AG43" i="13"/>
  <c r="AG60" i="13"/>
  <c r="AW43" i="13"/>
  <c r="AW60" i="13"/>
  <c r="Z43" i="13"/>
  <c r="Z60" i="13"/>
  <c r="AS43" i="13"/>
  <c r="AS60" i="13"/>
  <c r="AB43" i="13"/>
  <c r="AB60" i="13"/>
  <c r="AE43" i="13"/>
  <c r="AE60" i="13"/>
  <c r="AI43" i="13"/>
  <c r="AI60" i="13"/>
  <c r="T43" i="13"/>
  <c r="T60" i="13"/>
  <c r="S43" i="13"/>
  <c r="S60" i="13"/>
  <c r="U43" i="13"/>
  <c r="U60" i="13"/>
  <c r="AU43" i="13"/>
  <c r="AU60" i="13"/>
  <c r="AL43" i="13"/>
  <c r="AL60" i="13"/>
  <c r="AM43" i="13"/>
  <c r="AM60" i="13"/>
  <c r="AO43" i="13"/>
  <c r="AO60" i="13"/>
  <c r="X43" i="13"/>
  <c r="X60" i="13"/>
  <c r="CN39" i="13"/>
  <c r="CJ39" i="13"/>
  <c r="CD39" i="13"/>
  <c r="CK39" i="13"/>
  <c r="CI39" i="13"/>
  <c r="CG39" i="13"/>
  <c r="CF39" i="13"/>
  <c r="BY39" i="13"/>
  <c r="CE39" i="13"/>
  <c r="CP39" i="13"/>
  <c r="CA39" i="13"/>
  <c r="CB39" i="13"/>
  <c r="BV39" i="13"/>
  <c r="BX39" i="13"/>
  <c r="CH39" i="13"/>
  <c r="CR39" i="13"/>
  <c r="BW39" i="13"/>
  <c r="CC39" i="13"/>
  <c r="CL39" i="13"/>
  <c r="CQ39" i="13"/>
  <c r="CO39" i="13"/>
  <c r="CM39" i="13"/>
  <c r="BZ39" i="13"/>
  <c r="M40" i="13"/>
  <c r="W40" i="13"/>
  <c r="I40" i="13"/>
  <c r="AB40" i="13"/>
  <c r="K40" i="13"/>
  <c r="P40" i="13"/>
  <c r="T40" i="13"/>
  <c r="AC40" i="13"/>
  <c r="F40" i="13"/>
  <c r="G40" i="13"/>
  <c r="AA40" i="13"/>
  <c r="X40" i="13"/>
  <c r="S40" i="13"/>
  <c r="J40" i="13"/>
  <c r="U40" i="13"/>
  <c r="L40" i="13"/>
  <c r="O40" i="13"/>
  <c r="H40" i="13"/>
  <c r="Y40" i="13"/>
  <c r="N40" i="13"/>
  <c r="Z40" i="13"/>
  <c r="Q40" i="13"/>
  <c r="V40" i="13"/>
  <c r="R40" i="13"/>
  <c r="AD40" i="13"/>
  <c r="BJ47" i="13"/>
  <c r="BJ64" i="13"/>
  <c r="BM47" i="13"/>
  <c r="BM64" i="13"/>
  <c r="BC47" i="13"/>
  <c r="BC64" i="13"/>
  <c r="CC47" i="13"/>
  <c r="CC64" i="13"/>
  <c r="BX47" i="13"/>
  <c r="BX64" i="13"/>
  <c r="BA47" i="13"/>
  <c r="BA64" i="13"/>
  <c r="BZ47" i="13"/>
  <c r="BZ64" i="13"/>
  <c r="CD47" i="13"/>
  <c r="CD64" i="13"/>
  <c r="BO47" i="13"/>
  <c r="BO64" i="13"/>
  <c r="BK47" i="13"/>
  <c r="BK64" i="13"/>
  <c r="CB47" i="13"/>
  <c r="CB64" i="13"/>
  <c r="BT47" i="13"/>
  <c r="BT64" i="13"/>
  <c r="BV47" i="13"/>
  <c r="BV64" i="13"/>
  <c r="CF47" i="13"/>
  <c r="CF64" i="13"/>
  <c r="BR47" i="13"/>
  <c r="BR64" i="13"/>
  <c r="BW47" i="13"/>
  <c r="BW64" i="13"/>
  <c r="CG47" i="13"/>
  <c r="CG64" i="13"/>
  <c r="BP47" i="13"/>
  <c r="BP64" i="13"/>
  <c r="CA47" i="13"/>
  <c r="CA64" i="13"/>
  <c r="BL47" i="13"/>
  <c r="BL64" i="13"/>
  <c r="BU47" i="13"/>
  <c r="CE47" i="13"/>
  <c r="CE64" i="13"/>
  <c r="BE47" i="13"/>
  <c r="BE64" i="13"/>
  <c r="BI47" i="13"/>
  <c r="BI64" i="13"/>
  <c r="BY47" i="13"/>
  <c r="BY64" i="13"/>
  <c r="BD47" i="13"/>
  <c r="BD64" i="13"/>
  <c r="BN47" i="13"/>
  <c r="BN64" i="13"/>
  <c r="BG47" i="13"/>
  <c r="BG64" i="13"/>
  <c r="BF47" i="13"/>
  <c r="BF64" i="13"/>
  <c r="BH47" i="13"/>
  <c r="BH64" i="13"/>
  <c r="BS47" i="13"/>
  <c r="BS64" i="13"/>
  <c r="BQ47" i="13"/>
  <c r="BQ64" i="13"/>
  <c r="BB47" i="13"/>
  <c r="BB64" i="13"/>
  <c r="BL30" i="13"/>
  <c r="BU30" i="13"/>
  <c r="BF30" i="13"/>
  <c r="BX30" i="13"/>
  <c r="CF30" i="13"/>
  <c r="BT30" i="13"/>
  <c r="BZ30" i="13"/>
  <c r="BS30" i="13"/>
  <c r="BW30" i="13"/>
  <c r="BJ30" i="13"/>
  <c r="BB30" i="13"/>
  <c r="CD30" i="13"/>
  <c r="BP30" i="13"/>
  <c r="BH30" i="13"/>
  <c r="CE30" i="13"/>
  <c r="AD5" i="13"/>
  <c r="K5" i="13"/>
  <c r="K61" i="13"/>
  <c r="V5" i="13"/>
  <c r="Z5" i="13"/>
  <c r="G5" i="13"/>
  <c r="G61" i="13"/>
  <c r="Q5" i="13"/>
  <c r="Q61" i="13"/>
  <c r="X5" i="13"/>
  <c r="W5" i="13"/>
  <c r="U5" i="13"/>
  <c r="Y5" i="13"/>
  <c r="R5" i="13"/>
  <c r="R61" i="13"/>
  <c r="I5" i="13"/>
  <c r="I61" i="13"/>
  <c r="L5" i="13"/>
  <c r="L61" i="13"/>
  <c r="H5" i="13"/>
  <c r="H61" i="13"/>
  <c r="N5" i="13"/>
  <c r="N61" i="13"/>
  <c r="M5" i="13"/>
  <c r="M61" i="13"/>
  <c r="J5" i="13"/>
  <c r="J61" i="13"/>
  <c r="AA5" i="13"/>
  <c r="O5" i="13"/>
  <c r="O61" i="13"/>
  <c r="P5" i="13"/>
  <c r="P61" i="13"/>
  <c r="AB5" i="13"/>
  <c r="AC5" i="13"/>
  <c r="T5" i="13"/>
  <c r="F5" i="13"/>
  <c r="F61" i="13"/>
  <c r="S5" i="13"/>
  <c r="T11" i="13"/>
  <c r="I11" i="13"/>
  <c r="I67" i="13"/>
  <c r="V11" i="13"/>
  <c r="N11" i="13"/>
  <c r="N67" i="13"/>
  <c r="M11" i="13"/>
  <c r="M67" i="13"/>
  <c r="AC11" i="13"/>
  <c r="W11" i="13"/>
  <c r="G11" i="13"/>
  <c r="G67" i="13"/>
  <c r="Q11" i="13"/>
  <c r="Q67" i="13"/>
  <c r="AA11" i="13"/>
  <c r="O11" i="13"/>
  <c r="O67" i="13"/>
  <c r="Y11" i="13"/>
  <c r="S11" i="13"/>
  <c r="H11" i="13"/>
  <c r="H67" i="13"/>
  <c r="Z11" i="13"/>
  <c r="U11" i="13"/>
  <c r="L11" i="13"/>
  <c r="L67" i="13"/>
  <c r="AB11" i="13"/>
  <c r="P11" i="13"/>
  <c r="P67" i="13"/>
  <c r="K11" i="13"/>
  <c r="K67" i="13"/>
  <c r="J11" i="13"/>
  <c r="J67" i="13"/>
  <c r="F11" i="13"/>
  <c r="F67" i="13"/>
  <c r="R11" i="13"/>
  <c r="R67" i="13"/>
  <c r="AD11" i="13"/>
  <c r="CK6" i="13"/>
  <c r="CC6" i="13"/>
  <c r="CB6" i="13"/>
  <c r="BY6" i="13"/>
  <c r="CH6" i="13"/>
  <c r="CN6" i="13"/>
  <c r="CF6" i="13"/>
  <c r="BZ6" i="13"/>
  <c r="CP6" i="13"/>
  <c r="E6" i="13"/>
  <c r="CR6" i="13"/>
  <c r="CE6" i="13"/>
  <c r="CD6" i="13"/>
  <c r="CL6" i="13"/>
  <c r="BV6" i="13"/>
  <c r="CI6" i="13"/>
  <c r="CA6" i="13"/>
  <c r="CG6" i="13"/>
  <c r="CO6" i="13"/>
  <c r="CJ6" i="13"/>
  <c r="BW6" i="13"/>
  <c r="BX6" i="13"/>
  <c r="CQ6" i="13"/>
  <c r="CM6" i="13"/>
  <c r="BX14" i="13"/>
  <c r="E14" i="13"/>
  <c r="CR14" i="13"/>
  <c r="CK14" i="13"/>
  <c r="BZ14" i="13"/>
  <c r="BW14" i="13"/>
  <c r="CA14" i="13"/>
  <c r="CG14" i="13"/>
  <c r="CD14" i="13"/>
  <c r="CF14" i="13"/>
  <c r="CH14" i="13"/>
  <c r="CC14" i="13"/>
  <c r="CO14" i="13"/>
  <c r="CB14" i="13"/>
  <c r="CJ14" i="13"/>
  <c r="BV14" i="13"/>
  <c r="BY14" i="13"/>
  <c r="CQ14" i="13"/>
  <c r="CP14" i="13"/>
  <c r="CM14" i="13"/>
  <c r="CN14" i="13"/>
  <c r="CL14" i="13"/>
  <c r="CE14" i="13"/>
  <c r="CI14" i="13"/>
  <c r="AC8" i="13"/>
  <c r="X8" i="13"/>
  <c r="F8" i="13"/>
  <c r="F64" i="13"/>
  <c r="R8" i="13"/>
  <c r="R64" i="13"/>
  <c r="Q8" i="13"/>
  <c r="Q64" i="13"/>
  <c r="AD8" i="13"/>
  <c r="V8" i="13"/>
  <c r="Y8" i="13"/>
  <c r="Z8" i="13"/>
  <c r="H8" i="13"/>
  <c r="H64" i="13"/>
  <c r="O8" i="13"/>
  <c r="O64" i="13"/>
  <c r="P8" i="13"/>
  <c r="P64" i="13"/>
  <c r="S8" i="13"/>
  <c r="AB8" i="13"/>
  <c r="J8" i="13"/>
  <c r="J64" i="13"/>
  <c r="M8" i="13"/>
  <c r="M64" i="13"/>
  <c r="T8" i="13"/>
  <c r="G8" i="13"/>
  <c r="G64" i="13"/>
  <c r="I8" i="13"/>
  <c r="I64" i="13"/>
  <c r="L8" i="13"/>
  <c r="L64" i="13"/>
  <c r="K8" i="13"/>
  <c r="K64" i="13"/>
  <c r="N8" i="13"/>
  <c r="N64" i="13"/>
  <c r="B25" i="13"/>
  <c r="AU42" i="13"/>
  <c r="B3" i="13"/>
  <c r="CJ32" i="13"/>
  <c r="E10" i="13"/>
  <c r="CP28" i="13"/>
  <c r="CL31" i="13"/>
  <c r="E9" i="13"/>
  <c r="AO49" i="13"/>
  <c r="AO66" i="13"/>
  <c r="AH49" i="13"/>
  <c r="AH66" i="13"/>
  <c r="AQ49" i="13"/>
  <c r="AQ66" i="13"/>
  <c r="AW49" i="13"/>
  <c r="AW66" i="13"/>
  <c r="W49" i="13"/>
  <c r="W10" i="13"/>
  <c r="W66" i="13"/>
  <c r="AP49" i="13"/>
  <c r="AP66" i="13"/>
  <c r="V49" i="13"/>
  <c r="V10" i="13"/>
  <c r="V66" i="13"/>
  <c r="BN26" i="13"/>
  <c r="CE26" i="13"/>
  <c r="BE26" i="13"/>
  <c r="CG26" i="13"/>
  <c r="BN37" i="13"/>
  <c r="BV37" i="13"/>
  <c r="BX37" i="13"/>
  <c r="BM37" i="13"/>
  <c r="CA37" i="13"/>
  <c r="BN29" i="13"/>
  <c r="BB29" i="13"/>
  <c r="BS29" i="13"/>
  <c r="AO48" i="13"/>
  <c r="AO65" i="13"/>
  <c r="AP48" i="13"/>
  <c r="AP65" i="13"/>
  <c r="AX48" i="13"/>
  <c r="AX65" i="13"/>
  <c r="AB48" i="13"/>
  <c r="AB9" i="13"/>
  <c r="AB65" i="13"/>
  <c r="CE43" i="13"/>
  <c r="CE60" i="13"/>
  <c r="BG43" i="13"/>
  <c r="BG60" i="13"/>
  <c r="BW43" i="13"/>
  <c r="BW60" i="13"/>
  <c r="BZ43" i="13"/>
  <c r="BZ60" i="13"/>
  <c r="BU43" i="13"/>
  <c r="BT43" i="13"/>
  <c r="BT60" i="13"/>
  <c r="CB43" i="13"/>
  <c r="CB60" i="13"/>
  <c r="BI43" i="13"/>
  <c r="BI60" i="13"/>
  <c r="BR43" i="13"/>
  <c r="BR60" i="13"/>
  <c r="BL43" i="13"/>
  <c r="BL60" i="13"/>
  <c r="CC43" i="13"/>
  <c r="CC60" i="13"/>
  <c r="BS43" i="13"/>
  <c r="BS60" i="13"/>
  <c r="CA43" i="13"/>
  <c r="CA60" i="13"/>
  <c r="CG43" i="13"/>
  <c r="CG60" i="13"/>
  <c r="BE43" i="13"/>
  <c r="BE60" i="13"/>
  <c r="BY43" i="13"/>
  <c r="BY60" i="13"/>
  <c r="BO43" i="13"/>
  <c r="BO60" i="13"/>
  <c r="BV43" i="13"/>
  <c r="BV60" i="13"/>
  <c r="BB43" i="13"/>
  <c r="BB60" i="13"/>
  <c r="BA43" i="13"/>
  <c r="BA60" i="13"/>
  <c r="BM43" i="13"/>
  <c r="BM60" i="13"/>
  <c r="BJ43" i="13"/>
  <c r="BJ60" i="13"/>
  <c r="BX43" i="13"/>
  <c r="BX60" i="13"/>
  <c r="CD43" i="13"/>
  <c r="CD60" i="13"/>
  <c r="BF43" i="13"/>
  <c r="BF60" i="13"/>
  <c r="BH43" i="13"/>
  <c r="BH60" i="13"/>
  <c r="BD43" i="13"/>
  <c r="BD60" i="13"/>
  <c r="BN43" i="13"/>
  <c r="BN60" i="13"/>
  <c r="BC43" i="13"/>
  <c r="BC60" i="13"/>
  <c r="BQ43" i="13"/>
  <c r="BQ60" i="13"/>
  <c r="BK43" i="13"/>
  <c r="BK60" i="13"/>
  <c r="BP43" i="13"/>
  <c r="BP60" i="13"/>
  <c r="CF43" i="13"/>
  <c r="CF60" i="13"/>
  <c r="BK26" i="13"/>
  <c r="BA26" i="13"/>
  <c r="BI26" i="13"/>
  <c r="CC26" i="13"/>
  <c r="BL26" i="13"/>
  <c r="BW26" i="13"/>
  <c r="BS26" i="13"/>
  <c r="BC26" i="13"/>
  <c r="BQ26" i="13"/>
  <c r="CA26" i="13"/>
  <c r="CF26" i="13"/>
  <c r="BH26" i="13"/>
  <c r="BX26" i="13"/>
  <c r="BJ26" i="13"/>
  <c r="BP26" i="13"/>
  <c r="CM17" i="13"/>
  <c r="BX17" i="13"/>
  <c r="BY17" i="13"/>
  <c r="CI17" i="13"/>
  <c r="CB17" i="13"/>
  <c r="CO17" i="13"/>
  <c r="CF17" i="13"/>
  <c r="CQ17" i="13"/>
  <c r="CN17" i="13"/>
  <c r="CD17" i="13"/>
  <c r="CP17" i="13"/>
  <c r="CJ17" i="13"/>
  <c r="BZ17" i="13"/>
  <c r="CH17" i="13"/>
  <c r="CG17" i="13"/>
  <c r="CR17" i="13"/>
  <c r="CK17" i="13"/>
  <c r="BV17" i="13"/>
  <c r="CA17" i="13"/>
  <c r="BW17" i="13"/>
  <c r="CC17" i="13"/>
  <c r="CL17" i="13"/>
  <c r="CE17" i="13"/>
  <c r="CA5" i="13"/>
  <c r="BW5" i="13"/>
  <c r="CI5" i="13"/>
  <c r="CE5" i="13"/>
  <c r="CG5" i="13"/>
  <c r="CL5" i="13"/>
  <c r="CD5" i="13"/>
  <c r="BV5" i="13"/>
  <c r="E5" i="13"/>
  <c r="CR5" i="13"/>
  <c r="CK5" i="13"/>
  <c r="CN5" i="13"/>
  <c r="CB5" i="13"/>
  <c r="CF5" i="13"/>
  <c r="CH5" i="13"/>
  <c r="CC5" i="13"/>
  <c r="CO5" i="13"/>
  <c r="BZ5" i="13"/>
  <c r="CQ5" i="13"/>
  <c r="BY5" i="13"/>
  <c r="CP5" i="13"/>
  <c r="BX5" i="13"/>
  <c r="CM5" i="13"/>
  <c r="CJ5" i="13"/>
  <c r="CL11" i="13"/>
  <c r="CA11" i="13"/>
  <c r="BZ11" i="13"/>
  <c r="CD11" i="13"/>
  <c r="CB11" i="13"/>
  <c r="BX11" i="13"/>
  <c r="CO11" i="13"/>
  <c r="CG11" i="13"/>
  <c r="CN11" i="13"/>
  <c r="CC11" i="13"/>
  <c r="CJ11" i="13"/>
  <c r="CP11" i="13"/>
  <c r="E11" i="13"/>
  <c r="CR11" i="13"/>
  <c r="BY11" i="13"/>
  <c r="BW11" i="13"/>
  <c r="BV11" i="13"/>
  <c r="CQ11" i="13"/>
  <c r="CK11" i="13"/>
  <c r="CI11" i="13"/>
  <c r="CF11" i="13"/>
  <c r="CE11" i="13"/>
  <c r="CH11" i="13"/>
  <c r="CM11" i="13"/>
  <c r="H14" i="13"/>
  <c r="H70" i="13"/>
  <c r="N14" i="13"/>
  <c r="N70" i="13"/>
  <c r="Q14" i="13"/>
  <c r="Q70" i="13"/>
  <c r="F14" i="13"/>
  <c r="F70" i="13"/>
  <c r="M14" i="13"/>
  <c r="M70" i="13"/>
  <c r="X14" i="13"/>
  <c r="G14" i="13"/>
  <c r="G70" i="13"/>
  <c r="W14" i="13"/>
  <c r="AD14" i="13"/>
  <c r="T14" i="13"/>
  <c r="O14" i="13"/>
  <c r="O70" i="13"/>
  <c r="V14" i="13"/>
  <c r="L14" i="13"/>
  <c r="L70" i="13"/>
  <c r="P14" i="13"/>
  <c r="P70" i="13"/>
  <c r="Y14" i="13"/>
  <c r="K14" i="13"/>
  <c r="K70" i="13"/>
  <c r="U14" i="13"/>
  <c r="J14" i="13"/>
  <c r="J70" i="13"/>
  <c r="R14" i="13"/>
  <c r="R70" i="13"/>
  <c r="I14" i="13"/>
  <c r="I70" i="13"/>
  <c r="V32" i="13"/>
  <c r="AU32" i="13"/>
  <c r="M32" i="13"/>
  <c r="AY32" i="13"/>
  <c r="X32" i="13"/>
  <c r="R32" i="13"/>
  <c r="H32" i="13"/>
  <c r="K32" i="13"/>
  <c r="J32" i="13"/>
  <c r="AL32" i="13"/>
  <c r="N32" i="13"/>
  <c r="P32" i="13"/>
  <c r="F32" i="13"/>
  <c r="Z32" i="13"/>
  <c r="I32" i="13"/>
  <c r="O32" i="13"/>
  <c r="T10" i="13"/>
  <c r="T66" i="13"/>
  <c r="AC10" i="13"/>
  <c r="AC66" i="13"/>
  <c r="AQ32" i="13"/>
  <c r="AL49" i="13"/>
  <c r="AL66" i="13"/>
  <c r="AB32" i="13"/>
  <c r="T32" i="13"/>
  <c r="AE32" i="13"/>
  <c r="AA32" i="13"/>
  <c r="AV32" i="13"/>
  <c r="L32" i="13"/>
  <c r="AJ32" i="13"/>
  <c r="W32" i="13"/>
  <c r="AW32" i="13"/>
  <c r="U32" i="13"/>
  <c r="AN32" i="13"/>
  <c r="AX32" i="13"/>
  <c r="AO32" i="13"/>
  <c r="G32" i="13"/>
  <c r="S32" i="13"/>
  <c r="AS32" i="13"/>
  <c r="AH32" i="13"/>
  <c r="AF32" i="13"/>
  <c r="AZ32" i="13"/>
  <c r="AM32" i="13"/>
  <c r="AP32" i="13"/>
  <c r="Y32" i="13"/>
  <c r="AG32" i="13"/>
  <c r="AK32" i="13"/>
  <c r="AD32" i="13"/>
  <c r="Q32" i="13"/>
  <c r="AR32" i="13"/>
  <c r="AC32" i="13"/>
  <c r="AT32" i="13"/>
  <c r="AI32" i="13"/>
  <c r="Z49" i="13"/>
  <c r="Z10" i="13"/>
  <c r="Z66" i="13"/>
  <c r="AY49" i="13"/>
  <c r="AY66" i="13"/>
  <c r="AD49" i="13"/>
  <c r="C115" i="13"/>
  <c r="S49" i="13"/>
  <c r="S10" i="13"/>
  <c r="S66" i="13"/>
  <c r="AJ49" i="13"/>
  <c r="AJ66" i="13"/>
  <c r="AX49" i="13"/>
  <c r="AX66" i="13"/>
  <c r="AM49" i="13"/>
  <c r="AM66" i="13"/>
  <c r="AZ49" i="13"/>
  <c r="AZ66" i="13"/>
  <c r="AK49" i="13"/>
  <c r="AK66" i="13"/>
  <c r="AF49" i="13"/>
  <c r="AF66" i="13"/>
  <c r="AG49" i="13"/>
  <c r="AG66" i="13"/>
  <c r="Y49" i="13"/>
  <c r="Y10" i="13"/>
  <c r="Y66" i="13"/>
  <c r="AU49" i="13"/>
  <c r="AU66" i="13"/>
  <c r="AB49" i="13"/>
  <c r="AB10" i="13"/>
  <c r="AB66" i="13"/>
  <c r="U49" i="13"/>
  <c r="U10" i="13"/>
  <c r="U66" i="13"/>
  <c r="AN49" i="13"/>
  <c r="AN66" i="13"/>
  <c r="AT49" i="13"/>
  <c r="AT66" i="13"/>
  <c r="AS49" i="13"/>
  <c r="AS66" i="13"/>
  <c r="AI49" i="13"/>
  <c r="AI66" i="13"/>
  <c r="AE49" i="13"/>
  <c r="AE66" i="13"/>
  <c r="I93" i="9"/>
  <c r="CO15" i="13"/>
  <c r="CG15" i="13"/>
  <c r="CI15" i="13"/>
  <c r="CN15" i="13"/>
  <c r="CM15" i="13"/>
  <c r="CQ15" i="13"/>
  <c r="BV15" i="13"/>
  <c r="E15" i="13"/>
  <c r="CR15" i="13"/>
  <c r="CB15" i="13"/>
  <c r="CA15" i="13"/>
  <c r="BY15" i="13"/>
  <c r="CF15" i="13"/>
  <c r="CL15" i="13"/>
  <c r="CP15" i="13"/>
  <c r="BZ15" i="13"/>
  <c r="CK15" i="13"/>
  <c r="CC15" i="13"/>
  <c r="BX15" i="13"/>
  <c r="CE15" i="13"/>
  <c r="CD15" i="13"/>
  <c r="CH15" i="13"/>
  <c r="CJ15" i="13"/>
  <c r="BW15" i="13"/>
  <c r="L9" i="13"/>
  <c r="L65" i="13"/>
  <c r="I9" i="13"/>
  <c r="I65" i="13"/>
  <c r="P9" i="13"/>
  <c r="P65" i="13"/>
  <c r="R9" i="13"/>
  <c r="R65" i="13"/>
  <c r="AD9" i="13"/>
  <c r="J9" i="13"/>
  <c r="J65" i="13"/>
  <c r="F9" i="13"/>
  <c r="F65" i="13"/>
  <c r="G9" i="13"/>
  <c r="G65" i="13"/>
  <c r="AA9" i="13"/>
  <c r="K9" i="13"/>
  <c r="K65" i="13"/>
  <c r="H9" i="13"/>
  <c r="H65" i="13"/>
  <c r="N9" i="13"/>
  <c r="N65" i="13"/>
  <c r="Q9" i="13"/>
  <c r="Q65" i="13"/>
  <c r="O9" i="13"/>
  <c r="O65" i="13"/>
  <c r="M9" i="13"/>
  <c r="M65" i="13"/>
  <c r="B35" i="13"/>
  <c r="B13" i="13"/>
  <c r="BV7" i="13"/>
  <c r="BZ7" i="13"/>
  <c r="CO7" i="13"/>
  <c r="E7" i="13"/>
  <c r="CR7" i="13"/>
  <c r="CK7" i="13"/>
  <c r="CH7" i="13"/>
  <c r="CJ7" i="13"/>
  <c r="BW7" i="13"/>
  <c r="CI7" i="13"/>
  <c r="CA7" i="13"/>
  <c r="CL7" i="13"/>
  <c r="CM7" i="13"/>
  <c r="BX7" i="13"/>
  <c r="CE7" i="13"/>
  <c r="CQ7" i="13"/>
  <c r="CG7" i="13"/>
  <c r="CN7" i="13"/>
  <c r="CD7" i="13"/>
  <c r="CP7" i="13"/>
  <c r="CC7" i="13"/>
  <c r="BY7" i="13"/>
  <c r="CB7" i="13"/>
  <c r="CF7" i="13"/>
  <c r="CM18" i="13"/>
  <c r="CD18" i="13"/>
  <c r="BY18" i="13"/>
  <c r="CH18" i="13"/>
  <c r="CC18" i="13"/>
  <c r="CF18" i="13"/>
  <c r="CK18" i="13"/>
  <c r="CL18" i="13"/>
  <c r="CI18" i="13"/>
  <c r="CB18" i="13"/>
  <c r="CE18" i="13"/>
  <c r="E18" i="13"/>
  <c r="CR18" i="13"/>
  <c r="CN18" i="13"/>
  <c r="CP18" i="13"/>
  <c r="CJ18" i="13"/>
  <c r="BV18" i="13"/>
  <c r="CA18" i="13"/>
  <c r="CG18" i="13"/>
  <c r="BW18" i="13"/>
  <c r="CQ18" i="13"/>
  <c r="BX18" i="13"/>
  <c r="BZ18" i="13"/>
  <c r="CO18" i="13"/>
  <c r="BR26" i="13"/>
  <c r="BZ26" i="13"/>
  <c r="BT26" i="13"/>
  <c r="BG37" i="13"/>
  <c r="BO37" i="13"/>
  <c r="AY48" i="13"/>
  <c r="AY65" i="13"/>
  <c r="AA48" i="13"/>
  <c r="AA65" i="13"/>
  <c r="AR49" i="13"/>
  <c r="AR66" i="13"/>
  <c r="AV49" i="13"/>
  <c r="AV66" i="13"/>
  <c r="AA49" i="13"/>
  <c r="AA10" i="13"/>
  <c r="AA66" i="13"/>
  <c r="CD26" i="13"/>
  <c r="BO26" i="13"/>
  <c r="BM26" i="13"/>
  <c r="BB26" i="13"/>
  <c r="AF43" i="13"/>
  <c r="AF60" i="13"/>
  <c r="AP43" i="13"/>
  <c r="AP60" i="13"/>
  <c r="BF26" i="13"/>
  <c r="AH43" i="13"/>
  <c r="AH60" i="13"/>
  <c r="BM30" i="13"/>
  <c r="BI30" i="13"/>
  <c r="BS37" i="13"/>
  <c r="BB37" i="13"/>
  <c r="BF37" i="13"/>
  <c r="BU29" i="13"/>
  <c r="BI29" i="13"/>
  <c r="AS48" i="13"/>
  <c r="AS65" i="13"/>
  <c r="BK53" i="13"/>
  <c r="BK70" i="13"/>
  <c r="BV53" i="13"/>
  <c r="BV70" i="13"/>
  <c r="BP53" i="13"/>
  <c r="BP70" i="13"/>
  <c r="BI53" i="13"/>
  <c r="BI70" i="13"/>
  <c r="CB53" i="13"/>
  <c r="CB70" i="13"/>
  <c r="BT53" i="13"/>
  <c r="BT70" i="13"/>
  <c r="CE53" i="13"/>
  <c r="CE70" i="13"/>
  <c r="BC53" i="13"/>
  <c r="BC70" i="13"/>
  <c r="CC53" i="13"/>
  <c r="CC70" i="13"/>
  <c r="BL53" i="13"/>
  <c r="BL70" i="13"/>
  <c r="BG53" i="13"/>
  <c r="BG70" i="13"/>
  <c r="BN53" i="13"/>
  <c r="BN70" i="13"/>
  <c r="BS53" i="13"/>
  <c r="BS70" i="13"/>
  <c r="BH53" i="13"/>
  <c r="BH70" i="13"/>
  <c r="BX53" i="13"/>
  <c r="BX70" i="13"/>
  <c r="BJ53" i="13"/>
  <c r="BJ70" i="13"/>
  <c r="BW53" i="13"/>
  <c r="BW70" i="13"/>
  <c r="BF53" i="13"/>
  <c r="BF70" i="13"/>
  <c r="CD53" i="13"/>
  <c r="CD70" i="13"/>
  <c r="BZ53" i="13"/>
  <c r="BZ70" i="13"/>
  <c r="BM53" i="13"/>
  <c r="BM70" i="13"/>
  <c r="BE53" i="13"/>
  <c r="BE70" i="13"/>
  <c r="CA53" i="13"/>
  <c r="CA70" i="13"/>
  <c r="BR53" i="13"/>
  <c r="BR70" i="13"/>
  <c r="BA53" i="13"/>
  <c r="BA70" i="13"/>
  <c r="BY53" i="13"/>
  <c r="BY70" i="13"/>
  <c r="CG53" i="13"/>
  <c r="CG70" i="13"/>
  <c r="BQ53" i="13"/>
  <c r="BQ70" i="13"/>
  <c r="CF53" i="13"/>
  <c r="CF70" i="13"/>
  <c r="BO53" i="13"/>
  <c r="BO70" i="13"/>
  <c r="BU53" i="13"/>
  <c r="BB53" i="13"/>
  <c r="BB70" i="13"/>
  <c r="BD53" i="13"/>
  <c r="BD70" i="13"/>
  <c r="CF25" i="13"/>
  <c r="D3" i="13"/>
  <c r="BN25" i="13"/>
  <c r="BJ25" i="13"/>
  <c r="BY25" i="13"/>
  <c r="BA25" i="13"/>
  <c r="BT25" i="13"/>
  <c r="CD25" i="13"/>
  <c r="BV25" i="13"/>
  <c r="BD25" i="13"/>
  <c r="CE25" i="13"/>
  <c r="CA25" i="13"/>
  <c r="BR25" i="13"/>
  <c r="BF25" i="13"/>
  <c r="BB25" i="13"/>
  <c r="S42" i="13"/>
  <c r="CG25" i="13"/>
  <c r="BS25" i="13"/>
  <c r="U42" i="13"/>
  <c r="BO25" i="13"/>
  <c r="BI25" i="13"/>
  <c r="AF42" i="13"/>
  <c r="BG25" i="13"/>
  <c r="BU25" i="13"/>
  <c r="BQ25" i="13"/>
  <c r="BW25" i="13"/>
  <c r="BX25" i="13"/>
  <c r="BP25" i="13"/>
  <c r="CC25" i="13"/>
  <c r="BK25" i="13"/>
  <c r="BZ25" i="13"/>
  <c r="BH25" i="13"/>
  <c r="I94" i="9"/>
  <c r="R17" i="13"/>
  <c r="Z17" i="13"/>
  <c r="W17" i="13"/>
  <c r="H17" i="13"/>
  <c r="I17" i="13"/>
  <c r="T17" i="13"/>
  <c r="O17" i="13"/>
  <c r="AB17" i="13"/>
  <c r="V17" i="13"/>
  <c r="L17" i="13"/>
  <c r="J17" i="13"/>
  <c r="AD17" i="13"/>
  <c r="Q17" i="13"/>
  <c r="P17" i="13"/>
  <c r="K17" i="13"/>
  <c r="AA17" i="13"/>
  <c r="M17" i="13"/>
  <c r="Y17" i="13"/>
  <c r="X17" i="13"/>
  <c r="AC17" i="13"/>
  <c r="N17" i="13"/>
  <c r="F17" i="13"/>
  <c r="G17" i="13"/>
  <c r="S17" i="13"/>
  <c r="U17" i="13"/>
  <c r="BO13" i="13"/>
  <c r="AW13" i="13"/>
  <c r="BK13" i="13"/>
  <c r="BD13" i="13"/>
  <c r="AN13" i="13"/>
  <c r="AE13" i="13"/>
  <c r="BP13" i="13"/>
  <c r="BJ13" i="13"/>
  <c r="BE13" i="13"/>
  <c r="AL13" i="13"/>
  <c r="BM13" i="13"/>
  <c r="AU13" i="13"/>
  <c r="BN13" i="13"/>
  <c r="AT13" i="13"/>
  <c r="BR13" i="13"/>
  <c r="AQ13" i="13"/>
  <c r="AH13" i="13"/>
  <c r="AI13" i="13"/>
  <c r="AY13" i="13"/>
  <c r="BQ13" i="13"/>
  <c r="AZ13" i="13"/>
  <c r="AM13" i="13"/>
  <c r="AG13" i="13"/>
  <c r="BC13" i="13"/>
  <c r="AF13" i="13"/>
  <c r="BI13" i="13"/>
  <c r="AO13" i="13"/>
  <c r="BU13" i="13"/>
  <c r="AJ13" i="13"/>
  <c r="AP13" i="13"/>
  <c r="AS13" i="13"/>
  <c r="BG13" i="13"/>
  <c r="BF13" i="13"/>
  <c r="AK13" i="13"/>
  <c r="AR13" i="13"/>
  <c r="BL13" i="13"/>
  <c r="BT13" i="13"/>
  <c r="AV13" i="13"/>
  <c r="BS13" i="13"/>
  <c r="BB13" i="13"/>
  <c r="AX13" i="13"/>
  <c r="BA13" i="13"/>
  <c r="BH13" i="13"/>
  <c r="H12" i="13"/>
  <c r="H68" i="13"/>
  <c r="N12" i="13"/>
  <c r="N68" i="13"/>
  <c r="R12" i="13"/>
  <c r="R68" i="13"/>
  <c r="I12" i="13"/>
  <c r="I68" i="13"/>
  <c r="P12" i="13"/>
  <c r="P68" i="13"/>
  <c r="V12" i="13"/>
  <c r="AD12" i="13"/>
  <c r="L12" i="13"/>
  <c r="L68" i="13"/>
  <c r="U12" i="13"/>
  <c r="S12" i="13"/>
  <c r="O12" i="13"/>
  <c r="O68" i="13"/>
  <c r="AB12" i="13"/>
  <c r="G12" i="13"/>
  <c r="G68" i="13"/>
  <c r="AA12" i="13"/>
  <c r="K12" i="13"/>
  <c r="K68" i="13"/>
  <c r="Z12" i="13"/>
  <c r="AC12" i="13"/>
  <c r="Q12" i="13"/>
  <c r="Q68" i="13"/>
  <c r="J12" i="13"/>
  <c r="J68" i="13"/>
  <c r="M12" i="13"/>
  <c r="M68" i="13"/>
  <c r="F12" i="13"/>
  <c r="F68" i="13"/>
  <c r="CF51" i="13"/>
  <c r="CF68" i="13"/>
  <c r="BN51" i="13"/>
  <c r="BN68" i="13"/>
  <c r="BX51" i="13"/>
  <c r="BX68" i="13"/>
  <c r="BJ51" i="13"/>
  <c r="BJ68" i="13"/>
  <c r="BW51" i="13"/>
  <c r="BW68" i="13"/>
  <c r="BV51" i="13"/>
  <c r="BV68" i="13"/>
  <c r="BO51" i="13"/>
  <c r="BO68" i="13"/>
  <c r="BD51" i="13"/>
  <c r="BD68" i="13"/>
  <c r="BZ51" i="13"/>
  <c r="BZ68" i="13"/>
  <c r="BE51" i="13"/>
  <c r="BE68" i="13"/>
  <c r="BR51" i="13"/>
  <c r="BR68" i="13"/>
  <c r="CE51" i="13"/>
  <c r="CE68" i="13"/>
  <c r="BS51" i="13"/>
  <c r="BS68" i="13"/>
  <c r="BP51" i="13"/>
  <c r="BP68" i="13"/>
  <c r="BG51" i="13"/>
  <c r="BG68" i="13"/>
  <c r="BM51" i="13"/>
  <c r="BM68" i="13"/>
  <c r="BY51" i="13"/>
  <c r="BY68" i="13"/>
  <c r="CG51" i="13"/>
  <c r="CG68" i="13"/>
  <c r="BU51" i="13"/>
  <c r="BC51" i="13"/>
  <c r="BC68" i="13"/>
  <c r="BT51" i="13"/>
  <c r="BT68" i="13"/>
  <c r="CB51" i="13"/>
  <c r="CB68" i="13"/>
  <c r="BQ51" i="13"/>
  <c r="BQ68" i="13"/>
  <c r="CD51" i="13"/>
  <c r="CD68" i="13"/>
  <c r="BF51" i="13"/>
  <c r="BF68" i="13"/>
  <c r="CC51" i="13"/>
  <c r="CC68" i="13"/>
  <c r="BH51" i="13"/>
  <c r="BH68" i="13"/>
  <c r="BL51" i="13"/>
  <c r="BL68" i="13"/>
  <c r="BI51" i="13"/>
  <c r="BI68" i="13"/>
  <c r="BA51" i="13"/>
  <c r="BA68" i="13"/>
  <c r="CA51" i="13"/>
  <c r="CA68" i="13"/>
  <c r="BK51" i="13"/>
  <c r="BK68" i="13"/>
  <c r="BB51" i="13"/>
  <c r="BB68" i="13"/>
  <c r="N28" i="13"/>
  <c r="I28" i="13"/>
  <c r="R28" i="13"/>
  <c r="P28" i="13"/>
  <c r="L28" i="13"/>
  <c r="J28" i="13"/>
  <c r="F28" i="13"/>
  <c r="O28" i="13"/>
  <c r="M28" i="13"/>
  <c r="Q28" i="13"/>
  <c r="AM28" i="13"/>
  <c r="AG28" i="13"/>
  <c r="AN28" i="13"/>
  <c r="AO28" i="13"/>
  <c r="V28" i="13"/>
  <c r="AS28" i="13"/>
  <c r="AQ62" i="13"/>
  <c r="AP62" i="13"/>
  <c r="AU62" i="13"/>
  <c r="AW28" i="13"/>
  <c r="K28" i="13"/>
  <c r="U28" i="13"/>
  <c r="T28" i="13"/>
  <c r="AR28" i="13"/>
  <c r="Y28" i="13"/>
  <c r="AY28" i="13"/>
  <c r="AJ28" i="13"/>
  <c r="AV62" i="13"/>
  <c r="AP28" i="13"/>
  <c r="AH28" i="13"/>
  <c r="H28" i="13"/>
  <c r="Z28" i="13"/>
  <c r="AV28" i="13"/>
  <c r="AE28" i="13"/>
  <c r="AL62" i="13"/>
  <c r="G28" i="13"/>
  <c r="AI28" i="13"/>
  <c r="AF28" i="13"/>
  <c r="AC28" i="13"/>
  <c r="AT28" i="13"/>
  <c r="X28" i="13"/>
  <c r="AR62" i="13"/>
  <c r="AX28" i="13"/>
  <c r="Y6" i="13"/>
  <c r="Y62" i="13"/>
  <c r="AL28" i="13"/>
  <c r="AK28" i="13"/>
  <c r="AU28" i="13"/>
  <c r="AA28" i="13"/>
  <c r="AD28" i="13"/>
  <c r="S28" i="13"/>
  <c r="AQ28" i="13"/>
  <c r="AB28" i="13"/>
  <c r="W28" i="13"/>
  <c r="AJ62" i="13"/>
  <c r="AZ28" i="13"/>
  <c r="I70" i="12"/>
  <c r="I76" i="12"/>
  <c r="BI44" i="13"/>
  <c r="BI61" i="13"/>
  <c r="BR44" i="13"/>
  <c r="BR61" i="13"/>
  <c r="BB44" i="13"/>
  <c r="BB61" i="13"/>
  <c r="CA44" i="13"/>
  <c r="CA61" i="13"/>
  <c r="CE44" i="13"/>
  <c r="CE61" i="13"/>
  <c r="BA44" i="13"/>
  <c r="BA61" i="13"/>
  <c r="CG44" i="13"/>
  <c r="CG61" i="13"/>
  <c r="BM44" i="13"/>
  <c r="BM61" i="13"/>
  <c r="BX44" i="13"/>
  <c r="BX61" i="13"/>
  <c r="BN44" i="13"/>
  <c r="BN61" i="13"/>
  <c r="CF44" i="13"/>
  <c r="CF61" i="13"/>
  <c r="CC44" i="13"/>
  <c r="CC61" i="13"/>
  <c r="BT44" i="13"/>
  <c r="BT61" i="13"/>
  <c r="BD44" i="13"/>
  <c r="BD61" i="13"/>
  <c r="BO44" i="13"/>
  <c r="BO61" i="13"/>
  <c r="BW44" i="13"/>
  <c r="BW61" i="13"/>
  <c r="BZ44" i="13"/>
  <c r="BZ61" i="13"/>
  <c r="BG44" i="13"/>
  <c r="BG61" i="13"/>
  <c r="BJ44" i="13"/>
  <c r="BJ61" i="13"/>
  <c r="BV44" i="13"/>
  <c r="BV61" i="13"/>
  <c r="BF44" i="13"/>
  <c r="BF61" i="13"/>
  <c r="BP44" i="13"/>
  <c r="BP61" i="13"/>
  <c r="BU44" i="13"/>
  <c r="BQ44" i="13"/>
  <c r="BQ61" i="13"/>
  <c r="BY44" i="13"/>
  <c r="BY61" i="13"/>
  <c r="BH44" i="13"/>
  <c r="BH61" i="13"/>
  <c r="BS44" i="13"/>
  <c r="BS61" i="13"/>
  <c r="BK44" i="13"/>
  <c r="BK61" i="13"/>
  <c r="BC44" i="13"/>
  <c r="BC61" i="13"/>
  <c r="BE44" i="13"/>
  <c r="BE61" i="13"/>
  <c r="BL44" i="13"/>
  <c r="BL61" i="13"/>
  <c r="CD44" i="13"/>
  <c r="CD61" i="13"/>
  <c r="CB44" i="13"/>
  <c r="CB61" i="13"/>
  <c r="BZ50" i="13"/>
  <c r="BZ67" i="13"/>
  <c r="BB50" i="13"/>
  <c r="BB67" i="13"/>
  <c r="CG50" i="13"/>
  <c r="CG67" i="13"/>
  <c r="BF50" i="13"/>
  <c r="BF67" i="13"/>
  <c r="CE50" i="13"/>
  <c r="CE67" i="13"/>
  <c r="BA50" i="13"/>
  <c r="BA67" i="13"/>
  <c r="BQ50" i="13"/>
  <c r="BQ67" i="13"/>
  <c r="BV50" i="13"/>
  <c r="BV67" i="13"/>
  <c r="BP50" i="13"/>
  <c r="BP67" i="13"/>
  <c r="BL50" i="13"/>
  <c r="BL67" i="13"/>
  <c r="BI50" i="13"/>
  <c r="BI67" i="13"/>
  <c r="BM50" i="13"/>
  <c r="BM67" i="13"/>
  <c r="BY50" i="13"/>
  <c r="BY67" i="13"/>
  <c r="BN50" i="13"/>
  <c r="BN67" i="13"/>
  <c r="BG50" i="13"/>
  <c r="BG67" i="13"/>
  <c r="BU50" i="13"/>
  <c r="BR50" i="13"/>
  <c r="BR67" i="13"/>
  <c r="CA50" i="13"/>
  <c r="CA67" i="13"/>
  <c r="BT50" i="13"/>
  <c r="BT67" i="13"/>
  <c r="BJ50" i="13"/>
  <c r="BJ67" i="13"/>
  <c r="BO50" i="13"/>
  <c r="BO67" i="13"/>
  <c r="CB50" i="13"/>
  <c r="CB67" i="13"/>
  <c r="BD50" i="13"/>
  <c r="BD67" i="13"/>
  <c r="BE50" i="13"/>
  <c r="BE67" i="13"/>
  <c r="CF50" i="13"/>
  <c r="CF67" i="13"/>
  <c r="BC50" i="13"/>
  <c r="BC67" i="13"/>
  <c r="BW50" i="13"/>
  <c r="BW67" i="13"/>
  <c r="BK50" i="13"/>
  <c r="BK67" i="13"/>
  <c r="BH50" i="13"/>
  <c r="BH67" i="13"/>
  <c r="BS50" i="13"/>
  <c r="BS67" i="13"/>
  <c r="CC50" i="13"/>
  <c r="CC67" i="13"/>
  <c r="BX50" i="13"/>
  <c r="BX67" i="13"/>
  <c r="CD50" i="13"/>
  <c r="CD67" i="13"/>
  <c r="K36" i="13"/>
  <c r="N36" i="13"/>
  <c r="H36" i="13"/>
  <c r="P36" i="13"/>
  <c r="O36" i="13"/>
  <c r="Q36" i="13"/>
  <c r="I36" i="13"/>
  <c r="M36" i="13"/>
  <c r="R36" i="13"/>
  <c r="J36" i="13"/>
  <c r="G36" i="13"/>
  <c r="AS36" i="13"/>
  <c r="AN36" i="13"/>
  <c r="AY36" i="13"/>
  <c r="U36" i="13"/>
  <c r="AH36" i="13"/>
  <c r="X70" i="13"/>
  <c r="AO36" i="13"/>
  <c r="Y36" i="13"/>
  <c r="AV70" i="13"/>
  <c r="AP36" i="13"/>
  <c r="F36" i="13"/>
  <c r="AH70" i="13"/>
  <c r="X36" i="13"/>
  <c r="AL36" i="13"/>
  <c r="AK36" i="13"/>
  <c r="AD36" i="13"/>
  <c r="AX36" i="13"/>
  <c r="AA36" i="13"/>
  <c r="AG36" i="13"/>
  <c r="S36" i="13"/>
  <c r="T36" i="13"/>
  <c r="V36" i="13"/>
  <c r="AU36" i="13"/>
  <c r="AR36" i="13"/>
  <c r="AQ36" i="13"/>
  <c r="AJ36" i="13"/>
  <c r="AW36" i="13"/>
  <c r="AB36" i="13"/>
  <c r="AV36" i="13"/>
  <c r="AC36" i="13"/>
  <c r="AZ36" i="13"/>
  <c r="AF36" i="13"/>
  <c r="Z36" i="13"/>
  <c r="AI36" i="13"/>
  <c r="AF70" i="13"/>
  <c r="AT36" i="13"/>
  <c r="W36" i="13"/>
  <c r="AE36" i="13"/>
  <c r="L36" i="13"/>
  <c r="AM36" i="13"/>
  <c r="AM70" i="13"/>
  <c r="AD70" i="13"/>
  <c r="K10" i="13"/>
  <c r="K66" i="13"/>
  <c r="L10" i="13"/>
  <c r="L66" i="13"/>
  <c r="J10" i="13"/>
  <c r="J66" i="13"/>
  <c r="P10" i="13"/>
  <c r="P66" i="13"/>
  <c r="AD10" i="13"/>
  <c r="G10" i="13"/>
  <c r="G66" i="13"/>
  <c r="I10" i="13"/>
  <c r="I66" i="13"/>
  <c r="O10" i="13"/>
  <c r="O66" i="13"/>
  <c r="M10" i="13"/>
  <c r="M66" i="13"/>
  <c r="N10" i="13"/>
  <c r="N66" i="13"/>
  <c r="R10" i="13"/>
  <c r="R66" i="13"/>
  <c r="F10" i="13"/>
  <c r="F66" i="13"/>
  <c r="Q10" i="13"/>
  <c r="Q66" i="13"/>
  <c r="H10" i="13"/>
  <c r="H66" i="13"/>
  <c r="BX48" i="13"/>
  <c r="BX65" i="13"/>
  <c r="CU31" i="13"/>
  <c r="CM31" i="13"/>
  <c r="BA48" i="13"/>
  <c r="BA65" i="13"/>
  <c r="CC48" i="13"/>
  <c r="CC65" i="13"/>
  <c r="BT48" i="13"/>
  <c r="BT65" i="13"/>
  <c r="CD48" i="13"/>
  <c r="CD65" i="13"/>
  <c r="BJ48" i="13"/>
  <c r="BJ65" i="13"/>
  <c r="BQ48" i="13"/>
  <c r="BQ65" i="13"/>
  <c r="BI48" i="13"/>
  <c r="BI65" i="13"/>
  <c r="BZ48" i="13"/>
  <c r="BZ65" i="13"/>
  <c r="BK48" i="13"/>
  <c r="BK65" i="13"/>
  <c r="BV48" i="13"/>
  <c r="BV65" i="13"/>
  <c r="BG48" i="13"/>
  <c r="BG65" i="13"/>
  <c r="BF48" i="13"/>
  <c r="BF65" i="13"/>
  <c r="CE48" i="13"/>
  <c r="CE65" i="13"/>
  <c r="CO31" i="13"/>
  <c r="CA48" i="13"/>
  <c r="CA65" i="13"/>
  <c r="BM48" i="13"/>
  <c r="BM65" i="13"/>
  <c r="BD48" i="13"/>
  <c r="BD65" i="13"/>
  <c r="BW48" i="13"/>
  <c r="BW65" i="13"/>
  <c r="BL48" i="13"/>
  <c r="BL65" i="13"/>
  <c r="BY48" i="13"/>
  <c r="BY65" i="13"/>
  <c r="CK31" i="13"/>
  <c r="BR48" i="13"/>
  <c r="BR65" i="13"/>
  <c r="BN48" i="13"/>
  <c r="BN65" i="13"/>
  <c r="BS48" i="13"/>
  <c r="BS65" i="13"/>
  <c r="BP48" i="13"/>
  <c r="BP65" i="13"/>
  <c r="BB48" i="13"/>
  <c r="BB65" i="13"/>
  <c r="CB48" i="13"/>
  <c r="CB65" i="13"/>
  <c r="CF48" i="13"/>
  <c r="CF65" i="13"/>
  <c r="CW31" i="13"/>
  <c r="BO48" i="13"/>
  <c r="BO65" i="13"/>
  <c r="BC48" i="13"/>
  <c r="BC65" i="13"/>
  <c r="BH48" i="13"/>
  <c r="BH65" i="13"/>
  <c r="BE48" i="13"/>
  <c r="BE65" i="13"/>
  <c r="BU48" i="13"/>
  <c r="CG48" i="13"/>
  <c r="CG65" i="13"/>
  <c r="CM10" i="13"/>
  <c r="CD10" i="13"/>
  <c r="CQ10" i="13"/>
  <c r="CC10" i="13"/>
  <c r="CB10" i="13"/>
  <c r="CO10" i="13"/>
  <c r="CA10" i="13"/>
  <c r="CG10" i="13"/>
  <c r="CL10" i="13"/>
  <c r="CR10" i="13"/>
  <c r="CE10" i="13"/>
  <c r="BX10" i="13"/>
  <c r="CF10" i="13"/>
  <c r="CI10" i="13"/>
  <c r="BW10" i="13"/>
  <c r="BY10" i="13"/>
  <c r="CJ10" i="13"/>
  <c r="CN10" i="13"/>
  <c r="CH10" i="13"/>
  <c r="BV10" i="13"/>
  <c r="CP10" i="13"/>
  <c r="BZ10" i="13"/>
  <c r="CK10" i="13"/>
  <c r="W15" i="13"/>
  <c r="Q15" i="13"/>
  <c r="Q71" i="13"/>
  <c r="AD15" i="13"/>
  <c r="J15" i="13"/>
  <c r="J71" i="13"/>
  <c r="K15" i="13"/>
  <c r="K71" i="13"/>
  <c r="I15" i="13"/>
  <c r="I71" i="13"/>
  <c r="M15" i="13"/>
  <c r="M71" i="13"/>
  <c r="N15" i="13"/>
  <c r="N71" i="13"/>
  <c r="F15" i="13"/>
  <c r="F71" i="13"/>
  <c r="P15" i="13"/>
  <c r="P71" i="13"/>
  <c r="AC15" i="13"/>
  <c r="O15" i="13"/>
  <c r="O71" i="13"/>
  <c r="L15" i="13"/>
  <c r="L71" i="13"/>
  <c r="G15" i="13"/>
  <c r="G71" i="13"/>
  <c r="V15" i="13"/>
  <c r="S15" i="13"/>
  <c r="R15" i="13"/>
  <c r="R71" i="13"/>
  <c r="AA15" i="13"/>
  <c r="H15" i="13"/>
  <c r="H71" i="13"/>
  <c r="CI33" i="13"/>
  <c r="CM27" i="13"/>
  <c r="E8" i="13"/>
  <c r="CO30" i="13"/>
  <c r="T7" i="13"/>
  <c r="W7" i="13"/>
  <c r="P7" i="13"/>
  <c r="P63" i="13"/>
  <c r="O7" i="13"/>
  <c r="O63" i="13"/>
  <c r="U7" i="13"/>
  <c r="AD7" i="13"/>
  <c r="AC7" i="13"/>
  <c r="V7" i="13"/>
  <c r="L7" i="13"/>
  <c r="L63" i="13"/>
  <c r="N7" i="13"/>
  <c r="N63" i="13"/>
  <c r="F7" i="13"/>
  <c r="F63" i="13"/>
  <c r="Y7" i="13"/>
  <c r="R7" i="13"/>
  <c r="R63" i="13"/>
  <c r="Q7" i="13"/>
  <c r="Q63" i="13"/>
  <c r="AA7" i="13"/>
  <c r="AB7" i="13"/>
  <c r="Z7" i="13"/>
  <c r="X7" i="13"/>
  <c r="J7" i="13"/>
  <c r="J63" i="13"/>
  <c r="G7" i="13"/>
  <c r="G63" i="13"/>
  <c r="K7" i="13"/>
  <c r="K63" i="13"/>
  <c r="H7" i="13"/>
  <c r="H63" i="13"/>
  <c r="M7" i="13"/>
  <c r="M63" i="13"/>
  <c r="I7" i="13"/>
  <c r="I63" i="13"/>
  <c r="S7" i="13"/>
  <c r="BS36" i="13"/>
  <c r="BT36" i="13"/>
  <c r="BJ36" i="13"/>
  <c r="BN28" i="13"/>
  <c r="CG28" i="13"/>
  <c r="CD28" i="13"/>
  <c r="BR28" i="13"/>
  <c r="BB28" i="13"/>
  <c r="BG28" i="13"/>
  <c r="BK28" i="13"/>
  <c r="AI47" i="13"/>
  <c r="AI64" i="13"/>
  <c r="AE47" i="13"/>
  <c r="AE64" i="13"/>
  <c r="X47" i="13"/>
  <c r="X64" i="13"/>
  <c r="AW47" i="13"/>
  <c r="AW64" i="13"/>
  <c r="T47" i="13"/>
  <c r="T64" i="13"/>
  <c r="AL47" i="13"/>
  <c r="AL64" i="13"/>
  <c r="Z47" i="13"/>
  <c r="Z64" i="13"/>
  <c r="AM47" i="13"/>
  <c r="AM64" i="13"/>
  <c r="AD47" i="13"/>
  <c r="C113" i="13"/>
  <c r="AG51" i="13"/>
  <c r="AG68" i="13"/>
  <c r="U51" i="13"/>
  <c r="V51" i="13"/>
  <c r="V68" i="13"/>
  <c r="AC51" i="13"/>
  <c r="AC68" i="13"/>
  <c r="AQ51" i="13"/>
  <c r="AQ68" i="13"/>
  <c r="AW51" i="13"/>
  <c r="AW68" i="13"/>
  <c r="BH33" i="13"/>
  <c r="BN33" i="13"/>
  <c r="BS33" i="13"/>
  <c r="AS50" i="13"/>
  <c r="AS67" i="13"/>
  <c r="Y50" i="13"/>
  <c r="Y67" i="13"/>
  <c r="BF33" i="13"/>
  <c r="CC33" i="13"/>
  <c r="AN50" i="13"/>
  <c r="AN67" i="13"/>
  <c r="S50" i="13"/>
  <c r="T50" i="13"/>
  <c r="BK33" i="13"/>
  <c r="AK50" i="13"/>
  <c r="AK67" i="13"/>
  <c r="BV33" i="13"/>
  <c r="AP50" i="13"/>
  <c r="BL33" i="13"/>
  <c r="BX36" i="13"/>
  <c r="BP36" i="13"/>
  <c r="AO53" i="13"/>
  <c r="AO70" i="13"/>
  <c r="AZ53" i="13"/>
  <c r="AZ70" i="13"/>
  <c r="BU36" i="13"/>
  <c r="AX53" i="13"/>
  <c r="AX70" i="13"/>
  <c r="CG36" i="13"/>
  <c r="AJ53" i="13"/>
  <c r="AJ70" i="13"/>
  <c r="BM36" i="13"/>
  <c r="BA36" i="13"/>
  <c r="AI53" i="13"/>
  <c r="AI70" i="13"/>
  <c r="AY53" i="13"/>
  <c r="AY70" i="13"/>
  <c r="W53" i="13"/>
  <c r="W70" i="13"/>
  <c r="V53" i="13"/>
  <c r="V70" i="13"/>
  <c r="CA36" i="13"/>
  <c r="BK36" i="13"/>
  <c r="AE53" i="13"/>
  <c r="AE70" i="13"/>
  <c r="BI36" i="13"/>
  <c r="CF31" i="13"/>
  <c r="BO31" i="13"/>
  <c r="CE31" i="13"/>
  <c r="CD31" i="13"/>
  <c r="CB31" i="13"/>
  <c r="BN31" i="13"/>
  <c r="BT31" i="13"/>
  <c r="BP31" i="13"/>
  <c r="AF45" i="13"/>
  <c r="AF62" i="13"/>
  <c r="AK45" i="13"/>
  <c r="AK62" i="13"/>
  <c r="AM45" i="13"/>
  <c r="AM62" i="13"/>
  <c r="AY45" i="13"/>
  <c r="AY62" i="13"/>
  <c r="U45" i="13"/>
  <c r="U6" i="13"/>
  <c r="U62" i="13"/>
  <c r="BC28" i="13"/>
  <c r="CC28" i="13"/>
  <c r="W45" i="13"/>
  <c r="W6" i="13"/>
  <c r="W62" i="13"/>
  <c r="AI45" i="13"/>
  <c r="AI62" i="13"/>
  <c r="AW45" i="13"/>
  <c r="AW62" i="13"/>
  <c r="BJ28" i="13"/>
  <c r="S45" i="13"/>
  <c r="S6" i="13"/>
  <c r="S62" i="13"/>
  <c r="AA45" i="13"/>
  <c r="AA6" i="13"/>
  <c r="AA62" i="13"/>
  <c r="BQ28" i="13"/>
  <c r="CO28" i="13"/>
  <c r="BI45" i="13"/>
  <c r="BI62" i="13"/>
  <c r="CC45" i="13"/>
  <c r="CC62" i="13"/>
  <c r="BM45" i="13"/>
  <c r="BM62" i="13"/>
  <c r="BV45" i="13"/>
  <c r="BV62" i="13"/>
  <c r="BW45" i="13"/>
  <c r="BW62" i="13"/>
  <c r="BE45" i="13"/>
  <c r="BE62" i="13"/>
  <c r="BN45" i="13"/>
  <c r="BN62" i="13"/>
  <c r="BX45" i="13"/>
  <c r="BX62" i="13"/>
  <c r="BB45" i="13"/>
  <c r="BB62" i="13"/>
  <c r="BH45" i="13"/>
  <c r="BH62" i="13"/>
  <c r="BP45" i="13"/>
  <c r="BP62" i="13"/>
  <c r="BK45" i="13"/>
  <c r="BK62" i="13"/>
  <c r="BL45" i="13"/>
  <c r="BL62" i="13"/>
  <c r="BZ45" i="13"/>
  <c r="BZ62" i="13"/>
  <c r="BT45" i="13"/>
  <c r="BT62" i="13"/>
  <c r="CF45" i="13"/>
  <c r="CF62" i="13"/>
  <c r="BQ45" i="13"/>
  <c r="BQ62" i="13"/>
  <c r="CG45" i="13"/>
  <c r="CG62" i="13"/>
  <c r="CB45" i="13"/>
  <c r="CB62" i="13"/>
  <c r="CA45" i="13"/>
  <c r="CA62" i="13"/>
  <c r="CE45" i="13"/>
  <c r="CE62" i="13"/>
  <c r="BO45" i="13"/>
  <c r="BO62" i="13"/>
  <c r="BD45" i="13"/>
  <c r="BD62" i="13"/>
  <c r="BG45" i="13"/>
  <c r="BG62" i="13"/>
  <c r="BR45" i="13"/>
  <c r="BR62" i="13"/>
  <c r="BC45" i="13"/>
  <c r="BC62" i="13"/>
  <c r="BU45" i="13"/>
  <c r="BS45" i="13"/>
  <c r="BS62" i="13"/>
  <c r="BJ45" i="13"/>
  <c r="BJ62" i="13"/>
  <c r="BF45" i="13"/>
  <c r="BF62" i="13"/>
  <c r="BY45" i="13"/>
  <c r="BY62" i="13"/>
  <c r="CD45" i="13"/>
  <c r="CD62" i="13"/>
  <c r="BA45" i="13"/>
  <c r="BA62" i="13"/>
  <c r="AD30" i="13"/>
  <c r="J30" i="13"/>
  <c r="T30" i="13"/>
  <c r="AY30" i="13"/>
  <c r="AU30" i="13"/>
  <c r="X30" i="13"/>
  <c r="AR30" i="13"/>
  <c r="AJ30" i="13"/>
  <c r="L30" i="13"/>
  <c r="G30" i="13"/>
  <c r="AE30" i="13"/>
  <c r="V30" i="13"/>
  <c r="I30" i="13"/>
  <c r="Q30" i="13"/>
  <c r="AP30" i="13"/>
  <c r="AA30" i="13"/>
  <c r="N30" i="13"/>
  <c r="AH30" i="13"/>
  <c r="M30" i="13"/>
  <c r="H30" i="13"/>
  <c r="Y30" i="13"/>
  <c r="O30" i="13"/>
  <c r="AM30" i="13"/>
  <c r="W30" i="13"/>
  <c r="AG30" i="13"/>
  <c r="AS30" i="13"/>
  <c r="F30" i="13"/>
  <c r="AV30" i="13"/>
  <c r="AC30" i="13"/>
  <c r="U30" i="13"/>
  <c r="AN30" i="13"/>
  <c r="AL30" i="13"/>
  <c r="AZ30" i="13"/>
  <c r="AO30" i="13"/>
  <c r="AQ30" i="13"/>
  <c r="Z30" i="13"/>
  <c r="AB30" i="13"/>
  <c r="AT30" i="13"/>
  <c r="AK64" i="13"/>
  <c r="Y64" i="13"/>
  <c r="AI30" i="13"/>
  <c r="S30" i="13"/>
  <c r="P30" i="13"/>
  <c r="AF64" i="13"/>
  <c r="AH64" i="13"/>
  <c r="AP64" i="13"/>
  <c r="AK30" i="13"/>
  <c r="AF30" i="13"/>
  <c r="AO64" i="13"/>
  <c r="AB64" i="13"/>
  <c r="AJ64" i="13"/>
  <c r="R30" i="13"/>
  <c r="AX30" i="13"/>
  <c r="S64" i="13"/>
  <c r="AW30" i="13"/>
  <c r="AT64" i="13"/>
  <c r="K30" i="13"/>
  <c r="AV64" i="13"/>
  <c r="E12" i="13"/>
  <c r="CM34" i="13"/>
  <c r="CH37" i="13"/>
  <c r="AO3" i="13"/>
  <c r="AS3" i="13"/>
  <c r="AP3" i="13"/>
  <c r="AN3" i="13"/>
  <c r="AW3" i="13"/>
  <c r="BL3" i="13"/>
  <c r="BJ3" i="13"/>
  <c r="BP3" i="13"/>
  <c r="AX3" i="13"/>
  <c r="AM3" i="13"/>
  <c r="BA3" i="13"/>
  <c r="BN3" i="13"/>
  <c r="BF3" i="13"/>
  <c r="BH3" i="13"/>
  <c r="AU3" i="13"/>
  <c r="AR3" i="13"/>
  <c r="AL3" i="13"/>
  <c r="BK3" i="13"/>
  <c r="AQ3" i="13"/>
  <c r="AZ3" i="13"/>
  <c r="AG3" i="13"/>
  <c r="AT3" i="13"/>
  <c r="AV3" i="13"/>
  <c r="BD3" i="13"/>
  <c r="BT3" i="13"/>
  <c r="AK3" i="13"/>
  <c r="BE3" i="13"/>
  <c r="AY3" i="13"/>
  <c r="AF3" i="13"/>
  <c r="BM3" i="13"/>
  <c r="BI3" i="13"/>
  <c r="AH3" i="13"/>
  <c r="BU3" i="13"/>
  <c r="BB3" i="13"/>
  <c r="BQ3" i="13"/>
  <c r="BR3" i="13"/>
  <c r="BG3" i="13"/>
  <c r="BS3" i="13"/>
  <c r="AI3" i="13"/>
  <c r="BC3" i="13"/>
  <c r="BO3" i="13"/>
  <c r="AE3" i="13"/>
  <c r="AJ3" i="13"/>
  <c r="E40" i="13"/>
  <c r="R39" i="13"/>
  <c r="T39" i="13"/>
  <c r="AC39" i="13"/>
  <c r="S39" i="13"/>
  <c r="U39" i="13"/>
  <c r="O39" i="13"/>
  <c r="M39" i="13"/>
  <c r="V39" i="13"/>
  <c r="G39" i="13"/>
  <c r="K39" i="13"/>
  <c r="AB39" i="13"/>
  <c r="F39" i="13"/>
  <c r="X39" i="13"/>
  <c r="H39" i="13"/>
  <c r="Z39" i="13"/>
  <c r="N39" i="13"/>
  <c r="AD39" i="13"/>
  <c r="AA39" i="13"/>
  <c r="W39" i="13"/>
  <c r="J39" i="13"/>
  <c r="I39" i="13"/>
  <c r="Y39" i="13"/>
  <c r="Q39" i="13"/>
  <c r="L39" i="13"/>
  <c r="P39" i="13"/>
  <c r="AG52" i="13"/>
  <c r="AO52" i="13"/>
  <c r="AD52" i="13"/>
  <c r="C118" i="13"/>
  <c r="AW52" i="13"/>
  <c r="AU52" i="13"/>
  <c r="AZ52" i="13"/>
  <c r="AM52" i="13"/>
  <c r="AF52" i="13"/>
  <c r="AL52" i="13"/>
  <c r="AC52" i="13"/>
  <c r="Y52" i="13"/>
  <c r="S52" i="13"/>
  <c r="T52" i="13"/>
  <c r="AB52" i="13"/>
  <c r="AN52" i="13"/>
  <c r="W52" i="13"/>
  <c r="AY52" i="13"/>
  <c r="U52" i="13"/>
  <c r="AK52" i="13"/>
  <c r="X52" i="13"/>
  <c r="AR52" i="13"/>
  <c r="AX52" i="13"/>
  <c r="AA52" i="13"/>
  <c r="Z52" i="13"/>
  <c r="AI52" i="13"/>
  <c r="AS52" i="13"/>
  <c r="AT52" i="13"/>
  <c r="AE52" i="13"/>
  <c r="AV52" i="13"/>
  <c r="AP52" i="13"/>
  <c r="AQ52" i="13"/>
  <c r="AJ52" i="13"/>
  <c r="AH52" i="13"/>
  <c r="V52" i="13"/>
  <c r="J34" i="13"/>
  <c r="H34" i="13"/>
  <c r="K34" i="13"/>
  <c r="F34" i="13"/>
  <c r="N34" i="13"/>
  <c r="O34" i="13"/>
  <c r="L34" i="13"/>
  <c r="Q34" i="13"/>
  <c r="P34" i="13"/>
  <c r="G34" i="13"/>
  <c r="I34" i="13"/>
  <c r="M34" i="13"/>
  <c r="AT68" i="13"/>
  <c r="AK34" i="13"/>
  <c r="AM34" i="13"/>
  <c r="AN68" i="13"/>
  <c r="AP34" i="13"/>
  <c r="AE68" i="13"/>
  <c r="AJ34" i="13"/>
  <c r="U34" i="13"/>
  <c r="R34" i="13"/>
  <c r="W34" i="13"/>
  <c r="AQ34" i="13"/>
  <c r="AX34" i="13"/>
  <c r="AW34" i="13"/>
  <c r="AI68" i="13"/>
  <c r="AZ34" i="13"/>
  <c r="X34" i="13"/>
  <c r="AI34" i="13"/>
  <c r="T34" i="13"/>
  <c r="AF34" i="13"/>
  <c r="AR34" i="13"/>
  <c r="AU68" i="13"/>
  <c r="U68" i="13"/>
  <c r="AY68" i="13"/>
  <c r="AV34" i="13"/>
  <c r="AG34" i="13"/>
  <c r="AY34" i="13"/>
  <c r="AL34" i="13"/>
  <c r="Z34" i="13"/>
  <c r="AL68" i="13"/>
  <c r="AC34" i="13"/>
  <c r="AB34" i="13"/>
  <c r="AO34" i="13"/>
  <c r="Y34" i="13"/>
  <c r="AD34" i="13"/>
  <c r="AU34" i="13"/>
  <c r="S68" i="13"/>
  <c r="S34" i="13"/>
  <c r="AT34" i="13"/>
  <c r="AS34" i="13"/>
  <c r="AH34" i="13"/>
  <c r="AN34" i="13"/>
  <c r="AE34" i="13"/>
  <c r="V34" i="13"/>
  <c r="AA34" i="13"/>
  <c r="CO40" i="13"/>
  <c r="CN40" i="13"/>
  <c r="CE40" i="13"/>
  <c r="BV40" i="13"/>
  <c r="CJ40" i="13"/>
  <c r="CQ40" i="13"/>
  <c r="CK40" i="13"/>
  <c r="CC40" i="13"/>
  <c r="CB40" i="13"/>
  <c r="CR40" i="13"/>
  <c r="CD40" i="13"/>
  <c r="BY40" i="13"/>
  <c r="BW40" i="13"/>
  <c r="CH40" i="13"/>
  <c r="CF40" i="13"/>
  <c r="BZ40" i="13"/>
  <c r="CI40" i="13"/>
  <c r="CL40" i="13"/>
  <c r="CA40" i="13"/>
  <c r="CG40" i="13"/>
  <c r="BX40" i="13"/>
  <c r="CP40" i="13"/>
  <c r="CM40" i="13"/>
  <c r="CN12" i="13"/>
  <c r="CK12" i="13"/>
  <c r="CH12" i="13"/>
  <c r="CI12" i="13"/>
  <c r="CO12" i="13"/>
  <c r="CD12" i="13"/>
  <c r="CP12" i="13"/>
  <c r="BZ12" i="13"/>
  <c r="BW12" i="13"/>
  <c r="CM12" i="13"/>
  <c r="CJ12" i="13"/>
  <c r="BY12" i="13"/>
  <c r="CB12" i="13"/>
  <c r="BX12" i="13"/>
  <c r="CL12" i="13"/>
  <c r="CG12" i="13"/>
  <c r="CE12" i="13"/>
  <c r="CR12" i="13"/>
  <c r="CA12" i="13"/>
  <c r="CQ12" i="13"/>
  <c r="CC12" i="13"/>
  <c r="CF12" i="13"/>
  <c r="BV12" i="13"/>
  <c r="M6" i="13"/>
  <c r="M62" i="13"/>
  <c r="AD6" i="13"/>
  <c r="P6" i="13"/>
  <c r="P62" i="13"/>
  <c r="J6" i="13"/>
  <c r="J62" i="13"/>
  <c r="F6" i="13"/>
  <c r="F62" i="13"/>
  <c r="X6" i="13"/>
  <c r="H6" i="13"/>
  <c r="H62" i="13"/>
  <c r="G6" i="13"/>
  <c r="G62" i="13"/>
  <c r="N6" i="13"/>
  <c r="N62" i="13"/>
  <c r="L6" i="13"/>
  <c r="L62" i="13"/>
  <c r="T6" i="13"/>
  <c r="K6" i="13"/>
  <c r="K62" i="13"/>
  <c r="O6" i="13"/>
  <c r="O62" i="13"/>
  <c r="I6" i="13"/>
  <c r="I62" i="13"/>
  <c r="Q6" i="13"/>
  <c r="Q62" i="13"/>
  <c r="R6" i="13"/>
  <c r="R62" i="13"/>
  <c r="AC6" i="13"/>
  <c r="C38" i="13"/>
  <c r="C16" i="13"/>
  <c r="D13" i="13"/>
  <c r="CF35" i="13"/>
  <c r="CP8" i="13"/>
  <c r="CM8" i="13"/>
  <c r="BW8" i="13"/>
  <c r="CI8" i="13"/>
  <c r="CR8" i="13"/>
  <c r="CG8" i="13"/>
  <c r="CF8" i="13"/>
  <c r="BY8" i="13"/>
  <c r="BZ8" i="13"/>
  <c r="CA8" i="13"/>
  <c r="CO8" i="13"/>
  <c r="BX8" i="13"/>
  <c r="CN8" i="13"/>
  <c r="CK8" i="13"/>
  <c r="CQ8" i="13"/>
  <c r="CE8" i="13"/>
  <c r="CL8" i="13"/>
  <c r="CC8" i="13"/>
  <c r="CD8" i="13"/>
  <c r="BV8" i="13"/>
  <c r="CB8" i="13"/>
  <c r="CJ8" i="13"/>
  <c r="CH8" i="13"/>
  <c r="F27" i="13"/>
  <c r="O27" i="13"/>
  <c r="Q27" i="13"/>
  <c r="G27" i="13"/>
  <c r="I27" i="13"/>
  <c r="J27" i="13"/>
  <c r="K27" i="13"/>
  <c r="N27" i="13"/>
  <c r="M27" i="13"/>
  <c r="P27" i="13"/>
  <c r="AM27" i="13"/>
  <c r="Y27" i="13"/>
  <c r="AI61" i="13"/>
  <c r="AR27" i="13"/>
  <c r="Z27" i="13"/>
  <c r="AI27" i="13"/>
  <c r="AP27" i="13"/>
  <c r="AV27" i="13"/>
  <c r="W27" i="13"/>
  <c r="AZ27" i="13"/>
  <c r="AE27" i="13"/>
  <c r="AT27" i="13"/>
  <c r="AJ61" i="13"/>
  <c r="R27" i="13"/>
  <c r="AG27" i="13"/>
  <c r="AJ27" i="13"/>
  <c r="AO27" i="13"/>
  <c r="AA27" i="13"/>
  <c r="AH61" i="13"/>
  <c r="AT61" i="13"/>
  <c r="X61" i="13"/>
  <c r="V27" i="13"/>
  <c r="S27" i="13"/>
  <c r="AY61" i="13"/>
  <c r="Z61" i="13"/>
  <c r="S61" i="13"/>
  <c r="AL27" i="13"/>
  <c r="AD27" i="13"/>
  <c r="AN61" i="13"/>
  <c r="AQ61" i="13"/>
  <c r="AC61" i="13"/>
  <c r="AC27" i="13"/>
  <c r="AW27" i="13"/>
  <c r="T27" i="13"/>
  <c r="W61" i="13"/>
  <c r="AS61" i="13"/>
  <c r="AR61" i="13"/>
  <c r="AP61" i="13"/>
  <c r="AA61" i="13"/>
  <c r="U61" i="13"/>
  <c r="AH27" i="13"/>
  <c r="V61" i="13"/>
  <c r="AE61" i="13"/>
  <c r="AQ27" i="13"/>
  <c r="Y61" i="13"/>
  <c r="AX61" i="13"/>
  <c r="AM61" i="13"/>
  <c r="AZ61" i="13"/>
  <c r="U27" i="13"/>
  <c r="AK27" i="13"/>
  <c r="AU27" i="13"/>
  <c r="AS27" i="13"/>
  <c r="AG61" i="13"/>
  <c r="L27" i="13"/>
  <c r="AF27" i="13"/>
  <c r="AX27" i="13"/>
  <c r="H27" i="13"/>
  <c r="AB61" i="13"/>
  <c r="AU61" i="13"/>
  <c r="AL61" i="13"/>
  <c r="AK61" i="13"/>
  <c r="AW61" i="13"/>
  <c r="AY27" i="13"/>
  <c r="AO61" i="13"/>
  <c r="AD61" i="13"/>
  <c r="AN27" i="13"/>
  <c r="T61" i="13"/>
  <c r="AB27" i="13"/>
  <c r="AF61" i="13"/>
  <c r="X27" i="13"/>
  <c r="AV61" i="13"/>
  <c r="F33" i="13"/>
  <c r="J33" i="13"/>
  <c r="P33" i="13"/>
  <c r="M33" i="13"/>
  <c r="Q33" i="13"/>
  <c r="N33" i="13"/>
  <c r="O33" i="13"/>
  <c r="G33" i="13"/>
  <c r="R33" i="13"/>
  <c r="L33" i="13"/>
  <c r="I33" i="13"/>
  <c r="H33" i="13"/>
  <c r="AT33" i="13"/>
  <c r="AW33" i="13"/>
  <c r="AL33" i="13"/>
  <c r="AG67" i="13"/>
  <c r="AA33" i="13"/>
  <c r="AK33" i="13"/>
  <c r="AF33" i="13"/>
  <c r="AR33" i="13"/>
  <c r="AR67" i="13"/>
  <c r="K33" i="13"/>
  <c r="AL67" i="13"/>
  <c r="AY67" i="13"/>
  <c r="AC67" i="13"/>
  <c r="AP67" i="13"/>
  <c r="AZ33" i="13"/>
  <c r="AD33" i="13"/>
  <c r="AG33" i="13"/>
  <c r="AY33" i="13"/>
  <c r="T33" i="13"/>
  <c r="S33" i="13"/>
  <c r="AM33" i="13"/>
  <c r="U67" i="13"/>
  <c r="AW67" i="13"/>
  <c r="AB33" i="13"/>
  <c r="AI33" i="13"/>
  <c r="Z33" i="13"/>
  <c r="AN33" i="13"/>
  <c r="AP33" i="13"/>
  <c r="S67" i="13"/>
  <c r="V67" i="13"/>
  <c r="U33" i="13"/>
  <c r="AJ33" i="13"/>
  <c r="AE33" i="13"/>
  <c r="AX33" i="13"/>
  <c r="AS33" i="13"/>
  <c r="AA67" i="13"/>
  <c r="V33" i="13"/>
  <c r="T67" i="13"/>
  <c r="Y33" i="13"/>
  <c r="AU67" i="13"/>
  <c r="AU33" i="13"/>
  <c r="AV33" i="13"/>
  <c r="AQ33" i="13"/>
  <c r="AH33" i="13"/>
  <c r="AC33" i="13"/>
  <c r="AO33" i="13"/>
  <c r="AO67" i="13"/>
  <c r="W33" i="13"/>
  <c r="X33" i="13"/>
  <c r="CC9" i="13"/>
  <c r="CI9" i="13"/>
  <c r="BV9" i="13"/>
  <c r="CB9" i="13"/>
  <c r="CP9" i="13"/>
  <c r="CN9" i="13"/>
  <c r="CF9" i="13"/>
  <c r="CG9" i="13"/>
  <c r="CQ9" i="13"/>
  <c r="CK9" i="13"/>
  <c r="BW9" i="13"/>
  <c r="BX9" i="13"/>
  <c r="BZ9" i="13"/>
  <c r="CR9" i="13"/>
  <c r="CO9" i="13"/>
  <c r="CL9" i="13"/>
  <c r="CJ9" i="13"/>
  <c r="CM9" i="13"/>
  <c r="BY9" i="13"/>
  <c r="CA9" i="13"/>
  <c r="CH9" i="13"/>
  <c r="CD9" i="13"/>
  <c r="CE9" i="13"/>
  <c r="BY49" i="13"/>
  <c r="BY66" i="13"/>
  <c r="BC49" i="13"/>
  <c r="BC66" i="13"/>
  <c r="CB49" i="13"/>
  <c r="CB66" i="13"/>
  <c r="BH49" i="13"/>
  <c r="BH66" i="13"/>
  <c r="BU49" i="13"/>
  <c r="BA49" i="13"/>
  <c r="BA66" i="13"/>
  <c r="BI49" i="13"/>
  <c r="BI66" i="13"/>
  <c r="BX49" i="13"/>
  <c r="BX66" i="13"/>
  <c r="BG49" i="13"/>
  <c r="BG66" i="13"/>
  <c r="BQ49" i="13"/>
  <c r="BQ66" i="13"/>
  <c r="BN49" i="13"/>
  <c r="BN66" i="13"/>
  <c r="BF49" i="13"/>
  <c r="BF66" i="13"/>
  <c r="CU32" i="13"/>
  <c r="CG49" i="13"/>
  <c r="CG66" i="13"/>
  <c r="BW49" i="13"/>
  <c r="BW66" i="13"/>
  <c r="BK49" i="13"/>
  <c r="BK66" i="13"/>
  <c r="CD49" i="13"/>
  <c r="CD66" i="13"/>
  <c r="CN32" i="13"/>
  <c r="BD49" i="13"/>
  <c r="BD66" i="13"/>
  <c r="CF49" i="13"/>
  <c r="CF66" i="13"/>
  <c r="CH32" i="13"/>
  <c r="BL49" i="13"/>
  <c r="BL66" i="13"/>
  <c r="BT49" i="13"/>
  <c r="BT66" i="13"/>
  <c r="BP49" i="13"/>
  <c r="BP66" i="13"/>
  <c r="CS32" i="13"/>
  <c r="BR49" i="13"/>
  <c r="BR66" i="13"/>
  <c r="CL32" i="13"/>
  <c r="CA49" i="13"/>
  <c r="CA66" i="13"/>
  <c r="CE49" i="13"/>
  <c r="CE66" i="13"/>
  <c r="BO49" i="13"/>
  <c r="BO66" i="13"/>
  <c r="BZ49" i="13"/>
  <c r="BZ66" i="13"/>
  <c r="CC49" i="13"/>
  <c r="CC66" i="13"/>
  <c r="BV49" i="13"/>
  <c r="BV66" i="13"/>
  <c r="BJ49" i="13"/>
  <c r="BJ66" i="13"/>
  <c r="CI32" i="13"/>
  <c r="BM49" i="13"/>
  <c r="BM66" i="13"/>
  <c r="BS49" i="13"/>
  <c r="BS66" i="13"/>
  <c r="BB49" i="13"/>
  <c r="BB66" i="13"/>
  <c r="BE49" i="13"/>
  <c r="BE66" i="13"/>
  <c r="M37" i="13"/>
  <c r="J37" i="13"/>
  <c r="K37" i="13"/>
  <c r="G37" i="13"/>
  <c r="F37" i="13"/>
  <c r="L37" i="13"/>
  <c r="O37" i="13"/>
  <c r="Q37" i="13"/>
  <c r="I37" i="13"/>
  <c r="P37" i="13"/>
  <c r="N37" i="13"/>
  <c r="AI37" i="13"/>
  <c r="AL71" i="13"/>
  <c r="S37" i="13"/>
  <c r="AE71" i="13"/>
  <c r="AV37" i="13"/>
  <c r="V71" i="13"/>
  <c r="AZ71" i="13"/>
  <c r="AK71" i="13"/>
  <c r="AG37" i="13"/>
  <c r="U37" i="13"/>
  <c r="AS37" i="13"/>
  <c r="AP37" i="13"/>
  <c r="H37" i="13"/>
  <c r="AI71" i="13"/>
  <c r="AV71" i="13"/>
  <c r="AW37" i="13"/>
  <c r="W37" i="13"/>
  <c r="AT37" i="13"/>
  <c r="AB37" i="13"/>
  <c r="AJ37" i="13"/>
  <c r="AQ37" i="13"/>
  <c r="AE37" i="13"/>
  <c r="W71" i="13"/>
  <c r="AC71" i="13"/>
  <c r="AA71" i="13"/>
  <c r="T37" i="13"/>
  <c r="AF37" i="13"/>
  <c r="AJ71" i="13"/>
  <c r="AK37" i="13"/>
  <c r="AX37" i="13"/>
  <c r="AH37" i="13"/>
  <c r="S71" i="13"/>
  <c r="AM37" i="13"/>
  <c r="AM71" i="13"/>
  <c r="AL37" i="13"/>
  <c r="AR71" i="13"/>
  <c r="AP71" i="13"/>
  <c r="X37" i="13"/>
  <c r="AD37" i="13"/>
  <c r="V37" i="13"/>
  <c r="AY37" i="13"/>
  <c r="AD71" i="13"/>
  <c r="AZ37" i="13"/>
  <c r="AF71" i="13"/>
  <c r="AC37" i="13"/>
  <c r="AU37" i="13"/>
  <c r="R37" i="13"/>
  <c r="Z37" i="13"/>
  <c r="Y37" i="13"/>
  <c r="AR37" i="13"/>
  <c r="AN37" i="13"/>
  <c r="AA37" i="13"/>
  <c r="AO37" i="13"/>
  <c r="AS71" i="13"/>
  <c r="CI36" i="13"/>
  <c r="I29" i="13"/>
  <c r="AS29" i="13"/>
  <c r="S29" i="13"/>
  <c r="Z29" i="13"/>
  <c r="R29" i="13"/>
  <c r="J29" i="13"/>
  <c r="AD29" i="13"/>
  <c r="AG29" i="13"/>
  <c r="Q29" i="13"/>
  <c r="G29" i="13"/>
  <c r="AC29" i="13"/>
  <c r="AU29" i="13"/>
  <c r="AM29" i="13"/>
  <c r="AB29" i="13"/>
  <c r="AN29" i="13"/>
  <c r="AT29" i="13"/>
  <c r="AI29" i="13"/>
  <c r="AA29" i="13"/>
  <c r="AQ29" i="13"/>
  <c r="O29" i="13"/>
  <c r="AP29" i="13"/>
  <c r="F29" i="13"/>
  <c r="N29" i="13"/>
  <c r="AK29" i="13"/>
  <c r="T29" i="13"/>
  <c r="AZ29" i="13"/>
  <c r="AE29" i="13"/>
  <c r="P29" i="13"/>
  <c r="AW29" i="13"/>
  <c r="AU63" i="13"/>
  <c r="AF63" i="13"/>
  <c r="AC63" i="13"/>
  <c r="AN63" i="13"/>
  <c r="S63" i="13"/>
  <c r="AY63" i="13"/>
  <c r="AL63" i="13"/>
  <c r="AZ63" i="13"/>
  <c r="AO63" i="13"/>
  <c r="AY29" i="13"/>
  <c r="AF29" i="13"/>
  <c r="K29" i="13"/>
  <c r="H29" i="13"/>
  <c r="AV29" i="13"/>
  <c r="AH29" i="13"/>
  <c r="T63" i="13"/>
  <c r="AK63" i="13"/>
  <c r="AP63" i="13"/>
  <c r="AV63" i="13"/>
  <c r="AM63" i="13"/>
  <c r="W63" i="13"/>
  <c r="Z63" i="13"/>
  <c r="AE63" i="13"/>
  <c r="AJ29" i="13"/>
  <c r="AL29" i="13"/>
  <c r="AX29" i="13"/>
  <c r="AX63" i="13"/>
  <c r="AR63" i="13"/>
  <c r="X63" i="13"/>
  <c r="AB63" i="13"/>
  <c r="V29" i="13"/>
  <c r="AR29" i="13"/>
  <c r="Y29" i="13"/>
  <c r="AG63" i="13"/>
  <c r="AW63" i="13"/>
  <c r="AA63" i="13"/>
  <c r="AT63" i="13"/>
  <c r="AD63" i="13"/>
  <c r="M29" i="13"/>
  <c r="AH63" i="13"/>
  <c r="AI63" i="13"/>
  <c r="Y63" i="13"/>
  <c r="U29" i="13"/>
  <c r="V63" i="13"/>
  <c r="L29" i="13"/>
  <c r="AO29" i="13"/>
  <c r="X29" i="13"/>
  <c r="AJ63" i="13"/>
  <c r="U63" i="13"/>
  <c r="W29" i="13"/>
  <c r="AS63" i="13"/>
  <c r="AQ63" i="13"/>
  <c r="BQ36" i="13"/>
  <c r="CF36" i="13"/>
  <c r="BD36" i="13"/>
  <c r="AQ47" i="13"/>
  <c r="AQ64" i="13"/>
  <c r="AG47" i="13"/>
  <c r="AG64" i="13"/>
  <c r="AX47" i="13"/>
  <c r="AX64" i="13"/>
  <c r="AU47" i="13"/>
  <c r="AU64" i="13"/>
  <c r="AY47" i="13"/>
  <c r="AY64" i="13"/>
  <c r="AN47" i="13"/>
  <c r="AN64" i="13"/>
  <c r="AC47" i="13"/>
  <c r="AC64" i="13"/>
  <c r="AZ47" i="13"/>
  <c r="AZ64" i="13"/>
  <c r="V47" i="13"/>
  <c r="V64" i="13"/>
  <c r="AR47" i="13"/>
  <c r="AR64" i="13"/>
  <c r="AS51" i="13"/>
  <c r="AS68" i="13"/>
  <c r="AV51" i="13"/>
  <c r="AV68" i="13"/>
  <c r="AM51" i="13"/>
  <c r="AM68" i="13"/>
  <c r="AA51" i="13"/>
  <c r="AA68" i="13"/>
  <c r="AF51" i="13"/>
  <c r="AF68" i="13"/>
  <c r="AB51" i="13"/>
  <c r="AB68" i="13"/>
  <c r="AR51" i="13"/>
  <c r="AR68" i="13"/>
  <c r="Z51" i="13"/>
  <c r="Z68" i="13"/>
  <c r="AP51" i="13"/>
  <c r="AP68" i="13"/>
  <c r="AD51" i="13"/>
  <c r="C117" i="13"/>
  <c r="AH51" i="13"/>
  <c r="AH68" i="13"/>
  <c r="AZ51" i="13"/>
  <c r="AZ68" i="13"/>
  <c r="AB50" i="13"/>
  <c r="AB67" i="13"/>
  <c r="CA33" i="13"/>
  <c r="W50" i="13"/>
  <c r="W67" i="13"/>
  <c r="BW33" i="13"/>
  <c r="BQ33" i="13"/>
  <c r="AF50" i="13"/>
  <c r="AF67" i="13"/>
  <c r="AX50" i="13"/>
  <c r="AX67" i="13"/>
  <c r="CF33" i="13"/>
  <c r="BY33" i="13"/>
  <c r="BU33" i="13"/>
  <c r="Z50" i="13"/>
  <c r="Z67" i="13"/>
  <c r="CB33" i="13"/>
  <c r="BZ33" i="13"/>
  <c r="AQ50" i="13"/>
  <c r="AQ67" i="13"/>
  <c r="AD50" i="13"/>
  <c r="C116" i="13"/>
  <c r="BD33" i="13"/>
  <c r="AI50" i="13"/>
  <c r="AI67" i="13"/>
  <c r="AQ53" i="13"/>
  <c r="AQ70" i="13"/>
  <c r="BN36" i="13"/>
  <c r="CB36" i="13"/>
  <c r="BZ36" i="13"/>
  <c r="BO36" i="13"/>
  <c r="AG53" i="13"/>
  <c r="AG70" i="13"/>
  <c r="CC36" i="13"/>
  <c r="AN53" i="13"/>
  <c r="AN70" i="13"/>
  <c r="U53" i="13"/>
  <c r="U70" i="13"/>
  <c r="Y53" i="13"/>
  <c r="Y70" i="13"/>
  <c r="BH36" i="13"/>
  <c r="BF36" i="13"/>
  <c r="T53" i="13"/>
  <c r="T70" i="13"/>
  <c r="BB36" i="13"/>
  <c r="BL36" i="13"/>
  <c r="BW36" i="13"/>
  <c r="BK31" i="13"/>
  <c r="BE31" i="13"/>
  <c r="BR31" i="13"/>
  <c r="BS31" i="13"/>
  <c r="CG31" i="13"/>
  <c r="BL31" i="13"/>
  <c r="CA31" i="13"/>
  <c r="CC31" i="13"/>
  <c r="X45" i="13"/>
  <c r="X62" i="13"/>
  <c r="BY28" i="13"/>
  <c r="AO45" i="13"/>
  <c r="AO62" i="13"/>
  <c r="T45" i="13"/>
  <c r="T62" i="13"/>
  <c r="BS28" i="13"/>
  <c r="CF28" i="13"/>
  <c r="AE45" i="13"/>
  <c r="AE62" i="13"/>
  <c r="CE28" i="13"/>
  <c r="BE28" i="13"/>
  <c r="BA28" i="13"/>
  <c r="BW28" i="13"/>
  <c r="BU28" i="13"/>
  <c r="BP28" i="13"/>
  <c r="AC45" i="13"/>
  <c r="AC62" i="13"/>
  <c r="CA28" i="13"/>
  <c r="L31" i="1"/>
  <c r="I74" i="7"/>
  <c r="L73" i="1"/>
  <c r="L76" i="1"/>
  <c r="L74" i="7"/>
  <c r="L75" i="7"/>
  <c r="L70" i="7"/>
  <c r="CV28" i="13"/>
  <c r="CT28" i="13"/>
  <c r="V42" i="13"/>
  <c r="AK42" i="13"/>
  <c r="CU28" i="13"/>
  <c r="CM28" i="13"/>
  <c r="CL28" i="13"/>
  <c r="CJ28" i="13"/>
  <c r="AD62" i="13"/>
  <c r="AX42" i="13"/>
  <c r="AX59" i="13"/>
  <c r="AI42" i="13"/>
  <c r="AI59" i="13"/>
  <c r="AN42" i="13"/>
  <c r="BM25" i="13"/>
  <c r="BE25" i="13"/>
  <c r="CB25" i="13"/>
  <c r="AH42" i="13"/>
  <c r="AE42" i="13"/>
  <c r="AD42" i="13"/>
  <c r="C108" i="13"/>
  <c r="CS28" i="13"/>
  <c r="CR28" i="13"/>
  <c r="AZ42" i="13"/>
  <c r="AZ59" i="13"/>
  <c r="Y42" i="13"/>
  <c r="Y3" i="13"/>
  <c r="Y59" i="13"/>
  <c r="AO42" i="13"/>
  <c r="Z42" i="13"/>
  <c r="AL42" i="13"/>
  <c r="AL59" i="13"/>
  <c r="AJ42" i="13"/>
  <c r="AJ59" i="13"/>
  <c r="CU27" i="13"/>
  <c r="CP27" i="13"/>
  <c r="CK32" i="13"/>
  <c r="BM35" i="13"/>
  <c r="BM38" i="13"/>
  <c r="AD64" i="13"/>
  <c r="CJ31" i="13"/>
  <c r="CV31" i="13"/>
  <c r="CR31" i="13"/>
  <c r="CS27" i="13"/>
  <c r="CH27" i="13"/>
  <c r="CO32" i="13"/>
  <c r="CP31" i="13"/>
  <c r="CQ34" i="13"/>
  <c r="CR36" i="13"/>
  <c r="BB35" i="13"/>
  <c r="BB38" i="13"/>
  <c r="CW34" i="13"/>
  <c r="CW36" i="13"/>
  <c r="CQ37" i="13"/>
  <c r="BF35" i="13"/>
  <c r="BF38" i="13"/>
  <c r="BC35" i="13"/>
  <c r="CN28" i="13"/>
  <c r="CK28" i="13"/>
  <c r="CM33" i="13"/>
  <c r="CL27" i="13"/>
  <c r="CO27" i="13"/>
  <c r="CW27" i="13"/>
  <c r="CJ27" i="13"/>
  <c r="CI27" i="13"/>
  <c r="CL34" i="13"/>
  <c r="CP34" i="13"/>
  <c r="AC42" i="13"/>
  <c r="AC3" i="13"/>
  <c r="AC59" i="13"/>
  <c r="AG42" i="13"/>
  <c r="AG59" i="13"/>
  <c r="AP42" i="13"/>
  <c r="AP59" i="13"/>
  <c r="W42" i="13"/>
  <c r="W3" i="13"/>
  <c r="W59" i="13"/>
  <c r="AR42" i="13"/>
  <c r="AR59" i="13"/>
  <c r="T42" i="13"/>
  <c r="AB42" i="13"/>
  <c r="AB3" i="13"/>
  <c r="AB59" i="13"/>
  <c r="AQ42" i="13"/>
  <c r="AQ59" i="13"/>
  <c r="AA42" i="13"/>
  <c r="AA3" i="13"/>
  <c r="AA59" i="13"/>
  <c r="AY42" i="13"/>
  <c r="CT36" i="13"/>
  <c r="CU36" i="13"/>
  <c r="CP36" i="13"/>
  <c r="CO36" i="13"/>
  <c r="CJ36" i="13"/>
  <c r="CM36" i="13"/>
  <c r="CT30" i="13"/>
  <c r="CP37" i="13"/>
  <c r="CN33" i="13"/>
  <c r="CK33" i="13"/>
  <c r="CI34" i="13"/>
  <c r="CL36" i="13"/>
  <c r="CN36" i="13"/>
  <c r="CW37" i="13"/>
  <c r="CQ33" i="13"/>
  <c r="CT33" i="13"/>
  <c r="CP33" i="13"/>
  <c r="CJ37" i="13"/>
  <c r="CG35" i="13"/>
  <c r="BY35" i="13"/>
  <c r="CD35" i="13"/>
  <c r="CD38" i="13"/>
  <c r="CW28" i="13"/>
  <c r="CI28" i="13"/>
  <c r="CQ28" i="13"/>
  <c r="CH28" i="13"/>
  <c r="CT27" i="13"/>
  <c r="CK34" i="13"/>
  <c r="CS34" i="13"/>
  <c r="X42" i="13"/>
  <c r="X3" i="13"/>
  <c r="X59" i="13"/>
  <c r="AT42" i="13"/>
  <c r="AM42" i="13"/>
  <c r="AS42" i="13"/>
  <c r="AS59" i="13"/>
  <c r="AW42" i="13"/>
  <c r="AW59" i="13"/>
  <c r="AV42" i="13"/>
  <c r="CH36" i="13"/>
  <c r="CS36" i="13"/>
  <c r="AD60" i="13"/>
  <c r="AD65" i="13"/>
  <c r="CS37" i="13"/>
  <c r="CX29" i="13"/>
  <c r="CY29" i="13"/>
  <c r="CX63" i="13"/>
  <c r="CY63" i="13"/>
  <c r="CZ29" i="13"/>
  <c r="CZ63" i="13"/>
  <c r="DA63" i="13"/>
  <c r="CT46" i="13"/>
  <c r="CT63" i="13"/>
  <c r="CH46" i="13"/>
  <c r="CH63" i="13"/>
  <c r="CS46" i="13"/>
  <c r="CS63" i="13"/>
  <c r="CM46" i="13"/>
  <c r="CM63" i="13"/>
  <c r="CL46" i="13"/>
  <c r="CL63" i="13"/>
  <c r="CO46" i="13"/>
  <c r="CO63" i="13"/>
  <c r="CP46" i="13"/>
  <c r="CP63" i="13"/>
  <c r="CI46" i="13"/>
  <c r="CI63" i="13"/>
  <c r="CR46" i="13"/>
  <c r="CK46" i="13"/>
  <c r="CK63" i="13"/>
  <c r="CQ46" i="13"/>
  <c r="CQ63" i="13"/>
  <c r="CU46" i="13"/>
  <c r="CU63" i="13"/>
  <c r="CN46" i="13"/>
  <c r="CN63" i="13"/>
  <c r="CJ46" i="13"/>
  <c r="CJ63" i="13"/>
  <c r="DA29" i="13"/>
  <c r="CW46" i="13"/>
  <c r="CW63" i="13"/>
  <c r="CV46" i="13"/>
  <c r="CV63" i="13"/>
  <c r="CI13" i="13"/>
  <c r="CN13" i="13"/>
  <c r="BW13" i="13"/>
  <c r="CM13" i="13"/>
  <c r="CA13" i="13"/>
  <c r="CB13" i="13"/>
  <c r="CG13" i="13"/>
  <c r="CH13" i="13"/>
  <c r="CE13" i="13"/>
  <c r="BV13" i="13"/>
  <c r="BX13" i="13"/>
  <c r="CD13" i="13"/>
  <c r="CP13" i="13"/>
  <c r="CJ13" i="13"/>
  <c r="E13" i="13"/>
  <c r="CR13" i="13"/>
  <c r="CF13" i="13"/>
  <c r="BZ13" i="13"/>
  <c r="BY13" i="13"/>
  <c r="CC13" i="13"/>
  <c r="CQ13" i="13"/>
  <c r="CK13" i="13"/>
  <c r="CO13" i="13"/>
  <c r="CL13" i="13"/>
  <c r="CX26" i="13"/>
  <c r="DA60" i="13"/>
  <c r="CZ26" i="13"/>
  <c r="CY60" i="13"/>
  <c r="DA26" i="13"/>
  <c r="CZ60" i="13"/>
  <c r="CX60" i="13"/>
  <c r="CP43" i="13"/>
  <c r="CP60" i="13"/>
  <c r="CV43" i="13"/>
  <c r="CV60" i="13"/>
  <c r="CS43" i="13"/>
  <c r="CS60" i="13"/>
  <c r="CO43" i="13"/>
  <c r="CO60" i="13"/>
  <c r="CM43" i="13"/>
  <c r="CM60" i="13"/>
  <c r="CT43" i="13"/>
  <c r="CT60" i="13"/>
  <c r="CU43" i="13"/>
  <c r="CU60" i="13"/>
  <c r="CI43" i="13"/>
  <c r="CI60" i="13"/>
  <c r="CY26" i="13"/>
  <c r="CK43" i="13"/>
  <c r="CK60" i="13"/>
  <c r="CN43" i="13"/>
  <c r="CN60" i="13"/>
  <c r="CJ43" i="13"/>
  <c r="CJ60" i="13"/>
  <c r="CQ43" i="13"/>
  <c r="CQ60" i="13"/>
  <c r="CL43" i="13"/>
  <c r="CL60" i="13"/>
  <c r="CH43" i="13"/>
  <c r="CH60" i="13"/>
  <c r="CR43" i="13"/>
  <c r="CW43" i="13"/>
  <c r="CW60" i="13"/>
  <c r="D116" i="13"/>
  <c r="BU67" i="13"/>
  <c r="S13" i="13"/>
  <c r="Z13" i="13"/>
  <c r="AA13" i="13"/>
  <c r="X13" i="13"/>
  <c r="AC13" i="13"/>
  <c r="N13" i="13"/>
  <c r="N69" i="13"/>
  <c r="M13" i="13"/>
  <c r="M69" i="13"/>
  <c r="I13" i="13"/>
  <c r="I69" i="13"/>
  <c r="R13" i="13"/>
  <c r="R69" i="13"/>
  <c r="T13" i="13"/>
  <c r="AB13" i="13"/>
  <c r="AD13" i="13"/>
  <c r="V13" i="13"/>
  <c r="H13" i="13"/>
  <c r="H69" i="13"/>
  <c r="Y13" i="13"/>
  <c r="W13" i="13"/>
  <c r="K13" i="13"/>
  <c r="K69" i="13"/>
  <c r="L13" i="13"/>
  <c r="L69" i="13"/>
  <c r="J13" i="13"/>
  <c r="J69" i="13"/>
  <c r="P13" i="13"/>
  <c r="P69" i="13"/>
  <c r="U13" i="13"/>
  <c r="O13" i="13"/>
  <c r="O69" i="13"/>
  <c r="G13" i="13"/>
  <c r="G69" i="13"/>
  <c r="F13" i="13"/>
  <c r="F69" i="13"/>
  <c r="Q13" i="13"/>
  <c r="Q69" i="13"/>
  <c r="DA6" i="13"/>
  <c r="CV6" i="13"/>
  <c r="CY6" i="13"/>
  <c r="CT6" i="13"/>
  <c r="CS6" i="13"/>
  <c r="CU6" i="13"/>
  <c r="CZ6" i="13"/>
  <c r="CX6" i="13"/>
  <c r="CW6" i="13"/>
  <c r="V3" i="13"/>
  <c r="R3" i="13"/>
  <c r="R59" i="13"/>
  <c r="F3" i="13"/>
  <c r="F59" i="13"/>
  <c r="F72" i="13"/>
  <c r="Z3" i="13"/>
  <c r="Q3" i="13"/>
  <c r="Q59" i="13"/>
  <c r="I3" i="13"/>
  <c r="I59" i="13"/>
  <c r="N3" i="13"/>
  <c r="N59" i="13"/>
  <c r="U3" i="13"/>
  <c r="T3" i="13"/>
  <c r="O3" i="13"/>
  <c r="O59" i="13"/>
  <c r="J3" i="13"/>
  <c r="J59" i="13"/>
  <c r="S3" i="13"/>
  <c r="P3" i="13"/>
  <c r="P59" i="13"/>
  <c r="P72" i="13"/>
  <c r="L3" i="13"/>
  <c r="L59" i="13"/>
  <c r="L72" i="13"/>
  <c r="H3" i="13"/>
  <c r="H59" i="13"/>
  <c r="H72" i="13"/>
  <c r="K3" i="13"/>
  <c r="K59" i="13"/>
  <c r="M3" i="13"/>
  <c r="M59" i="13"/>
  <c r="G3" i="13"/>
  <c r="G59" i="13"/>
  <c r="AD3" i="13"/>
  <c r="BU52" i="13"/>
  <c r="BK52" i="13"/>
  <c r="BK69" i="13"/>
  <c r="BD52" i="13"/>
  <c r="BD69" i="13"/>
  <c r="BC52" i="13"/>
  <c r="BC69" i="13"/>
  <c r="CA52" i="13"/>
  <c r="CA69" i="13"/>
  <c r="BM52" i="13"/>
  <c r="BM69" i="13"/>
  <c r="BR52" i="13"/>
  <c r="BR69" i="13"/>
  <c r="BY52" i="13"/>
  <c r="BY69" i="13"/>
  <c r="BG52" i="13"/>
  <c r="BG69" i="13"/>
  <c r="BH52" i="13"/>
  <c r="BH69" i="13"/>
  <c r="BP52" i="13"/>
  <c r="BP69" i="13"/>
  <c r="BI52" i="13"/>
  <c r="BI69" i="13"/>
  <c r="BJ52" i="13"/>
  <c r="BJ69" i="13"/>
  <c r="BX52" i="13"/>
  <c r="BX69" i="13"/>
  <c r="CB52" i="13"/>
  <c r="CB69" i="13"/>
  <c r="BW52" i="13"/>
  <c r="BW69" i="13"/>
  <c r="CE52" i="13"/>
  <c r="CE69" i="13"/>
  <c r="BA52" i="13"/>
  <c r="BA69" i="13"/>
  <c r="BL52" i="13"/>
  <c r="BL69" i="13"/>
  <c r="BB52" i="13"/>
  <c r="BB69" i="13"/>
  <c r="BV52" i="13"/>
  <c r="BV69" i="13"/>
  <c r="BQ52" i="13"/>
  <c r="BQ69" i="13"/>
  <c r="BN52" i="13"/>
  <c r="BN69" i="13"/>
  <c r="BT52" i="13"/>
  <c r="BT69" i="13"/>
  <c r="CC52" i="13"/>
  <c r="CC69" i="13"/>
  <c r="BS52" i="13"/>
  <c r="BS69" i="13"/>
  <c r="BF52" i="13"/>
  <c r="BF69" i="13"/>
  <c r="CG52" i="13"/>
  <c r="CG69" i="13"/>
  <c r="BO52" i="13"/>
  <c r="BO69" i="13"/>
  <c r="CD52" i="13"/>
  <c r="CD69" i="13"/>
  <c r="BZ52" i="13"/>
  <c r="BZ69" i="13"/>
  <c r="BE52" i="13"/>
  <c r="BE69" i="13"/>
  <c r="CF52" i="13"/>
  <c r="CF69" i="13"/>
  <c r="CW35" i="13"/>
  <c r="CK35" i="13"/>
  <c r="DA66" i="13"/>
  <c r="CZ32" i="13"/>
  <c r="CX32" i="13"/>
  <c r="DA32" i="13"/>
  <c r="CY66" i="13"/>
  <c r="CX66" i="13"/>
  <c r="CZ66" i="13"/>
  <c r="CP49" i="13"/>
  <c r="CP66" i="13"/>
  <c r="CY32" i="13"/>
  <c r="CQ49" i="13"/>
  <c r="CQ66" i="13"/>
  <c r="CO49" i="13"/>
  <c r="CO66" i="13"/>
  <c r="CU49" i="13"/>
  <c r="CU66" i="13"/>
  <c r="CH49" i="13"/>
  <c r="CH66" i="13"/>
  <c r="CL49" i="13"/>
  <c r="CL66" i="13"/>
  <c r="CV49" i="13"/>
  <c r="CV66" i="13"/>
  <c r="CK49" i="13"/>
  <c r="CK66" i="13"/>
  <c r="CS49" i="13"/>
  <c r="CS66" i="13"/>
  <c r="CR49" i="13"/>
  <c r="CT49" i="13"/>
  <c r="CT66" i="13"/>
  <c r="CI49" i="13"/>
  <c r="CI66" i="13"/>
  <c r="CN49" i="13"/>
  <c r="CN66" i="13"/>
  <c r="CJ49" i="13"/>
  <c r="CJ66" i="13"/>
  <c r="CM49" i="13"/>
  <c r="CM66" i="13"/>
  <c r="CW49" i="13"/>
  <c r="CW66" i="13"/>
  <c r="CT14" i="13"/>
  <c r="DA14" i="13"/>
  <c r="CU14" i="13"/>
  <c r="CY14" i="13"/>
  <c r="CZ14" i="13"/>
  <c r="CW14" i="13"/>
  <c r="CX14" i="13"/>
  <c r="CS14" i="13"/>
  <c r="CV14" i="13"/>
  <c r="D115" i="13"/>
  <c r="BU66" i="13"/>
  <c r="B16" i="13"/>
  <c r="AE16" i="13"/>
  <c r="AK16" i="13"/>
  <c r="BJ16" i="13"/>
  <c r="BQ16" i="13"/>
  <c r="AJ16" i="13"/>
  <c r="AY16" i="13"/>
  <c r="BH16" i="13"/>
  <c r="BL16" i="13"/>
  <c r="BB16" i="13"/>
  <c r="BM16" i="13"/>
  <c r="AW16" i="13"/>
  <c r="AV16" i="13"/>
  <c r="AP16" i="13"/>
  <c r="AO16" i="13"/>
  <c r="AS16" i="13"/>
  <c r="AN16" i="13"/>
  <c r="AT16" i="13"/>
  <c r="AZ16" i="13"/>
  <c r="AG16" i="13"/>
  <c r="BE16" i="13"/>
  <c r="AL16" i="13"/>
  <c r="BC16" i="13"/>
  <c r="BO16" i="13"/>
  <c r="BG16" i="13"/>
  <c r="BS16" i="13"/>
  <c r="BT16" i="13"/>
  <c r="BF16" i="13"/>
  <c r="BU16" i="13"/>
  <c r="BA16" i="13"/>
  <c r="AR16" i="13"/>
  <c r="AU16" i="13"/>
  <c r="AQ16" i="13"/>
  <c r="BP16" i="13"/>
  <c r="BN16" i="13"/>
  <c r="AI16" i="13"/>
  <c r="BR16" i="13"/>
  <c r="BI16" i="13"/>
  <c r="AM16" i="13"/>
  <c r="AH16" i="13"/>
  <c r="BD16" i="13"/>
  <c r="BK16" i="13"/>
  <c r="AF16" i="13"/>
  <c r="AX16" i="13"/>
  <c r="CV18" i="13"/>
  <c r="CU18" i="13"/>
  <c r="CT18" i="13"/>
  <c r="CX18" i="13"/>
  <c r="CW18" i="13"/>
  <c r="CZ18" i="13"/>
  <c r="DA18" i="13"/>
  <c r="CS18" i="13"/>
  <c r="CY18" i="13"/>
  <c r="CY37" i="13"/>
  <c r="CY71" i="13"/>
  <c r="DA37" i="13"/>
  <c r="CZ71" i="13"/>
  <c r="CX37" i="13"/>
  <c r="DA71" i="13"/>
  <c r="CX71" i="13"/>
  <c r="CZ37" i="13"/>
  <c r="CP54" i="13"/>
  <c r="CP71" i="13"/>
  <c r="CN54" i="13"/>
  <c r="CN71" i="13"/>
  <c r="CM54" i="13"/>
  <c r="CM71" i="13"/>
  <c r="CV54" i="13"/>
  <c r="CV71" i="13"/>
  <c r="CI54" i="13"/>
  <c r="CI71" i="13"/>
  <c r="CL54" i="13"/>
  <c r="CL71" i="13"/>
  <c r="CS54" i="13"/>
  <c r="CS71" i="13"/>
  <c r="CR54" i="13"/>
  <c r="CK54" i="13"/>
  <c r="CK71" i="13"/>
  <c r="CQ54" i="13"/>
  <c r="CQ71" i="13"/>
  <c r="CW54" i="13"/>
  <c r="CW71" i="13"/>
  <c r="CU54" i="13"/>
  <c r="CU71" i="13"/>
  <c r="CO54" i="13"/>
  <c r="CO71" i="13"/>
  <c r="CH54" i="13"/>
  <c r="CH71" i="13"/>
  <c r="CJ54" i="13"/>
  <c r="CJ71" i="13"/>
  <c r="CT54" i="13"/>
  <c r="CT71" i="13"/>
  <c r="DA68" i="13"/>
  <c r="CY34" i="13"/>
  <c r="CX34" i="13"/>
  <c r="CZ68" i="13"/>
  <c r="CZ34" i="13"/>
  <c r="DA34" i="13"/>
  <c r="CX68" i="13"/>
  <c r="CY68" i="13"/>
  <c r="CP51" i="13"/>
  <c r="CP68" i="13"/>
  <c r="CS51" i="13"/>
  <c r="CS68" i="13"/>
  <c r="CL51" i="13"/>
  <c r="CL68" i="13"/>
  <c r="CM51" i="13"/>
  <c r="CM68" i="13"/>
  <c r="CJ51" i="13"/>
  <c r="CJ68" i="13"/>
  <c r="CO51" i="13"/>
  <c r="CO68" i="13"/>
  <c r="CU51" i="13"/>
  <c r="CU68" i="13"/>
  <c r="CR51" i="13"/>
  <c r="CW51" i="13"/>
  <c r="CW68" i="13"/>
  <c r="CK51" i="13"/>
  <c r="CK68" i="13"/>
  <c r="CQ51" i="13"/>
  <c r="CQ68" i="13"/>
  <c r="CT51" i="13"/>
  <c r="CT68" i="13"/>
  <c r="CI51" i="13"/>
  <c r="CI68" i="13"/>
  <c r="CH51" i="13"/>
  <c r="CH68" i="13"/>
  <c r="CV51" i="13"/>
  <c r="CV68" i="13"/>
  <c r="CN51" i="13"/>
  <c r="CN68" i="13"/>
  <c r="D111" i="13"/>
  <c r="BU62" i="13"/>
  <c r="CT5" i="13"/>
  <c r="CW5" i="13"/>
  <c r="CV5" i="13"/>
  <c r="CZ5" i="13"/>
  <c r="CX5" i="13"/>
  <c r="CU5" i="13"/>
  <c r="CY5" i="13"/>
  <c r="DA5" i="13"/>
  <c r="CS5" i="13"/>
  <c r="CY67" i="13"/>
  <c r="CX67" i="13"/>
  <c r="DA33" i="13"/>
  <c r="CZ33" i="13"/>
  <c r="DA67" i="13"/>
  <c r="CY33" i="13"/>
  <c r="CX33" i="13"/>
  <c r="CH50" i="13"/>
  <c r="CH67" i="13"/>
  <c r="CN50" i="13"/>
  <c r="CN67" i="13"/>
  <c r="CK50" i="13"/>
  <c r="CK67" i="13"/>
  <c r="CS50" i="13"/>
  <c r="CS67" i="13"/>
  <c r="CU50" i="13"/>
  <c r="CU67" i="13"/>
  <c r="CR50" i="13"/>
  <c r="CP50" i="13"/>
  <c r="CP67" i="13"/>
  <c r="CL50" i="13"/>
  <c r="CL67" i="13"/>
  <c r="CV50" i="13"/>
  <c r="CV67" i="13"/>
  <c r="CI50" i="13"/>
  <c r="CI67" i="13"/>
  <c r="CM50" i="13"/>
  <c r="CM67" i="13"/>
  <c r="CJ50" i="13"/>
  <c r="CJ67" i="13"/>
  <c r="CQ50" i="13"/>
  <c r="CQ67" i="13"/>
  <c r="CW50" i="13"/>
  <c r="CW67" i="13"/>
  <c r="CT50" i="13"/>
  <c r="CT67" i="13"/>
  <c r="CZ67" i="13"/>
  <c r="CO50" i="13"/>
  <c r="CO67" i="13"/>
  <c r="D117" i="13"/>
  <c r="BU68" i="13"/>
  <c r="CN25" i="13"/>
  <c r="BI42" i="13"/>
  <c r="BI59" i="13"/>
  <c r="BI72" i="13"/>
  <c r="BN42" i="13"/>
  <c r="BN59" i="13"/>
  <c r="BV42" i="13"/>
  <c r="BV59" i="13"/>
  <c r="BY42" i="13"/>
  <c r="BY59" i="13"/>
  <c r="BY72" i="13"/>
  <c r="CB42" i="13"/>
  <c r="CB59" i="13"/>
  <c r="BC42" i="13"/>
  <c r="BC59" i="13"/>
  <c r="BC72" i="13"/>
  <c r="BJ42" i="13"/>
  <c r="BJ59" i="13"/>
  <c r="BM42" i="13"/>
  <c r="BM59" i="13"/>
  <c r="BD42" i="13"/>
  <c r="BD59" i="13"/>
  <c r="BB42" i="13"/>
  <c r="BB59" i="13"/>
  <c r="BB72" i="13"/>
  <c r="BQ42" i="13"/>
  <c r="BQ59" i="13"/>
  <c r="BE42" i="13"/>
  <c r="BE59" i="13"/>
  <c r="BE72" i="13"/>
  <c r="BS42" i="13"/>
  <c r="BS59" i="13"/>
  <c r="BH42" i="13"/>
  <c r="BH59" i="13"/>
  <c r="BF42" i="13"/>
  <c r="BF59" i="13"/>
  <c r="BO42" i="13"/>
  <c r="BO59" i="13"/>
  <c r="CG42" i="13"/>
  <c r="CG59" i="13"/>
  <c r="CG72" i="13"/>
  <c r="BX42" i="13"/>
  <c r="BX59" i="13"/>
  <c r="BP42" i="13"/>
  <c r="BP59" i="13"/>
  <c r="CA42" i="13"/>
  <c r="CA59" i="13"/>
  <c r="CC42" i="13"/>
  <c r="CC59" i="13"/>
  <c r="BW42" i="13"/>
  <c r="BW59" i="13"/>
  <c r="BK42" i="13"/>
  <c r="BK59" i="13"/>
  <c r="BA42" i="13"/>
  <c r="BA59" i="13"/>
  <c r="BU42" i="13"/>
  <c r="BZ42" i="13"/>
  <c r="BZ59" i="13"/>
  <c r="BR42" i="13"/>
  <c r="BR59" i="13"/>
  <c r="BG42" i="13"/>
  <c r="BG59" i="13"/>
  <c r="CE42" i="13"/>
  <c r="CE59" i="13"/>
  <c r="BL42" i="13"/>
  <c r="BL59" i="13"/>
  <c r="BT42" i="13"/>
  <c r="BT59" i="13"/>
  <c r="BT72" i="13"/>
  <c r="CF42" i="13"/>
  <c r="CF59" i="13"/>
  <c r="CD42" i="13"/>
  <c r="CD59" i="13"/>
  <c r="D119" i="13"/>
  <c r="BU70" i="13"/>
  <c r="Q35" i="13"/>
  <c r="H35" i="13"/>
  <c r="N35" i="13"/>
  <c r="P35" i="13"/>
  <c r="R35" i="13"/>
  <c r="O35" i="13"/>
  <c r="I35" i="13"/>
  <c r="F35" i="13"/>
  <c r="J35" i="13"/>
  <c r="M35" i="13"/>
  <c r="L35" i="13"/>
  <c r="G35" i="13"/>
  <c r="AF35" i="13"/>
  <c r="AA35" i="13"/>
  <c r="AN69" i="13"/>
  <c r="AW35" i="13"/>
  <c r="V69" i="13"/>
  <c r="AP35" i="13"/>
  <c r="AA69" i="13"/>
  <c r="AX35" i="13"/>
  <c r="AE35" i="13"/>
  <c r="AV35" i="13"/>
  <c r="W69" i="13"/>
  <c r="T35" i="13"/>
  <c r="S35" i="13"/>
  <c r="Z69" i="13"/>
  <c r="AY69" i="13"/>
  <c r="AT35" i="13"/>
  <c r="U69" i="13"/>
  <c r="AI69" i="13"/>
  <c r="AL35" i="13"/>
  <c r="K35" i="13"/>
  <c r="AG69" i="13"/>
  <c r="AQ35" i="13"/>
  <c r="AO69" i="13"/>
  <c r="AS35" i="13"/>
  <c r="W35" i="13"/>
  <c r="AU35" i="13"/>
  <c r="AW69" i="13"/>
  <c r="AU69" i="13"/>
  <c r="AN35" i="13"/>
  <c r="AR35" i="13"/>
  <c r="Y35" i="13"/>
  <c r="AZ69" i="13"/>
  <c r="AM69" i="13"/>
  <c r="U35" i="13"/>
  <c r="AF69" i="13"/>
  <c r="AC35" i="13"/>
  <c r="AB35" i="13"/>
  <c r="AZ35" i="13"/>
  <c r="AJ69" i="13"/>
  <c r="AK69" i="13"/>
  <c r="X69" i="13"/>
  <c r="AR69" i="13"/>
  <c r="AX69" i="13"/>
  <c r="V35" i="13"/>
  <c r="AH69" i="13"/>
  <c r="Z35" i="13"/>
  <c r="Y69" i="13"/>
  <c r="AO35" i="13"/>
  <c r="AB69" i="13"/>
  <c r="AG35" i="13"/>
  <c r="AT69" i="13"/>
  <c r="AD35" i="13"/>
  <c r="X35" i="13"/>
  <c r="AY35" i="13"/>
  <c r="AL69" i="13"/>
  <c r="AJ35" i="13"/>
  <c r="AC69" i="13"/>
  <c r="AM35" i="13"/>
  <c r="S69" i="13"/>
  <c r="AD69" i="13"/>
  <c r="AI35" i="13"/>
  <c r="AH35" i="13"/>
  <c r="AK35" i="13"/>
  <c r="T69" i="13"/>
  <c r="AS69" i="13"/>
  <c r="AE69" i="13"/>
  <c r="AV69" i="13"/>
  <c r="AP69" i="13"/>
  <c r="AQ69" i="13"/>
  <c r="CW45" i="13"/>
  <c r="CW62" i="13"/>
  <c r="CX28" i="13"/>
  <c r="CR45" i="13"/>
  <c r="CK45" i="13"/>
  <c r="CK62" i="13"/>
  <c r="CS45" i="13"/>
  <c r="CS62" i="13"/>
  <c r="CX62" i="13"/>
  <c r="DA28" i="13"/>
  <c r="CI45" i="13"/>
  <c r="CI62" i="13"/>
  <c r="CP45" i="13"/>
  <c r="CP62" i="13"/>
  <c r="CO45" i="13"/>
  <c r="CO62" i="13"/>
  <c r="DA62" i="13"/>
  <c r="CM45" i="13"/>
  <c r="CM62" i="13"/>
  <c r="CU45" i="13"/>
  <c r="CU62" i="13"/>
  <c r="CJ45" i="13"/>
  <c r="CJ62" i="13"/>
  <c r="CL45" i="13"/>
  <c r="CL62" i="13"/>
  <c r="CY62" i="13"/>
  <c r="CT45" i="13"/>
  <c r="CT62" i="13"/>
  <c r="CN45" i="13"/>
  <c r="CN62" i="13"/>
  <c r="CQ45" i="13"/>
  <c r="CQ62" i="13"/>
  <c r="CZ28" i="13"/>
  <c r="CY28" i="13"/>
  <c r="CH45" i="13"/>
  <c r="CH62" i="13"/>
  <c r="CZ62" i="13"/>
  <c r="CV45" i="13"/>
  <c r="CV62" i="13"/>
  <c r="P25" i="13"/>
  <c r="O25" i="13"/>
  <c r="K25" i="13"/>
  <c r="K38" i="13"/>
  <c r="G25" i="13"/>
  <c r="M25" i="13"/>
  <c r="M38" i="13"/>
  <c r="L25" i="13"/>
  <c r="L38" i="13"/>
  <c r="F25" i="13"/>
  <c r="F38" i="13"/>
  <c r="R25" i="13"/>
  <c r="R38" i="13"/>
  <c r="I25" i="13"/>
  <c r="Q25" i="13"/>
  <c r="H25" i="13"/>
  <c r="J25" i="13"/>
  <c r="J38" i="13"/>
  <c r="AM59" i="13"/>
  <c r="S59" i="13"/>
  <c r="AK59" i="13"/>
  <c r="T59" i="13"/>
  <c r="T72" i="13"/>
  <c r="V59" i="13"/>
  <c r="V72" i="13"/>
  <c r="AH25" i="13"/>
  <c r="AH38" i="13"/>
  <c r="AV25" i="13"/>
  <c r="U25" i="13"/>
  <c r="AF25" i="13"/>
  <c r="AF38" i="13"/>
  <c r="U59" i="13"/>
  <c r="W25" i="13"/>
  <c r="W38" i="13"/>
  <c r="S25" i="13"/>
  <c r="AI25" i="13"/>
  <c r="AZ25" i="13"/>
  <c r="AZ38" i="13"/>
  <c r="N25" i="13"/>
  <c r="AU59" i="13"/>
  <c r="AU72" i="13"/>
  <c r="AY59" i="13"/>
  <c r="AX25" i="13"/>
  <c r="AB25" i="13"/>
  <c r="AV59" i="13"/>
  <c r="Y25" i="13"/>
  <c r="AG25" i="13"/>
  <c r="AJ25" i="13"/>
  <c r="AJ38" i="13"/>
  <c r="AY25" i="13"/>
  <c r="AP25" i="13"/>
  <c r="AP38" i="13"/>
  <c r="AD25" i="13"/>
  <c r="AA25" i="13"/>
  <c r="AN59" i="13"/>
  <c r="AE25" i="13"/>
  <c r="AE38" i="13"/>
  <c r="AT59" i="13"/>
  <c r="AR25" i="13"/>
  <c r="AT25" i="13"/>
  <c r="AF59" i="13"/>
  <c r="AL25" i="13"/>
  <c r="AS25" i="13"/>
  <c r="X25" i="13"/>
  <c r="X38" i="13"/>
  <c r="AN25" i="13"/>
  <c r="Z25" i="13"/>
  <c r="AQ25" i="13"/>
  <c r="AK25" i="13"/>
  <c r="AO25" i="13"/>
  <c r="T25" i="13"/>
  <c r="AO59" i="13"/>
  <c r="AM25" i="13"/>
  <c r="V25" i="13"/>
  <c r="AH59" i="13"/>
  <c r="Z59" i="13"/>
  <c r="AE59" i="13"/>
  <c r="AE72" i="13"/>
  <c r="AW25" i="13"/>
  <c r="AU25" i="13"/>
  <c r="AC25" i="13"/>
  <c r="D120" i="13"/>
  <c r="BU71" i="13"/>
  <c r="CS26" i="13"/>
  <c r="CJ29" i="13"/>
  <c r="CN29" i="13"/>
  <c r="CI29" i="13"/>
  <c r="BX35" i="13"/>
  <c r="BX38" i="13"/>
  <c r="BS35" i="13"/>
  <c r="BS38" i="13"/>
  <c r="BV35" i="13"/>
  <c r="BV38" i="13"/>
  <c r="CB35" i="13"/>
  <c r="BH35" i="13"/>
  <c r="BH38" i="13"/>
  <c r="CG38" i="13"/>
  <c r="CL26" i="13"/>
  <c r="CK30" i="13"/>
  <c r="CT29" i="13"/>
  <c r="CQ32" i="13"/>
  <c r="CT32" i="13"/>
  <c r="CW32" i="13"/>
  <c r="CP32" i="13"/>
  <c r="BQ35" i="13"/>
  <c r="BQ38" i="13"/>
  <c r="BL35" i="13"/>
  <c r="BU35" i="13"/>
  <c r="BU38" i="13"/>
  <c r="BP35" i="13"/>
  <c r="CC35" i="13"/>
  <c r="CC38" i="13"/>
  <c r="BG35" i="13"/>
  <c r="BG38" i="13"/>
  <c r="BN35" i="13"/>
  <c r="CH31" i="13"/>
  <c r="CT31" i="13"/>
  <c r="CS31" i="13"/>
  <c r="CH33" i="13"/>
  <c r="CW33" i="13"/>
  <c r="CJ33" i="13"/>
  <c r="CK27" i="13"/>
  <c r="CH34" i="13"/>
  <c r="CV34" i="13"/>
  <c r="CT34" i="13"/>
  <c r="CO34" i="13"/>
  <c r="CU34" i="13"/>
  <c r="BP38" i="13"/>
  <c r="BY38" i="13"/>
  <c r="AD66" i="13"/>
  <c r="CK26" i="13"/>
  <c r="CJ26" i="13"/>
  <c r="CW30" i="13"/>
  <c r="CJ30" i="13"/>
  <c r="CO29" i="13"/>
  <c r="CQ29" i="13"/>
  <c r="CN37" i="13"/>
  <c r="CO37" i="13"/>
  <c r="CI37" i="13"/>
  <c r="CU37" i="13"/>
  <c r="CL37" i="13"/>
  <c r="CU40" i="13"/>
  <c r="CY40" i="13"/>
  <c r="CV40" i="13"/>
  <c r="CZ40" i="13"/>
  <c r="CX40" i="13"/>
  <c r="CW40" i="13"/>
  <c r="CS40" i="13"/>
  <c r="DA40" i="13"/>
  <c r="CT40" i="13"/>
  <c r="CV8" i="13"/>
  <c r="CT8" i="13"/>
  <c r="CX8" i="13"/>
  <c r="CU8" i="13"/>
  <c r="DA8" i="13"/>
  <c r="CY8" i="13"/>
  <c r="CW8" i="13"/>
  <c r="CZ8" i="13"/>
  <c r="CS8" i="13"/>
  <c r="I74" i="12"/>
  <c r="CA3" i="13"/>
  <c r="CG3" i="13"/>
  <c r="BY3" i="13"/>
  <c r="CP3" i="13"/>
  <c r="CI3" i="13"/>
  <c r="CK3" i="13"/>
  <c r="CD3" i="13"/>
  <c r="CB3" i="13"/>
  <c r="CM3" i="13"/>
  <c r="CQ3" i="13"/>
  <c r="BW3" i="13"/>
  <c r="BV3" i="13"/>
  <c r="CJ3" i="13"/>
  <c r="BX3" i="13"/>
  <c r="CO3" i="13"/>
  <c r="CC3" i="13"/>
  <c r="CN3" i="13"/>
  <c r="CE3" i="13"/>
  <c r="CH3" i="13"/>
  <c r="E3" i="13"/>
  <c r="CR3" i="13"/>
  <c r="BZ3" i="13"/>
  <c r="CF3" i="13"/>
  <c r="CL3" i="13"/>
  <c r="L74" i="12"/>
  <c r="L70" i="12"/>
  <c r="D109" i="13"/>
  <c r="BU60" i="13"/>
  <c r="D112" i="13"/>
  <c r="BU63" i="13"/>
  <c r="CS7" i="13"/>
  <c r="CU7" i="13"/>
  <c r="CX7" i="13"/>
  <c r="DA7" i="13"/>
  <c r="CT7" i="13"/>
  <c r="CZ7" i="13"/>
  <c r="CW7" i="13"/>
  <c r="CV7" i="13"/>
  <c r="CY7" i="13"/>
  <c r="CX30" i="13"/>
  <c r="CZ64" i="13"/>
  <c r="CX64" i="13"/>
  <c r="DA30" i="13"/>
  <c r="DA64" i="13"/>
  <c r="CZ30" i="13"/>
  <c r="CY30" i="13"/>
  <c r="CY64" i="13"/>
  <c r="CP47" i="13"/>
  <c r="CP64" i="13"/>
  <c r="CS47" i="13"/>
  <c r="CS64" i="13"/>
  <c r="CL47" i="13"/>
  <c r="CL64" i="13"/>
  <c r="CJ47" i="13"/>
  <c r="CJ64" i="13"/>
  <c r="CN47" i="13"/>
  <c r="CN64" i="13"/>
  <c r="CR47" i="13"/>
  <c r="CW47" i="13"/>
  <c r="CW64" i="13"/>
  <c r="CQ47" i="13"/>
  <c r="CQ64" i="13"/>
  <c r="CT47" i="13"/>
  <c r="CT64" i="13"/>
  <c r="CH47" i="13"/>
  <c r="CH64" i="13"/>
  <c r="CI47" i="13"/>
  <c r="CI64" i="13"/>
  <c r="CO47" i="13"/>
  <c r="CO64" i="13"/>
  <c r="CK47" i="13"/>
  <c r="CK64" i="13"/>
  <c r="CM47" i="13"/>
  <c r="CM64" i="13"/>
  <c r="CU47" i="13"/>
  <c r="CU64" i="13"/>
  <c r="CV47" i="13"/>
  <c r="CV64" i="13"/>
  <c r="CU4" i="13"/>
  <c r="CT4" i="13"/>
  <c r="CS4" i="13"/>
  <c r="CV4" i="13"/>
  <c r="DA4" i="13"/>
  <c r="CW4" i="13"/>
  <c r="CX4" i="13"/>
  <c r="CY4" i="13"/>
  <c r="CZ4" i="13"/>
  <c r="D114" i="13"/>
  <c r="BU65" i="13"/>
  <c r="B38" i="13"/>
  <c r="CX65" i="13"/>
  <c r="DA31" i="13"/>
  <c r="CZ31" i="13"/>
  <c r="DA65" i="13"/>
  <c r="CX31" i="13"/>
  <c r="CY65" i="13"/>
  <c r="CY31" i="13"/>
  <c r="CZ65" i="13"/>
  <c r="CW48" i="13"/>
  <c r="CW65" i="13"/>
  <c r="CQ48" i="13"/>
  <c r="CQ65" i="13"/>
  <c r="CL48" i="13"/>
  <c r="CL65" i="13"/>
  <c r="CK48" i="13"/>
  <c r="CK65" i="13"/>
  <c r="CH48" i="13"/>
  <c r="CH65" i="13"/>
  <c r="CT48" i="13"/>
  <c r="CT65" i="13"/>
  <c r="CJ48" i="13"/>
  <c r="CJ65" i="13"/>
  <c r="CR48" i="13"/>
  <c r="CS48" i="13"/>
  <c r="CS65" i="13"/>
  <c r="CV48" i="13"/>
  <c r="CV65" i="13"/>
  <c r="CU48" i="13"/>
  <c r="CU65" i="13"/>
  <c r="CO48" i="13"/>
  <c r="CO65" i="13"/>
  <c r="CP48" i="13"/>
  <c r="CP65" i="13"/>
  <c r="CM48" i="13"/>
  <c r="CM65" i="13"/>
  <c r="CI48" i="13"/>
  <c r="CI65" i="13"/>
  <c r="CN48" i="13"/>
  <c r="CN65" i="13"/>
  <c r="DA39" i="13"/>
  <c r="CW39" i="13"/>
  <c r="CT39" i="13"/>
  <c r="CX39" i="13"/>
  <c r="CU39" i="13"/>
  <c r="CY39" i="13"/>
  <c r="CZ39" i="13"/>
  <c r="CS39" i="13"/>
  <c r="CV39" i="13"/>
  <c r="CZ70" i="13"/>
  <c r="CY36" i="13"/>
  <c r="CZ36" i="13"/>
  <c r="DA70" i="13"/>
  <c r="CX70" i="13"/>
  <c r="DA36" i="13"/>
  <c r="CL53" i="13"/>
  <c r="CL70" i="13"/>
  <c r="CV53" i="13"/>
  <c r="CV70" i="13"/>
  <c r="CN53" i="13"/>
  <c r="CN70" i="13"/>
  <c r="CW53" i="13"/>
  <c r="CW70" i="13"/>
  <c r="CJ53" i="13"/>
  <c r="CJ70" i="13"/>
  <c r="CO53" i="13"/>
  <c r="CO70" i="13"/>
  <c r="CM53" i="13"/>
  <c r="CM70" i="13"/>
  <c r="CI53" i="13"/>
  <c r="CI70" i="13"/>
  <c r="CU53" i="13"/>
  <c r="CU70" i="13"/>
  <c r="CK53" i="13"/>
  <c r="CK70" i="13"/>
  <c r="CX36" i="13"/>
  <c r="CH53" i="13"/>
  <c r="CH70" i="13"/>
  <c r="CQ53" i="13"/>
  <c r="CQ70" i="13"/>
  <c r="CR53" i="13"/>
  <c r="CY70" i="13"/>
  <c r="CP53" i="13"/>
  <c r="CP70" i="13"/>
  <c r="CT53" i="13"/>
  <c r="CT70" i="13"/>
  <c r="CS53" i="13"/>
  <c r="CS70" i="13"/>
  <c r="DA15" i="13"/>
  <c r="CX15" i="13"/>
  <c r="CU15" i="13"/>
  <c r="CS15" i="13"/>
  <c r="CT15" i="13"/>
  <c r="CY15" i="13"/>
  <c r="CZ15" i="13"/>
  <c r="CV15" i="13"/>
  <c r="CW15" i="13"/>
  <c r="CW12" i="13"/>
  <c r="CV12" i="13"/>
  <c r="CS12" i="13"/>
  <c r="CT12" i="13"/>
  <c r="CY12" i="13"/>
  <c r="CZ12" i="13"/>
  <c r="DA12" i="13"/>
  <c r="CX12" i="13"/>
  <c r="CU12" i="13"/>
  <c r="CR44" i="13"/>
  <c r="DA61" i="13"/>
  <c r="DA27" i="13"/>
  <c r="CJ44" i="13"/>
  <c r="CJ61" i="13"/>
  <c r="CX27" i="13"/>
  <c r="CZ61" i="13"/>
  <c r="CL44" i="13"/>
  <c r="CL61" i="13"/>
  <c r="CO44" i="13"/>
  <c r="CO61" i="13"/>
  <c r="CV44" i="13"/>
  <c r="CV61" i="13"/>
  <c r="CP44" i="13"/>
  <c r="CP61" i="13"/>
  <c r="CH44" i="13"/>
  <c r="CH61" i="13"/>
  <c r="CW44" i="13"/>
  <c r="CW61" i="13"/>
  <c r="CQ44" i="13"/>
  <c r="CQ61" i="13"/>
  <c r="CY61" i="13"/>
  <c r="CX61" i="13"/>
  <c r="CS44" i="13"/>
  <c r="CS61" i="13"/>
  <c r="CT44" i="13"/>
  <c r="CT61" i="13"/>
  <c r="CI44" i="13"/>
  <c r="CI61" i="13"/>
  <c r="CN44" i="13"/>
  <c r="CN61" i="13"/>
  <c r="CK44" i="13"/>
  <c r="CK61" i="13"/>
  <c r="CY27" i="13"/>
  <c r="CZ27" i="13"/>
  <c r="CM44" i="13"/>
  <c r="CM61" i="13"/>
  <c r="CU44" i="13"/>
  <c r="CU61" i="13"/>
  <c r="CX11" i="13"/>
  <c r="CV11" i="13"/>
  <c r="CU11" i="13"/>
  <c r="CT11" i="13"/>
  <c r="CZ11" i="13"/>
  <c r="CY11" i="13"/>
  <c r="CW11" i="13"/>
  <c r="DA11" i="13"/>
  <c r="CS11" i="13"/>
  <c r="D110" i="13"/>
  <c r="BU61" i="13"/>
  <c r="CO25" i="13"/>
  <c r="I76" i="8"/>
  <c r="D38" i="13"/>
  <c r="CZ9" i="13"/>
  <c r="CY9" i="13"/>
  <c r="CT9" i="13"/>
  <c r="CV9" i="13"/>
  <c r="CX9" i="13"/>
  <c r="DA9" i="13"/>
  <c r="CS9" i="13"/>
  <c r="CW9" i="13"/>
  <c r="CU9" i="13"/>
  <c r="CX10" i="13"/>
  <c r="CT10" i="13"/>
  <c r="CS10" i="13"/>
  <c r="DA10" i="13"/>
  <c r="CV10" i="13"/>
  <c r="CU10" i="13"/>
  <c r="CY10" i="13"/>
  <c r="CZ10" i="13"/>
  <c r="CW10" i="13"/>
  <c r="D113" i="13"/>
  <c r="BU64" i="13"/>
  <c r="CX17" i="13"/>
  <c r="CV17" i="13"/>
  <c r="CT17" i="13"/>
  <c r="CW17" i="13"/>
  <c r="CY17" i="13"/>
  <c r="CS17" i="13"/>
  <c r="CZ17" i="13"/>
  <c r="DA17" i="13"/>
  <c r="CU17" i="13"/>
  <c r="CF38" i="13"/>
  <c r="CU26" i="13"/>
  <c r="CH26" i="13"/>
  <c r="CW29" i="13"/>
  <c r="CK29" i="13"/>
  <c r="BK35" i="13"/>
  <c r="BK38" i="13"/>
  <c r="BJ35" i="13"/>
  <c r="BJ38" i="13"/>
  <c r="BW35" i="13"/>
  <c r="BW38" i="13"/>
  <c r="BA35" i="13"/>
  <c r="BA38" i="13"/>
  <c r="BR35" i="13"/>
  <c r="BR38" i="13"/>
  <c r="BN38" i="13"/>
  <c r="CI26" i="13"/>
  <c r="CO26" i="13"/>
  <c r="CR26" i="13"/>
  <c r="CP30" i="13"/>
  <c r="CN30" i="13"/>
  <c r="CS30" i="13"/>
  <c r="CS29" i="13"/>
  <c r="CP29" i="13"/>
  <c r="CM29" i="13"/>
  <c r="CV32" i="13"/>
  <c r="CM32" i="13"/>
  <c r="CR32" i="13"/>
  <c r="AD67" i="13"/>
  <c r="AD68" i="13"/>
  <c r="BT35" i="13"/>
  <c r="BT38" i="13"/>
  <c r="BI35" i="13"/>
  <c r="BI38" i="13"/>
  <c r="CE35" i="13"/>
  <c r="CE38" i="13"/>
  <c r="BO35" i="13"/>
  <c r="BO38" i="13"/>
  <c r="BD35" i="13"/>
  <c r="BD38" i="13"/>
  <c r="BE35" i="13"/>
  <c r="BZ35" i="13"/>
  <c r="BZ38" i="13"/>
  <c r="CA35" i="13"/>
  <c r="CA38" i="13"/>
  <c r="CI31" i="13"/>
  <c r="CQ31" i="13"/>
  <c r="CN31" i="13"/>
  <c r="CL33" i="13"/>
  <c r="CO33" i="13"/>
  <c r="CV33" i="13"/>
  <c r="CU33" i="13"/>
  <c r="CR33" i="13"/>
  <c r="CS33" i="13"/>
  <c r="CQ27" i="13"/>
  <c r="CR27" i="13"/>
  <c r="CN27" i="13"/>
  <c r="CV27" i="13"/>
  <c r="CJ34" i="13"/>
  <c r="CN34" i="13"/>
  <c r="CR34" i="13"/>
  <c r="BC25" i="13"/>
  <c r="BL25" i="13"/>
  <c r="CV36" i="13"/>
  <c r="CQ36" i="13"/>
  <c r="CK36" i="13"/>
  <c r="CV26" i="13"/>
  <c r="CQ26" i="13"/>
  <c r="CT26" i="13"/>
  <c r="CM26" i="13"/>
  <c r="CW26" i="13"/>
  <c r="CP26" i="13"/>
  <c r="CN26" i="13"/>
  <c r="CQ30" i="13"/>
  <c r="CI30" i="13"/>
  <c r="CL30" i="13"/>
  <c r="CU30" i="13"/>
  <c r="CH30" i="13"/>
  <c r="CM30" i="13"/>
  <c r="CV30" i="13"/>
  <c r="CR30" i="13"/>
  <c r="CV29" i="13"/>
  <c r="CR29" i="13"/>
  <c r="CL29" i="13"/>
  <c r="CH29" i="13"/>
  <c r="CU29" i="13"/>
  <c r="CM37" i="13"/>
  <c r="CR37" i="13"/>
  <c r="CV37" i="13"/>
  <c r="CT37" i="13"/>
  <c r="CK37" i="13"/>
  <c r="G86" i="9"/>
  <c r="L73" i="7"/>
  <c r="L76" i="7"/>
  <c r="L31" i="7"/>
  <c r="BV72" i="13"/>
  <c r="BC38" i="13"/>
  <c r="BE38" i="13"/>
  <c r="AT38" i="13"/>
  <c r="CE72" i="13"/>
  <c r="CC72" i="13"/>
  <c r="CL35" i="13"/>
  <c r="O72" i="13"/>
  <c r="N72" i="13"/>
  <c r="AS72" i="13"/>
  <c r="AQ72" i="13"/>
  <c r="AD59" i="13"/>
  <c r="BJ72" i="13"/>
  <c r="CB38" i="13"/>
  <c r="AW38" i="13"/>
  <c r="T38" i="13"/>
  <c r="BO72" i="13"/>
  <c r="CP25" i="13"/>
  <c r="CJ35" i="13"/>
  <c r="AP72" i="13"/>
  <c r="AO72" i="13"/>
  <c r="AT72" i="13"/>
  <c r="AL38" i="13"/>
  <c r="Y38" i="13"/>
  <c r="AJ72" i="13"/>
  <c r="Y72" i="13"/>
  <c r="G38" i="13"/>
  <c r="BA72" i="13"/>
  <c r="CM25" i="13"/>
  <c r="BS72" i="13"/>
  <c r="BD72" i="13"/>
  <c r="CO35" i="13"/>
  <c r="M72" i="13"/>
  <c r="J72" i="13"/>
  <c r="AW72" i="13"/>
  <c r="AL72" i="13"/>
  <c r="AK38" i="13"/>
  <c r="AF72" i="13"/>
  <c r="W72" i="13"/>
  <c r="AC38" i="13"/>
  <c r="V38" i="13"/>
  <c r="AO38" i="13"/>
  <c r="AS38" i="13"/>
  <c r="AD38" i="13"/>
  <c r="AX38" i="13"/>
  <c r="N38" i="13"/>
  <c r="AX72" i="13"/>
  <c r="AZ72" i="13"/>
  <c r="AK72" i="13"/>
  <c r="I38" i="13"/>
  <c r="P38" i="13"/>
  <c r="BN72" i="13"/>
  <c r="G72" i="13"/>
  <c r="AH72" i="13"/>
  <c r="AN38" i="13"/>
  <c r="AD72" i="13"/>
  <c r="AC72" i="13"/>
  <c r="BH72" i="13"/>
  <c r="AB72" i="13"/>
  <c r="Q38" i="13"/>
  <c r="BL72" i="13"/>
  <c r="BZ72" i="13"/>
  <c r="BP72" i="13"/>
  <c r="BQ72" i="13"/>
  <c r="CU25" i="13"/>
  <c r="BL38" i="13"/>
  <c r="S38" i="13"/>
  <c r="X72" i="13"/>
  <c r="CD72" i="13"/>
  <c r="BX72" i="13"/>
  <c r="G84" i="9"/>
  <c r="AG72" i="13"/>
  <c r="AB38" i="13"/>
  <c r="AI38" i="13"/>
  <c r="U72" i="13"/>
  <c r="AM72" i="13"/>
  <c r="BR72" i="13"/>
  <c r="BM72" i="13"/>
  <c r="CR16" i="13"/>
  <c r="CL16" i="13"/>
  <c r="CN16" i="13"/>
  <c r="BW16" i="13"/>
  <c r="BZ16" i="13"/>
  <c r="CG16" i="13"/>
  <c r="CF16" i="13"/>
  <c r="CB16" i="13"/>
  <c r="BX16" i="13"/>
  <c r="CH16" i="13"/>
  <c r="CQ16" i="13"/>
  <c r="CJ16" i="13"/>
  <c r="CI16" i="13"/>
  <c r="CK16" i="13"/>
  <c r="CO16" i="13"/>
  <c r="CC16" i="13"/>
  <c r="CD16" i="13"/>
  <c r="CA16" i="13"/>
  <c r="CM16" i="13"/>
  <c r="BV16" i="13"/>
  <c r="CP16" i="13"/>
  <c r="CE16" i="13"/>
  <c r="BY16" i="13"/>
  <c r="E115" i="13"/>
  <c r="CR66" i="13"/>
  <c r="E38" i="13"/>
  <c r="CK19" i="13"/>
  <c r="CY25" i="13"/>
  <c r="CY59" i="13"/>
  <c r="DA25" i="13"/>
  <c r="CX25" i="13"/>
  <c r="CK42" i="13"/>
  <c r="CK59" i="13"/>
  <c r="CO42" i="13"/>
  <c r="CO59" i="13"/>
  <c r="CS42" i="13"/>
  <c r="CS59" i="13"/>
  <c r="CM42" i="13"/>
  <c r="CM59" i="13"/>
  <c r="DA59" i="13"/>
  <c r="CZ25" i="13"/>
  <c r="CX59" i="13"/>
  <c r="CU42" i="13"/>
  <c r="CU59" i="13"/>
  <c r="CQ42" i="13"/>
  <c r="CQ59" i="13"/>
  <c r="CV42" i="13"/>
  <c r="CV59" i="13"/>
  <c r="CT42" i="13"/>
  <c r="CT59" i="13"/>
  <c r="CZ59" i="13"/>
  <c r="CW42" i="13"/>
  <c r="CW59" i="13"/>
  <c r="CP42" i="13"/>
  <c r="CP59" i="13"/>
  <c r="CL42" i="13"/>
  <c r="CL59" i="13"/>
  <c r="CI42" i="13"/>
  <c r="CI59" i="13"/>
  <c r="CN42" i="13"/>
  <c r="CN59" i="13"/>
  <c r="CR42" i="13"/>
  <c r="CH42" i="13"/>
  <c r="CH59" i="13"/>
  <c r="CJ42" i="13"/>
  <c r="CJ59" i="13"/>
  <c r="E110" i="13"/>
  <c r="CR61" i="13"/>
  <c r="L73" i="12"/>
  <c r="L76" i="12"/>
  <c r="CZ69" i="13"/>
  <c r="DA35" i="13"/>
  <c r="DA69" i="13"/>
  <c r="CN52" i="13"/>
  <c r="CN69" i="13"/>
  <c r="CU52" i="13"/>
  <c r="CU69" i="13"/>
  <c r="CX35" i="13"/>
  <c r="CH52" i="13"/>
  <c r="CH69" i="13"/>
  <c r="CI52" i="13"/>
  <c r="CI69" i="13"/>
  <c r="CQ52" i="13"/>
  <c r="CQ69" i="13"/>
  <c r="CY35" i="13"/>
  <c r="CK52" i="13"/>
  <c r="CK69" i="13"/>
  <c r="CW52" i="13"/>
  <c r="CW69" i="13"/>
  <c r="CR52" i="13"/>
  <c r="CJ52" i="13"/>
  <c r="CJ69" i="13"/>
  <c r="CS52" i="13"/>
  <c r="CS69" i="13"/>
  <c r="CL52" i="13"/>
  <c r="CL69" i="13"/>
  <c r="CX69" i="13"/>
  <c r="CZ35" i="13"/>
  <c r="CV52" i="13"/>
  <c r="CV69" i="13"/>
  <c r="CO52" i="13"/>
  <c r="CO69" i="13"/>
  <c r="CT52" i="13"/>
  <c r="CT69" i="13"/>
  <c r="CM52" i="13"/>
  <c r="CM69" i="13"/>
  <c r="CY69" i="13"/>
  <c r="CP52" i="13"/>
  <c r="CP69" i="13"/>
  <c r="E109" i="13"/>
  <c r="CR60" i="13"/>
  <c r="E119" i="13"/>
  <c r="CR70" i="13"/>
  <c r="E113" i="13"/>
  <c r="CR64" i="13"/>
  <c r="L70" i="8"/>
  <c r="L74" i="8"/>
  <c r="L75" i="8"/>
  <c r="E111" i="13"/>
  <c r="CR62" i="13"/>
  <c r="D108" i="13"/>
  <c r="BU59" i="13"/>
  <c r="E116" i="13"/>
  <c r="CR67" i="13"/>
  <c r="E117" i="13"/>
  <c r="CR68" i="13"/>
  <c r="E120" i="13"/>
  <c r="CR71" i="13"/>
  <c r="CT13" i="13"/>
  <c r="CX13" i="13"/>
  <c r="CY13" i="13"/>
  <c r="CU13" i="13"/>
  <c r="CZ13" i="13"/>
  <c r="CV13" i="13"/>
  <c r="DA13" i="13"/>
  <c r="CS13" i="13"/>
  <c r="CW13" i="13"/>
  <c r="CO38" i="13"/>
  <c r="BZ19" i="13"/>
  <c r="BG19" i="13"/>
  <c r="BX19" i="13"/>
  <c r="BN19" i="13"/>
  <c r="CF19" i="13"/>
  <c r="AG38" i="13"/>
  <c r="O38" i="13"/>
  <c r="CK25" i="13"/>
  <c r="CK38" i="13"/>
  <c r="CI25" i="13"/>
  <c r="CH25" i="13"/>
  <c r="CQ25" i="13"/>
  <c r="BJ19" i="13"/>
  <c r="BA19" i="13"/>
  <c r="BO19" i="13"/>
  <c r="BS19" i="13"/>
  <c r="CH35" i="13"/>
  <c r="CP35" i="13"/>
  <c r="Z72" i="13"/>
  <c r="AM38" i="13"/>
  <c r="AA72" i="13"/>
  <c r="AQ38" i="13"/>
  <c r="AN72" i="13"/>
  <c r="U38" i="13"/>
  <c r="H38" i="13"/>
  <c r="BG72" i="13"/>
  <c r="BW72" i="13"/>
  <c r="BF72" i="13"/>
  <c r="CW25" i="13"/>
  <c r="CW38" i="13"/>
  <c r="CB72" i="13"/>
  <c r="CS25" i="13"/>
  <c r="CL25" i="13"/>
  <c r="BB19" i="13"/>
  <c r="BV19" i="13"/>
  <c r="BC19" i="13"/>
  <c r="BL19" i="13"/>
  <c r="BW19" i="13"/>
  <c r="BU19" i="13"/>
  <c r="BI19" i="13"/>
  <c r="CI35" i="13"/>
  <c r="CR35" i="13"/>
  <c r="CT35" i="13"/>
  <c r="CQ35" i="13"/>
  <c r="Q72" i="13"/>
  <c r="R72" i="13"/>
  <c r="CX3" i="13"/>
  <c r="CZ3" i="13"/>
  <c r="CV3" i="13"/>
  <c r="CT3" i="13"/>
  <c r="CY3" i="13"/>
  <c r="CS3" i="13"/>
  <c r="CW3" i="13"/>
  <c r="CU3" i="13"/>
  <c r="DA3" i="13"/>
  <c r="S19" i="13"/>
  <c r="AQ19" i="13"/>
  <c r="R16" i="13"/>
  <c r="M16" i="13"/>
  <c r="L16" i="13"/>
  <c r="AD16" i="13"/>
  <c r="Z16" i="13"/>
  <c r="U19" i="13"/>
  <c r="N16" i="13"/>
  <c r="AO19" i="13"/>
  <c r="X16" i="13"/>
  <c r="AC19" i="13"/>
  <c r="V19" i="13"/>
  <c r="J16" i="13"/>
  <c r="AX19" i="13"/>
  <c r="AJ19" i="13"/>
  <c r="AW19" i="13"/>
  <c r="T19" i="13"/>
  <c r="AL19" i="13"/>
  <c r="V16" i="13"/>
  <c r="AN19" i="13"/>
  <c r="AZ19" i="13"/>
  <c r="T16" i="13"/>
  <c r="AS19" i="13"/>
  <c r="AR19" i="13"/>
  <c r="AG19" i="13"/>
  <c r="AB16" i="13"/>
  <c r="Y19" i="13"/>
  <c r="H16" i="13"/>
  <c r="U16" i="13"/>
  <c r="AM19" i="13"/>
  <c r="Z19" i="13"/>
  <c r="AB19" i="13"/>
  <c r="I16" i="13"/>
  <c r="K16" i="13"/>
  <c r="AH19" i="13"/>
  <c r="AF19" i="13"/>
  <c r="Q16" i="13"/>
  <c r="X19" i="13"/>
  <c r="AY19" i="13"/>
  <c r="G16" i="13"/>
  <c r="AU19" i="13"/>
  <c r="AE19" i="13"/>
  <c r="AV19" i="13"/>
  <c r="W19" i="13"/>
  <c r="AD19" i="13"/>
  <c r="S16" i="13"/>
  <c r="P16" i="13"/>
  <c r="AC16" i="13"/>
  <c r="AP19" i="13"/>
  <c r="AA19" i="13"/>
  <c r="Y16" i="13"/>
  <c r="AI19" i="13"/>
  <c r="AK19" i="13"/>
  <c r="F16" i="13"/>
  <c r="AT19" i="13"/>
  <c r="AA16" i="13"/>
  <c r="O16" i="13"/>
  <c r="W16" i="13"/>
  <c r="D118" i="13"/>
  <c r="BU69" i="13"/>
  <c r="E114" i="13"/>
  <c r="CR65" i="13"/>
  <c r="I70" i="8"/>
  <c r="L31" i="12"/>
  <c r="E112" i="13"/>
  <c r="CR63" i="13"/>
  <c r="CB19" i="13"/>
  <c r="BM19" i="13"/>
  <c r="BP19" i="13"/>
  <c r="Z38" i="13"/>
  <c r="AR38" i="13"/>
  <c r="AV38" i="13"/>
  <c r="CV25" i="13"/>
  <c r="CR25" i="13"/>
  <c r="CE19" i="13"/>
  <c r="CG19" i="13"/>
  <c r="BE19" i="13"/>
  <c r="BH19" i="13"/>
  <c r="BR19" i="13"/>
  <c r="CV35" i="13"/>
  <c r="AU38" i="13"/>
  <c r="AI72" i="13"/>
  <c r="AA38" i="13"/>
  <c r="AY38" i="13"/>
  <c r="AV72" i="13"/>
  <c r="AY72" i="13"/>
  <c r="AR72" i="13"/>
  <c r="S72" i="13"/>
  <c r="CF72" i="13"/>
  <c r="CT25" i="13"/>
  <c r="BK72" i="13"/>
  <c r="CA72" i="13"/>
  <c r="CJ25" i="13"/>
  <c r="CJ38" i="13"/>
  <c r="CA19" i="13"/>
  <c r="BT19" i="13"/>
  <c r="BQ19" i="13"/>
  <c r="BY19" i="13"/>
  <c r="CD19" i="13"/>
  <c r="BF19" i="13"/>
  <c r="BK19" i="13"/>
  <c r="BD19" i="13"/>
  <c r="CC19" i="13"/>
  <c r="CS35" i="13"/>
  <c r="CU35" i="13"/>
  <c r="CU38" i="13"/>
  <c r="CN35" i="13"/>
  <c r="CN38" i="13"/>
  <c r="CM35" i="13"/>
  <c r="CM38" i="13"/>
  <c r="K72" i="13"/>
  <c r="I72" i="13"/>
  <c r="G77" i="9"/>
  <c r="H86" i="9"/>
  <c r="H84" i="9"/>
  <c r="H77" i="9"/>
  <c r="F84" i="9"/>
  <c r="F82" i="9"/>
  <c r="F77" i="9"/>
  <c r="F85" i="9"/>
  <c r="CT38" i="13"/>
  <c r="CL38" i="13"/>
  <c r="CP38" i="13"/>
  <c r="CR38" i="13"/>
  <c r="F81" i="9"/>
  <c r="CL72" i="13"/>
  <c r="CT72" i="13"/>
  <c r="CX72" i="13"/>
  <c r="CV19" i="13"/>
  <c r="CJ19" i="13"/>
  <c r="BU72" i="13"/>
  <c r="F86" i="9"/>
  <c r="F80" i="9"/>
  <c r="AI25" i="12"/>
  <c r="CH38" i="13"/>
  <c r="CR19" i="13"/>
  <c r="CI19" i="13"/>
  <c r="AK25" i="12"/>
  <c r="CP72" i="13"/>
  <c r="CV72" i="13"/>
  <c r="CO72" i="13"/>
  <c r="CY72" i="13"/>
  <c r="CP19" i="13"/>
  <c r="L73" i="8"/>
  <c r="L76" i="8"/>
  <c r="CZ16" i="13"/>
  <c r="CX16" i="13"/>
  <c r="DA16" i="13"/>
  <c r="CV16" i="13"/>
  <c r="CY16" i="13"/>
  <c r="CW16" i="13"/>
  <c r="CT16" i="13"/>
  <c r="CU16" i="13"/>
  <c r="CS16" i="13"/>
  <c r="CI38" i="13"/>
  <c r="CZ38" i="13"/>
  <c r="CH72" i="13"/>
  <c r="DA38" i="13"/>
  <c r="CQ38" i="13"/>
  <c r="CJ72" i="13"/>
  <c r="CI72" i="13"/>
  <c r="CZ72" i="13"/>
  <c r="CU72" i="13"/>
  <c r="CM72" i="13"/>
  <c r="CX38" i="13"/>
  <c r="CQ19" i="13"/>
  <c r="CM19" i="13"/>
  <c r="CW19" i="13"/>
  <c r="CO19" i="13"/>
  <c r="CL19" i="13"/>
  <c r="CS19" i="13"/>
  <c r="E108" i="13"/>
  <c r="CR59" i="13"/>
  <c r="I74" i="8"/>
  <c r="L31" i="8"/>
  <c r="E118" i="13"/>
  <c r="CR69" i="13"/>
  <c r="CS72" i="13"/>
  <c r="CV38" i="13"/>
  <c r="CS38" i="13"/>
  <c r="CN72" i="13"/>
  <c r="CW72" i="13"/>
  <c r="CQ72" i="13"/>
  <c r="DA72" i="13"/>
  <c r="AE110" i="13"/>
  <c r="AE111" i="13"/>
  <c r="CK72" i="13"/>
  <c r="CY38" i="13"/>
  <c r="CT19" i="13"/>
  <c r="CN19" i="13"/>
  <c r="CU19" i="13"/>
  <c r="CH19" i="13"/>
  <c r="AK64" i="12"/>
  <c r="AJ25" i="12"/>
  <c r="AK24" i="12"/>
  <c r="AK52" i="12"/>
  <c r="AI24" i="12"/>
  <c r="AJ24" i="12"/>
  <c r="AK63" i="12"/>
  <c r="CR72" i="13"/>
  <c r="AK59" i="12"/>
  <c r="AK61" i="12"/>
  <c r="AJ52" i="12"/>
  <c r="AI52" i="12"/>
  <c r="AJ64" i="12"/>
  <c r="AI64" i="12"/>
  <c r="AJ58" i="12"/>
  <c r="AI58" i="12"/>
  <c r="AJ60" i="12"/>
  <c r="AI60" i="12"/>
  <c r="AI59" i="12"/>
  <c r="AJ59" i="12"/>
  <c r="AJ62" i="12"/>
  <c r="AI62" i="12"/>
  <c r="AI63" i="12"/>
  <c r="AJ63" i="12"/>
  <c r="AJ61" i="12"/>
  <c r="AI61" i="12"/>
  <c r="AK58" i="12"/>
  <c r="AK62" i="12"/>
  <c r="AK60" i="12"/>
  <c r="I77" i="9"/>
  <c r="I84" i="9"/>
  <c r="I86" i="9"/>
  <c r="I71" i="12"/>
  <c r="I125" i="7"/>
  <c r="I71" i="7"/>
  <c r="AA6" i="7"/>
  <c r="AA12" i="7"/>
  <c r="AA13" i="7"/>
  <c r="AA14" i="7"/>
  <c r="AA15" i="7"/>
  <c r="AA16" i="7"/>
  <c r="AA17" i="7"/>
  <c r="AA26" i="7"/>
  <c r="AA27" i="7"/>
  <c r="AA28" i="7"/>
  <c r="M29" i="7"/>
  <c r="AA29" i="7"/>
  <c r="Y8" i="7"/>
  <c r="AA8" i="7"/>
  <c r="Y9" i="7"/>
  <c r="AA9" i="7"/>
  <c r="Y10" i="7"/>
  <c r="AA10" i="7"/>
  <c r="Y11" i="7"/>
  <c r="AA11" i="7"/>
  <c r="J119" i="7"/>
  <c r="J124" i="7"/>
  <c r="J70" i="7"/>
  <c r="AA70" i="7"/>
  <c r="J39" i="7"/>
  <c r="Z8" i="7"/>
  <c r="Z39" i="7"/>
  <c r="AA39" i="7"/>
  <c r="J40" i="7"/>
  <c r="Z9" i="7"/>
  <c r="Z40" i="7"/>
  <c r="AA40" i="7"/>
  <c r="J41" i="7"/>
  <c r="Z11" i="7"/>
  <c r="Z41" i="7"/>
  <c r="AA41" i="7"/>
  <c r="J42" i="7"/>
  <c r="AA42" i="7"/>
  <c r="J43" i="7"/>
  <c r="AA43" i="7"/>
  <c r="J44" i="7"/>
  <c r="AA44" i="7"/>
  <c r="J45" i="7"/>
  <c r="AA45" i="7"/>
  <c r="J46" i="7"/>
  <c r="AA46" i="7"/>
  <c r="J47" i="7"/>
  <c r="AA47" i="7"/>
  <c r="J48" i="7"/>
  <c r="AA48" i="7"/>
  <c r="J49" i="7"/>
  <c r="AA49" i="7"/>
  <c r="J50" i="7"/>
  <c r="AA50" i="7"/>
  <c r="J51" i="7"/>
  <c r="AA51" i="7"/>
  <c r="J52" i="7"/>
  <c r="AA52" i="7"/>
  <c r="J58" i="7"/>
  <c r="AA58" i="7"/>
  <c r="J59" i="7"/>
  <c r="AA59" i="7"/>
  <c r="J60" i="7"/>
  <c r="AA60" i="7"/>
  <c r="J61" i="7"/>
  <c r="AA61" i="7"/>
  <c r="J62" i="7"/>
  <c r="AA62" i="7"/>
  <c r="J63" i="7"/>
  <c r="AA63" i="7"/>
  <c r="J64" i="7"/>
  <c r="AA64" i="7"/>
  <c r="J37" i="7"/>
  <c r="J38" i="7"/>
  <c r="AA37" i="7"/>
  <c r="AA38" i="7"/>
  <c r="AA65" i="7"/>
  <c r="AG6" i="7"/>
  <c r="Y7" i="7"/>
  <c r="Z7" i="7"/>
  <c r="AB7" i="7"/>
  <c r="AD7" i="7"/>
  <c r="AF7" i="7"/>
  <c r="AG7" i="7"/>
  <c r="AC6" i="7"/>
  <c r="AC12" i="7"/>
  <c r="AC13" i="7"/>
  <c r="AC14" i="7"/>
  <c r="AC15" i="7"/>
  <c r="AC16" i="7"/>
  <c r="AC17" i="7"/>
  <c r="AC26" i="7"/>
  <c r="AC27" i="7"/>
  <c r="AC28" i="7"/>
  <c r="AC29" i="7"/>
  <c r="AC8" i="7"/>
  <c r="AB8" i="7"/>
  <c r="AE6" i="7"/>
  <c r="AE12" i="7"/>
  <c r="AE13" i="7"/>
  <c r="AE14" i="7"/>
  <c r="AE15" i="7"/>
  <c r="AE16" i="7"/>
  <c r="AE17" i="7"/>
  <c r="AE26" i="7"/>
  <c r="AE27" i="7"/>
  <c r="AE28" i="7"/>
  <c r="AE29" i="7"/>
  <c r="AC9" i="7"/>
  <c r="AC10" i="7"/>
  <c r="AC11" i="7"/>
  <c r="AE8" i="7"/>
  <c r="AD8" i="7"/>
  <c r="AF8" i="7"/>
  <c r="AG8" i="7"/>
  <c r="AB9" i="7"/>
  <c r="AE9" i="7"/>
  <c r="AD9" i="7"/>
  <c r="AF9" i="7"/>
  <c r="AG9" i="7"/>
  <c r="Z10" i="7"/>
  <c r="AB10" i="7"/>
  <c r="AE10" i="7"/>
  <c r="AD10" i="7"/>
  <c r="AF10" i="7"/>
  <c r="AG10" i="7"/>
  <c r="AB11" i="7"/>
  <c r="AE11" i="7"/>
  <c r="AD11" i="7"/>
  <c r="AF11" i="7"/>
  <c r="AG11" i="7"/>
  <c r="AG12" i="7"/>
  <c r="AG13" i="7"/>
  <c r="AG14" i="7"/>
  <c r="AG15" i="7"/>
  <c r="AG16" i="7"/>
  <c r="AG17" i="7"/>
  <c r="AG26" i="7"/>
  <c r="AG27" i="7"/>
  <c r="AG28" i="7"/>
  <c r="AG29" i="7"/>
  <c r="Z37" i="7"/>
  <c r="AC70" i="7"/>
  <c r="AB39" i="7"/>
  <c r="AC39" i="7"/>
  <c r="AB40" i="7"/>
  <c r="AC40" i="7"/>
  <c r="AB41" i="7"/>
  <c r="AC41" i="7"/>
  <c r="AC42" i="7"/>
  <c r="AC43" i="7"/>
  <c r="AC44" i="7"/>
  <c r="AC45" i="7"/>
  <c r="AC46" i="7"/>
  <c r="AC47" i="7"/>
  <c r="AC48" i="7"/>
  <c r="AC49" i="7"/>
  <c r="AC50" i="7"/>
  <c r="AC51" i="7"/>
  <c r="AC52" i="7"/>
  <c r="AC58" i="7"/>
  <c r="AC59" i="7"/>
  <c r="AC60" i="7"/>
  <c r="AC61" i="7"/>
  <c r="AC62" i="7"/>
  <c r="AC63" i="7"/>
  <c r="AC64" i="7"/>
  <c r="AC37" i="7"/>
  <c r="AB37" i="7"/>
  <c r="AE70" i="7"/>
  <c r="AD39" i="7"/>
  <c r="AE39" i="7"/>
  <c r="AD40" i="7"/>
  <c r="AE40" i="7"/>
  <c r="AD41" i="7"/>
  <c r="AE41" i="7"/>
  <c r="AE42" i="7"/>
  <c r="AE43" i="7"/>
  <c r="AE44" i="7"/>
  <c r="AE45" i="7"/>
  <c r="AE46" i="7"/>
  <c r="AE47" i="7"/>
  <c r="AE48" i="7"/>
  <c r="AE49" i="7"/>
  <c r="AE50" i="7"/>
  <c r="AE51" i="7"/>
  <c r="AE52" i="7"/>
  <c r="AE58" i="7"/>
  <c r="AE59" i="7"/>
  <c r="AE60" i="7"/>
  <c r="AE61" i="7"/>
  <c r="AE62" i="7"/>
  <c r="AE63" i="7"/>
  <c r="AE64" i="7"/>
  <c r="AC38" i="7"/>
  <c r="AE37" i="7"/>
  <c r="AD37" i="7"/>
  <c r="AF37" i="7"/>
  <c r="AG37" i="7"/>
  <c r="Z38" i="7"/>
  <c r="AB38" i="7"/>
  <c r="AE38" i="7"/>
  <c r="AD38" i="7"/>
  <c r="AF38" i="7"/>
  <c r="AG38" i="7"/>
  <c r="AF39" i="7"/>
  <c r="AG39" i="7"/>
  <c r="AF40" i="7"/>
  <c r="AG40" i="7"/>
  <c r="AF41" i="7"/>
  <c r="AG41" i="7"/>
  <c r="AG42" i="7"/>
  <c r="AG43" i="7"/>
  <c r="AG44" i="7"/>
  <c r="AG45" i="7"/>
  <c r="AG46" i="7"/>
  <c r="AG47" i="7"/>
  <c r="AG48" i="7"/>
  <c r="AG49" i="7"/>
  <c r="AG50" i="7"/>
  <c r="AG51" i="7"/>
  <c r="AG52" i="7"/>
  <c r="AG58" i="7"/>
  <c r="AG59" i="7"/>
  <c r="AG60" i="7"/>
  <c r="AG61" i="7"/>
  <c r="AG62" i="7"/>
  <c r="AG63" i="7"/>
  <c r="AG64" i="7"/>
  <c r="AG65" i="7"/>
  <c r="AG70" i="7"/>
  <c r="J125" i="7"/>
  <c r="J128" i="7"/>
  <c r="J126" i="7"/>
  <c r="J127" i="7"/>
  <c r="J130" i="7"/>
  <c r="J129" i="7"/>
  <c r="J75" i="7"/>
  <c r="AA79" i="7"/>
  <c r="AA30" i="7"/>
  <c r="AA32" i="7"/>
  <c r="Y6" i="7"/>
  <c r="Y12" i="7"/>
  <c r="Y13" i="7"/>
  <c r="Y14" i="7"/>
  <c r="Y15" i="7"/>
  <c r="Y16" i="7"/>
  <c r="Y17" i="7"/>
  <c r="Y26" i="7"/>
  <c r="Y27" i="7"/>
  <c r="Y28" i="7"/>
  <c r="Y29" i="7"/>
  <c r="M30" i="7"/>
  <c r="Y30" i="7"/>
  <c r="M31" i="7"/>
  <c r="Y31" i="7"/>
  <c r="Y32" i="7"/>
  <c r="AA31" i="7"/>
  <c r="AA77" i="7"/>
  <c r="AA74" i="7"/>
  <c r="AC65" i="7"/>
  <c r="AC79" i="7"/>
  <c r="AC30" i="7"/>
  <c r="AC32" i="7"/>
  <c r="AC31" i="7"/>
  <c r="AC77" i="7"/>
  <c r="AC74" i="7"/>
  <c r="AE65" i="7"/>
  <c r="AE79" i="7"/>
  <c r="AE30" i="7"/>
  <c r="AE32" i="7"/>
  <c r="AE31" i="7"/>
  <c r="AE77" i="7"/>
  <c r="AE74" i="7"/>
  <c r="AG79" i="7"/>
  <c r="AG30" i="7"/>
  <c r="AG32" i="7"/>
  <c r="AG31" i="7"/>
  <c r="AG77" i="7"/>
  <c r="AI77" i="7"/>
  <c r="AK77" i="7"/>
  <c r="AE6" i="8"/>
  <c r="AE12" i="8"/>
  <c r="AE13" i="8"/>
  <c r="AE14" i="8"/>
  <c r="AE15" i="8"/>
  <c r="AE16" i="8"/>
  <c r="AE17" i="8"/>
  <c r="AE26" i="8"/>
  <c r="AE27" i="8"/>
  <c r="AE28" i="8"/>
  <c r="M29" i="8"/>
  <c r="AE29" i="8"/>
  <c r="Y7" i="8"/>
  <c r="Y8" i="8"/>
  <c r="AA6" i="8"/>
  <c r="AA12" i="8"/>
  <c r="AA13" i="8"/>
  <c r="AA14" i="8"/>
  <c r="AA15" i="8"/>
  <c r="AA16" i="8"/>
  <c r="AA17" i="8"/>
  <c r="AA26" i="8"/>
  <c r="AA27" i="8"/>
  <c r="AA28" i="8"/>
  <c r="AA29" i="8"/>
  <c r="AA8" i="8"/>
  <c r="AC6" i="8"/>
  <c r="AC12" i="8"/>
  <c r="AC13" i="8"/>
  <c r="AC14" i="8"/>
  <c r="AC15" i="8"/>
  <c r="AC16" i="8"/>
  <c r="AC17" i="8"/>
  <c r="AC26" i="8"/>
  <c r="AC27" i="8"/>
  <c r="AC28" i="8"/>
  <c r="AC29" i="8"/>
  <c r="Y9" i="8"/>
  <c r="AA9" i="8"/>
  <c r="Y10" i="8"/>
  <c r="AA10" i="8"/>
  <c r="Y11" i="8"/>
  <c r="AA11" i="8"/>
  <c r="AC8" i="8"/>
  <c r="AC9" i="8"/>
  <c r="AC10" i="8"/>
  <c r="AC11" i="8"/>
  <c r="AE8" i="8"/>
  <c r="AE9" i="8"/>
  <c r="AE10" i="8"/>
  <c r="AE11" i="8"/>
  <c r="J119" i="8"/>
  <c r="J124" i="8"/>
  <c r="J70" i="8"/>
  <c r="AA70" i="8"/>
  <c r="J39" i="8"/>
  <c r="Z8" i="8"/>
  <c r="Z39" i="8"/>
  <c r="AA39" i="8"/>
  <c r="J40" i="8"/>
  <c r="Z9" i="8"/>
  <c r="Z40" i="8"/>
  <c r="AA40" i="8"/>
  <c r="J41" i="8"/>
  <c r="Z11" i="8"/>
  <c r="Z41" i="8"/>
  <c r="AA41" i="8"/>
  <c r="J42" i="8"/>
  <c r="AA42" i="8"/>
  <c r="J43" i="8"/>
  <c r="AA43" i="8"/>
  <c r="J44" i="8"/>
  <c r="AA44" i="8"/>
  <c r="J45" i="8"/>
  <c r="AA45" i="8"/>
  <c r="J46" i="8"/>
  <c r="AA46" i="8"/>
  <c r="J47" i="8"/>
  <c r="AA47" i="8"/>
  <c r="J48" i="8"/>
  <c r="AA48" i="8"/>
  <c r="J49" i="8"/>
  <c r="AA49" i="8"/>
  <c r="J50" i="8"/>
  <c r="AA50" i="8"/>
  <c r="J51" i="8"/>
  <c r="AA51" i="8"/>
  <c r="J52" i="8"/>
  <c r="AA52" i="8"/>
  <c r="J58" i="8"/>
  <c r="AA58" i="8"/>
  <c r="J59" i="8"/>
  <c r="AA59" i="8"/>
  <c r="J60" i="8"/>
  <c r="AA60" i="8"/>
  <c r="J61" i="8"/>
  <c r="AA61" i="8"/>
  <c r="J62" i="8"/>
  <c r="AA62" i="8"/>
  <c r="J63" i="8"/>
  <c r="AA63" i="8"/>
  <c r="J64" i="8"/>
  <c r="AA64" i="8"/>
  <c r="AA37" i="8"/>
  <c r="AA38" i="8"/>
  <c r="AA65" i="8"/>
  <c r="AG6" i="8"/>
  <c r="Z7" i="8"/>
  <c r="AB7" i="8"/>
  <c r="AD7" i="8"/>
  <c r="AF7" i="8"/>
  <c r="AG7" i="8"/>
  <c r="AB8" i="8"/>
  <c r="AD8" i="8"/>
  <c r="AF8" i="8"/>
  <c r="AG8" i="8"/>
  <c r="AB9" i="8"/>
  <c r="AD9" i="8"/>
  <c r="AF9" i="8"/>
  <c r="AG9" i="8"/>
  <c r="Z10" i="8"/>
  <c r="AB10" i="8"/>
  <c r="AD10" i="8"/>
  <c r="AF10" i="8"/>
  <c r="AG10" i="8"/>
  <c r="AB11" i="8"/>
  <c r="AD11" i="8"/>
  <c r="AF11" i="8"/>
  <c r="AG11" i="8"/>
  <c r="AG12" i="8"/>
  <c r="AG13" i="8"/>
  <c r="AG14" i="8"/>
  <c r="AG15" i="8"/>
  <c r="AG16" i="8"/>
  <c r="AG17" i="8"/>
  <c r="AG26" i="8"/>
  <c r="AG27" i="8"/>
  <c r="AG28" i="8"/>
  <c r="AG29" i="8"/>
  <c r="J37" i="8"/>
  <c r="Z37" i="8"/>
  <c r="AC70" i="8"/>
  <c r="AB39" i="8"/>
  <c r="AC39" i="8"/>
  <c r="AB40" i="8"/>
  <c r="AC40" i="8"/>
  <c r="AB41" i="8"/>
  <c r="AC41" i="8"/>
  <c r="AC42" i="8"/>
  <c r="AC43" i="8"/>
  <c r="AC44" i="8"/>
  <c r="AC45" i="8"/>
  <c r="AC46" i="8"/>
  <c r="AC47" i="8"/>
  <c r="AC48" i="8"/>
  <c r="AC49" i="8"/>
  <c r="AC50" i="8"/>
  <c r="AC51" i="8"/>
  <c r="AC52" i="8"/>
  <c r="AC58" i="8"/>
  <c r="AC59" i="8"/>
  <c r="AC60" i="8"/>
  <c r="AC61" i="8"/>
  <c r="AC62" i="8"/>
  <c r="AC63" i="8"/>
  <c r="AC64" i="8"/>
  <c r="AC37" i="8"/>
  <c r="AB37" i="8"/>
  <c r="AE70" i="8"/>
  <c r="AD39" i="8"/>
  <c r="AE39" i="8"/>
  <c r="AD40" i="8"/>
  <c r="AE40" i="8"/>
  <c r="AD41" i="8"/>
  <c r="AE41" i="8"/>
  <c r="AE42" i="8"/>
  <c r="AE43" i="8"/>
  <c r="AE44" i="8"/>
  <c r="AE45" i="8"/>
  <c r="AE46" i="8"/>
  <c r="AE47" i="8"/>
  <c r="AE48" i="8"/>
  <c r="AE49" i="8"/>
  <c r="AE50" i="8"/>
  <c r="AE51" i="8"/>
  <c r="AE52" i="8"/>
  <c r="AE58" i="8"/>
  <c r="AE59" i="8"/>
  <c r="AE60" i="8"/>
  <c r="AE61" i="8"/>
  <c r="AE62" i="8"/>
  <c r="AE63" i="8"/>
  <c r="AE64" i="8"/>
  <c r="AE37" i="8"/>
  <c r="AD37" i="8"/>
  <c r="AF37" i="8"/>
  <c r="AG37" i="8"/>
  <c r="J38" i="8"/>
  <c r="Z38" i="8"/>
  <c r="AC38" i="8"/>
  <c r="AB38" i="8"/>
  <c r="AE38" i="8"/>
  <c r="AD38" i="8"/>
  <c r="AF38" i="8"/>
  <c r="AG38" i="8"/>
  <c r="AF39" i="8"/>
  <c r="AG39" i="8"/>
  <c r="AF40" i="8"/>
  <c r="AG40" i="8"/>
  <c r="AF41" i="8"/>
  <c r="AG41" i="8"/>
  <c r="AG42" i="8"/>
  <c r="AG43" i="8"/>
  <c r="AG44" i="8"/>
  <c r="AG45" i="8"/>
  <c r="AG46" i="8"/>
  <c r="AG47" i="8"/>
  <c r="AG48" i="8"/>
  <c r="AG49" i="8"/>
  <c r="AG50" i="8"/>
  <c r="AG51" i="8"/>
  <c r="AG52" i="8"/>
  <c r="AG58" i="8"/>
  <c r="AG59" i="8"/>
  <c r="AG60" i="8"/>
  <c r="AG61" i="8"/>
  <c r="AG62" i="8"/>
  <c r="AG63" i="8"/>
  <c r="AG64" i="8"/>
  <c r="AG65" i="8"/>
  <c r="AG70" i="8"/>
  <c r="J125" i="8"/>
  <c r="J128" i="8"/>
  <c r="J126" i="8"/>
  <c r="J127" i="8"/>
  <c r="J130" i="8"/>
  <c r="J129" i="8"/>
  <c r="J75" i="8"/>
  <c r="AA79" i="8"/>
  <c r="AA30" i="8"/>
  <c r="AA74" i="8"/>
  <c r="AC65" i="8"/>
  <c r="AC79" i="8"/>
  <c r="AC30" i="8"/>
  <c r="AC74" i="8"/>
  <c r="AE65" i="8"/>
  <c r="AE79" i="8"/>
  <c r="AE30" i="8"/>
  <c r="AE32" i="8"/>
  <c r="Y6" i="8"/>
  <c r="Y12" i="8"/>
  <c r="Y13" i="8"/>
  <c r="Y14" i="8"/>
  <c r="Y15" i="8"/>
  <c r="Y16" i="8"/>
  <c r="Y17" i="8"/>
  <c r="Y26" i="8"/>
  <c r="Y27" i="8"/>
  <c r="Y28" i="8"/>
  <c r="Y29" i="8"/>
  <c r="M30" i="8"/>
  <c r="Y30" i="8"/>
  <c r="M31" i="8"/>
  <c r="Y31" i="8"/>
  <c r="Y32" i="8"/>
  <c r="AE31" i="8"/>
  <c r="AE77" i="8"/>
  <c r="AE74" i="8"/>
  <c r="AG79" i="8"/>
  <c r="AG30" i="8"/>
  <c r="AG32" i="8"/>
  <c r="AG31" i="8"/>
  <c r="AG77" i="8"/>
  <c r="AK77" i="8"/>
  <c r="AA32" i="8"/>
  <c r="AA31" i="8"/>
  <c r="AA77" i="8"/>
  <c r="AC32" i="8"/>
  <c r="AC31" i="8"/>
  <c r="AC77" i="8"/>
  <c r="AI77" i="8"/>
  <c r="AA76" i="8"/>
  <c r="AC76" i="8"/>
  <c r="AE76" i="8"/>
  <c r="AG76" i="8"/>
  <c r="AI76" i="8"/>
  <c r="AI70" i="8"/>
  <c r="AG74" i="8"/>
  <c r="AI74" i="8"/>
  <c r="AI75" i="8"/>
  <c r="AJ76" i="8"/>
  <c r="AJ70" i="8"/>
  <c r="AJ74" i="8"/>
  <c r="AJ75" i="8"/>
  <c r="AK76" i="8"/>
  <c r="AK70" i="8"/>
  <c r="AK74" i="8"/>
  <c r="AK75" i="8"/>
  <c r="AA76" i="7"/>
  <c r="AC76" i="7"/>
  <c r="AJ76" i="7"/>
  <c r="AJ70" i="7"/>
  <c r="AJ74" i="7"/>
  <c r="AJ75" i="7"/>
  <c r="AE76" i="7"/>
  <c r="AG76" i="7"/>
  <c r="AK76" i="7"/>
  <c r="AK70" i="7"/>
  <c r="AG74" i="7"/>
  <c r="AK74" i="7"/>
  <c r="AK75" i="7"/>
  <c r="AI76" i="7"/>
  <c r="AI70" i="7"/>
  <c r="AI74" i="7"/>
  <c r="AI75" i="7"/>
  <c r="AK6" i="8"/>
  <c r="AK7" i="8"/>
  <c r="AK8" i="8"/>
  <c r="AK9" i="8"/>
  <c r="AK10" i="8"/>
  <c r="AK11" i="8"/>
  <c r="AK12" i="8"/>
  <c r="AK13" i="8"/>
  <c r="AK14" i="8"/>
  <c r="AK15" i="8"/>
  <c r="AK16" i="8"/>
  <c r="AK17" i="8"/>
  <c r="AK26" i="8"/>
  <c r="AK27" i="8"/>
  <c r="AK28" i="8"/>
  <c r="AK29" i="8"/>
  <c r="AK30" i="8"/>
  <c r="AK31" i="8"/>
  <c r="AK32" i="8"/>
  <c r="AK6" i="7"/>
  <c r="AK7" i="7"/>
  <c r="AK8" i="7"/>
  <c r="AK9" i="7"/>
  <c r="AK10" i="7"/>
  <c r="AK11" i="7"/>
  <c r="AK12" i="7"/>
  <c r="AK13" i="7"/>
  <c r="AK14" i="7"/>
  <c r="AK15" i="7"/>
  <c r="AK16" i="7"/>
  <c r="AK17" i="7"/>
  <c r="AK26" i="7"/>
  <c r="AK27" i="7"/>
  <c r="AK28" i="7"/>
  <c r="AK29" i="7"/>
  <c r="AK30" i="7"/>
  <c r="AK31" i="7"/>
  <c r="AK32" i="7"/>
  <c r="AI31" i="7"/>
  <c r="AE6" i="1"/>
  <c r="AE12" i="1"/>
  <c r="AE13" i="1"/>
  <c r="AE14" i="1"/>
  <c r="AE15" i="1"/>
  <c r="AE16" i="1"/>
  <c r="AE17" i="1"/>
  <c r="AE26" i="1"/>
  <c r="AE27" i="1"/>
  <c r="AE28" i="1"/>
  <c r="M29" i="1"/>
  <c r="AE29" i="1"/>
  <c r="Y7" i="1"/>
  <c r="Y8" i="1"/>
  <c r="AA6" i="1"/>
  <c r="AA12" i="1"/>
  <c r="AA13" i="1"/>
  <c r="AA14" i="1"/>
  <c r="AA15" i="1"/>
  <c r="AA16" i="1"/>
  <c r="AA17" i="1"/>
  <c r="AA26" i="1"/>
  <c r="AA27" i="1"/>
  <c r="AA28" i="1"/>
  <c r="AA29" i="1"/>
  <c r="AA8" i="1"/>
  <c r="AC6" i="1"/>
  <c r="AC12" i="1"/>
  <c r="AC13" i="1"/>
  <c r="AC14" i="1"/>
  <c r="AC15" i="1"/>
  <c r="AC16" i="1"/>
  <c r="AC17" i="1"/>
  <c r="AC26" i="1"/>
  <c r="AC27" i="1"/>
  <c r="AC28" i="1"/>
  <c r="AC29" i="1"/>
  <c r="Y9" i="1"/>
  <c r="AA9" i="1"/>
  <c r="Y10" i="1"/>
  <c r="AA10" i="1"/>
  <c r="Y11" i="1"/>
  <c r="AA11" i="1"/>
  <c r="AC8" i="1"/>
  <c r="AC9" i="1"/>
  <c r="AC10" i="1"/>
  <c r="AC11" i="1"/>
  <c r="AE8" i="1"/>
  <c r="AE9" i="1"/>
  <c r="AE10" i="1"/>
  <c r="AE11" i="1"/>
  <c r="J119" i="1"/>
  <c r="J124" i="1"/>
  <c r="J70" i="1"/>
  <c r="AA70" i="1"/>
  <c r="J39" i="1"/>
  <c r="Z8" i="1"/>
  <c r="Z39" i="1"/>
  <c r="AA39" i="1"/>
  <c r="J40" i="1"/>
  <c r="Z9" i="1"/>
  <c r="Z40" i="1"/>
  <c r="AA40" i="1"/>
  <c r="J41" i="1"/>
  <c r="Z11" i="1"/>
  <c r="Z41" i="1"/>
  <c r="AA41" i="1"/>
  <c r="J42" i="1"/>
  <c r="AA42" i="1"/>
  <c r="J43" i="1"/>
  <c r="AA43" i="1"/>
  <c r="J44" i="1"/>
  <c r="AA44" i="1"/>
  <c r="J45" i="1"/>
  <c r="AA45" i="1"/>
  <c r="J46" i="1"/>
  <c r="AA46" i="1"/>
  <c r="J47" i="1"/>
  <c r="AA47" i="1"/>
  <c r="J48" i="1"/>
  <c r="AA48" i="1"/>
  <c r="J49" i="1"/>
  <c r="AA49" i="1"/>
  <c r="J55" i="1"/>
  <c r="AA55" i="1"/>
  <c r="J56" i="1"/>
  <c r="AA56" i="1"/>
  <c r="J57" i="1"/>
  <c r="AA57" i="1"/>
  <c r="J58" i="1"/>
  <c r="AA58" i="1"/>
  <c r="J59" i="1"/>
  <c r="AA59" i="1"/>
  <c r="J60" i="1"/>
  <c r="AA60" i="1"/>
  <c r="J61" i="1"/>
  <c r="AA61" i="1"/>
  <c r="J62" i="1"/>
  <c r="AA62" i="1"/>
  <c r="J63" i="1"/>
  <c r="AA63" i="1"/>
  <c r="J64" i="1"/>
  <c r="AA64" i="1"/>
  <c r="J37" i="1"/>
  <c r="J38" i="1"/>
  <c r="AA37" i="1"/>
  <c r="AA38" i="1"/>
  <c r="AA65" i="1"/>
  <c r="AG6" i="1"/>
  <c r="Z7" i="1"/>
  <c r="AB7" i="1"/>
  <c r="AD7" i="1"/>
  <c r="AF7" i="1"/>
  <c r="AG7" i="1"/>
  <c r="AB8" i="1"/>
  <c r="AD8" i="1"/>
  <c r="AF8" i="1"/>
  <c r="AG8" i="1"/>
  <c r="AB9" i="1"/>
  <c r="AD9" i="1"/>
  <c r="AF9" i="1"/>
  <c r="AG9" i="1"/>
  <c r="Z10" i="1"/>
  <c r="AB10" i="1"/>
  <c r="AD10" i="1"/>
  <c r="AF10" i="1"/>
  <c r="AG10" i="1"/>
  <c r="AB11" i="1"/>
  <c r="AD11" i="1"/>
  <c r="AF11" i="1"/>
  <c r="AG11" i="1"/>
  <c r="AG12" i="1"/>
  <c r="AG13" i="1"/>
  <c r="AG14" i="1"/>
  <c r="AG15" i="1"/>
  <c r="AG16" i="1"/>
  <c r="AG17" i="1"/>
  <c r="AG26" i="1"/>
  <c r="AG27" i="1"/>
  <c r="AG28" i="1"/>
  <c r="AG29" i="1"/>
  <c r="Z37" i="1"/>
  <c r="AC70" i="1"/>
  <c r="AB39" i="1"/>
  <c r="AC39" i="1"/>
  <c r="AB40" i="1"/>
  <c r="AC40" i="1"/>
  <c r="AB41" i="1"/>
  <c r="AC41" i="1"/>
  <c r="AC42" i="1"/>
  <c r="AC43" i="1"/>
  <c r="AC44" i="1"/>
  <c r="AC45" i="1"/>
  <c r="AC46" i="1"/>
  <c r="AC47" i="1"/>
  <c r="AC48" i="1"/>
  <c r="AC49" i="1"/>
  <c r="AC55" i="1"/>
  <c r="AC56" i="1"/>
  <c r="AC57" i="1"/>
  <c r="AC58" i="1"/>
  <c r="AC59" i="1"/>
  <c r="AC60" i="1"/>
  <c r="AC61" i="1"/>
  <c r="AC62" i="1"/>
  <c r="AC63" i="1"/>
  <c r="AC64" i="1"/>
  <c r="AC37" i="1"/>
  <c r="AB37" i="1"/>
  <c r="AE70" i="1"/>
  <c r="AD39" i="1"/>
  <c r="AE39" i="1"/>
  <c r="AD40" i="1"/>
  <c r="AE40" i="1"/>
  <c r="AD41" i="1"/>
  <c r="AE41" i="1"/>
  <c r="AE42" i="1"/>
  <c r="AE43" i="1"/>
  <c r="AE44" i="1"/>
  <c r="AE45" i="1"/>
  <c r="AE46" i="1"/>
  <c r="AE47" i="1"/>
  <c r="AE48" i="1"/>
  <c r="AE49" i="1"/>
  <c r="AE55" i="1"/>
  <c r="AE56" i="1"/>
  <c r="AE57" i="1"/>
  <c r="AE58" i="1"/>
  <c r="AE59" i="1"/>
  <c r="AE60" i="1"/>
  <c r="AE61" i="1"/>
  <c r="AE62" i="1"/>
  <c r="AE63" i="1"/>
  <c r="AE64" i="1"/>
  <c r="AC38" i="1"/>
  <c r="AE37" i="1"/>
  <c r="AD37" i="1"/>
  <c r="AF37" i="1"/>
  <c r="AG37" i="1"/>
  <c r="Z38" i="1"/>
  <c r="AB38" i="1"/>
  <c r="AE38" i="1"/>
  <c r="AD38" i="1"/>
  <c r="AF38" i="1"/>
  <c r="AG38" i="1"/>
  <c r="AF39" i="1"/>
  <c r="AG39" i="1"/>
  <c r="AF40" i="1"/>
  <c r="AG40" i="1"/>
  <c r="AF41" i="1"/>
  <c r="AG41" i="1"/>
  <c r="AG42" i="1"/>
  <c r="AG43" i="1"/>
  <c r="AG44" i="1"/>
  <c r="AG45" i="1"/>
  <c r="AG46" i="1"/>
  <c r="AG47" i="1"/>
  <c r="AG48" i="1"/>
  <c r="AG49" i="1"/>
  <c r="AG55" i="1"/>
  <c r="AG56" i="1"/>
  <c r="AG57" i="1"/>
  <c r="AG58" i="1"/>
  <c r="AG59" i="1"/>
  <c r="AG60" i="1"/>
  <c r="AG61" i="1"/>
  <c r="AG62" i="1"/>
  <c r="AG63" i="1"/>
  <c r="AG64" i="1"/>
  <c r="AG65" i="1"/>
  <c r="AG70" i="1"/>
  <c r="J125" i="1"/>
  <c r="J128" i="1"/>
  <c r="J126" i="1"/>
  <c r="J127" i="1"/>
  <c r="J130" i="1"/>
  <c r="J129" i="1"/>
  <c r="J75" i="1"/>
  <c r="AA79" i="1"/>
  <c r="AA30" i="1"/>
  <c r="AA74" i="1"/>
  <c r="AC65" i="1"/>
  <c r="AC79" i="1"/>
  <c r="AC30" i="1"/>
  <c r="AC74" i="1"/>
  <c r="AE65" i="1"/>
  <c r="AE79" i="1"/>
  <c r="AE30" i="1"/>
  <c r="AE32" i="1"/>
  <c r="Y6" i="1"/>
  <c r="Y12" i="1"/>
  <c r="Y13" i="1"/>
  <c r="Y14" i="1"/>
  <c r="Y15" i="1"/>
  <c r="Y16" i="1"/>
  <c r="Y17" i="1"/>
  <c r="Y26" i="1"/>
  <c r="Y27" i="1"/>
  <c r="Y28" i="1"/>
  <c r="Y29" i="1"/>
  <c r="M30" i="1"/>
  <c r="Y30" i="1"/>
  <c r="M31" i="1"/>
  <c r="Y31" i="1"/>
  <c r="Y32" i="1"/>
  <c r="AE31" i="1"/>
  <c r="AE77" i="1"/>
  <c r="AE74" i="1"/>
  <c r="AG79" i="1"/>
  <c r="AG30" i="1"/>
  <c r="AG32" i="1"/>
  <c r="AG31" i="1"/>
  <c r="AG77" i="1"/>
  <c r="AK77" i="1"/>
  <c r="AA32" i="1"/>
  <c r="AA31" i="1"/>
  <c r="AA77" i="1"/>
  <c r="AC32" i="1"/>
  <c r="AC31" i="1"/>
  <c r="AC77" i="1"/>
  <c r="AI77" i="1"/>
  <c r="AI31" i="8"/>
  <c r="AK6" i="1"/>
  <c r="AK7" i="1"/>
  <c r="AK8" i="1"/>
  <c r="AK9" i="1"/>
  <c r="AK10" i="1"/>
  <c r="AK11" i="1"/>
  <c r="AK12" i="1"/>
  <c r="AK13" i="1"/>
  <c r="AK14" i="1"/>
  <c r="AK15" i="1"/>
  <c r="AK16" i="1"/>
  <c r="AK17" i="1"/>
  <c r="AK26" i="1"/>
  <c r="AK27" i="1"/>
  <c r="AK28" i="1"/>
  <c r="AK29" i="1"/>
  <c r="AK30" i="1"/>
  <c r="AK31" i="1"/>
  <c r="AK32" i="1"/>
  <c r="AI31" i="1"/>
  <c r="AI30" i="8"/>
  <c r="Z30" i="8"/>
  <c r="AB30" i="8"/>
  <c r="AD30" i="8"/>
  <c r="AF30" i="8"/>
  <c r="AH30" i="8"/>
  <c r="AA76" i="1"/>
  <c r="AC76" i="1"/>
  <c r="AJ76" i="1"/>
  <c r="AJ70" i="1"/>
  <c r="AJ74" i="1"/>
  <c r="AJ75" i="1"/>
  <c r="AE76" i="1"/>
  <c r="AG76" i="1"/>
  <c r="AK76" i="1"/>
  <c r="AK70" i="1"/>
  <c r="AG74" i="1"/>
  <c r="AK74" i="1"/>
  <c r="AK75" i="1"/>
  <c r="AI76" i="1"/>
  <c r="AI70" i="1"/>
  <c r="AI74" i="1"/>
  <c r="AI75" i="1"/>
  <c r="AI30" i="7"/>
  <c r="Z30" i="7"/>
  <c r="AB30" i="7"/>
  <c r="AD30" i="7"/>
  <c r="AF30" i="7"/>
  <c r="AH30" i="7"/>
  <c r="AI30" i="1"/>
  <c r="Z30" i="1"/>
  <c r="AB30" i="1"/>
  <c r="AD30" i="1"/>
  <c r="AF30" i="1"/>
  <c r="AH30" i="1"/>
  <c r="AA75" i="7"/>
  <c r="AC75" i="7"/>
  <c r="AE75" i="7"/>
  <c r="AG78" i="7"/>
  <c r="AA75" i="8"/>
  <c r="AC75" i="8"/>
  <c r="AE75" i="8"/>
  <c r="AG78" i="8"/>
  <c r="AA75" i="1"/>
  <c r="AC75" i="1"/>
  <c r="AE75" i="1"/>
  <c r="AG78" i="1"/>
  <c r="AE6" i="12"/>
  <c r="AE12" i="12"/>
  <c r="AE13" i="12"/>
  <c r="AE14" i="12"/>
  <c r="AE15" i="12"/>
  <c r="AE26" i="12"/>
  <c r="AE27" i="12"/>
  <c r="AE28" i="12"/>
  <c r="M29" i="12"/>
  <c r="AE29" i="12"/>
  <c r="Y7" i="12"/>
  <c r="Y8" i="12"/>
  <c r="AA6" i="12"/>
  <c r="AA12" i="12"/>
  <c r="AA13" i="12"/>
  <c r="AA14" i="12"/>
  <c r="AA15" i="12"/>
  <c r="AA26" i="12"/>
  <c r="AA27" i="12"/>
  <c r="AA28" i="12"/>
  <c r="AA29" i="12"/>
  <c r="AA8" i="12"/>
  <c r="AC6" i="12"/>
  <c r="AC12" i="12"/>
  <c r="AC13" i="12"/>
  <c r="AC14" i="12"/>
  <c r="AC15" i="12"/>
  <c r="AC26" i="12"/>
  <c r="AC27" i="12"/>
  <c r="AC28" i="12"/>
  <c r="AC29" i="12"/>
  <c r="Y9" i="12"/>
  <c r="AA9" i="12"/>
  <c r="Y10" i="12"/>
  <c r="AA10" i="12"/>
  <c r="Y11" i="12"/>
  <c r="AA11" i="12"/>
  <c r="AC8" i="12"/>
  <c r="AC9" i="12"/>
  <c r="AC10" i="12"/>
  <c r="AC11" i="12"/>
  <c r="AE8" i="12"/>
  <c r="AE9" i="12"/>
  <c r="AE10" i="12"/>
  <c r="AE11" i="12"/>
  <c r="J119" i="12"/>
  <c r="J124" i="12"/>
  <c r="J70" i="12"/>
  <c r="AA70" i="12"/>
  <c r="J39" i="12"/>
  <c r="Z8" i="12"/>
  <c r="Z39" i="12"/>
  <c r="AA39" i="12"/>
  <c r="J40" i="12"/>
  <c r="Z9" i="12"/>
  <c r="Z40" i="12"/>
  <c r="AA40" i="12"/>
  <c r="J41" i="12"/>
  <c r="Z11" i="12"/>
  <c r="Z41" i="12"/>
  <c r="AA41" i="12"/>
  <c r="J42" i="12"/>
  <c r="AA42" i="12"/>
  <c r="J43" i="12"/>
  <c r="AA43" i="12"/>
  <c r="J44" i="12"/>
  <c r="AA44" i="12"/>
  <c r="J45" i="12"/>
  <c r="AA45" i="12"/>
  <c r="J46" i="12"/>
  <c r="AA46" i="12"/>
  <c r="J47" i="12"/>
  <c r="AA47" i="12"/>
  <c r="J48" i="12"/>
  <c r="AA48" i="12"/>
  <c r="J49" i="12"/>
  <c r="AA49" i="12"/>
  <c r="J50" i="12"/>
  <c r="AA50" i="12"/>
  <c r="J51" i="12"/>
  <c r="AA51" i="12"/>
  <c r="J37" i="12"/>
  <c r="J38" i="12"/>
  <c r="AA37" i="12"/>
  <c r="AA38" i="12"/>
  <c r="AA65" i="12"/>
  <c r="AG6" i="12"/>
  <c r="Z7" i="12"/>
  <c r="AB7" i="12"/>
  <c r="AD7" i="12"/>
  <c r="AF7" i="12"/>
  <c r="AG7" i="12"/>
  <c r="AB8" i="12"/>
  <c r="AD8" i="12"/>
  <c r="AF8" i="12"/>
  <c r="AG8" i="12"/>
  <c r="AB9" i="12"/>
  <c r="AD9" i="12"/>
  <c r="AF9" i="12"/>
  <c r="AG9" i="12"/>
  <c r="Z10" i="12"/>
  <c r="AB10" i="12"/>
  <c r="AD10" i="12"/>
  <c r="AF10" i="12"/>
  <c r="AG10" i="12"/>
  <c r="AB11" i="12"/>
  <c r="AD11" i="12"/>
  <c r="AF11" i="12"/>
  <c r="AG11" i="12"/>
  <c r="AG12" i="12"/>
  <c r="AG13" i="12"/>
  <c r="AG14" i="12"/>
  <c r="AG15" i="12"/>
  <c r="AG26" i="12"/>
  <c r="AG27" i="12"/>
  <c r="AG28" i="12"/>
  <c r="AG29" i="12"/>
  <c r="Z37" i="12"/>
  <c r="AB37" i="12"/>
  <c r="AD37" i="12"/>
  <c r="AF37" i="12"/>
  <c r="AG37" i="12"/>
  <c r="Z38" i="12"/>
  <c r="AC70" i="12"/>
  <c r="AB39" i="12"/>
  <c r="AC39" i="12"/>
  <c r="AB40" i="12"/>
  <c r="AC40" i="12"/>
  <c r="AB41" i="12"/>
  <c r="AC41" i="12"/>
  <c r="AC42" i="12"/>
  <c r="AC43" i="12"/>
  <c r="AC44" i="12"/>
  <c r="AC45" i="12"/>
  <c r="AC46" i="12"/>
  <c r="AC47" i="12"/>
  <c r="AC48" i="12"/>
  <c r="AC49" i="12"/>
  <c r="AC50" i="12"/>
  <c r="AC51" i="12"/>
  <c r="AC38" i="12"/>
  <c r="AB38" i="12"/>
  <c r="AE70" i="12"/>
  <c r="AD39" i="12"/>
  <c r="AE39" i="12"/>
  <c r="AD40" i="12"/>
  <c r="AE40" i="12"/>
  <c r="AD41" i="12"/>
  <c r="AE41" i="12"/>
  <c r="AE42" i="12"/>
  <c r="AE43" i="12"/>
  <c r="AE44" i="12"/>
  <c r="AE45" i="12"/>
  <c r="AE46" i="12"/>
  <c r="AE47" i="12"/>
  <c r="AE48" i="12"/>
  <c r="AE49" i="12"/>
  <c r="AE50" i="12"/>
  <c r="AE51" i="12"/>
  <c r="AC37" i="12"/>
  <c r="AE38" i="12"/>
  <c r="AD38" i="12"/>
  <c r="AF38" i="12"/>
  <c r="AG38" i="12"/>
  <c r="AF39" i="12"/>
  <c r="AG39" i="12"/>
  <c r="AF40" i="12"/>
  <c r="AG40" i="12"/>
  <c r="AF41" i="12"/>
  <c r="AG41" i="12"/>
  <c r="AG42" i="12"/>
  <c r="AG43" i="12"/>
  <c r="AG44" i="12"/>
  <c r="AG45" i="12"/>
  <c r="AG46" i="12"/>
  <c r="AG47" i="12"/>
  <c r="AG48" i="12"/>
  <c r="AG49" i="12"/>
  <c r="AG50" i="12"/>
  <c r="AG51" i="12"/>
  <c r="AG65" i="12"/>
  <c r="AG70" i="12"/>
  <c r="J125" i="12"/>
  <c r="J128" i="12"/>
  <c r="J126" i="12"/>
  <c r="J127" i="12"/>
  <c r="J130" i="12"/>
  <c r="J129" i="12"/>
  <c r="J75" i="12"/>
  <c r="AA79" i="12"/>
  <c r="AA30" i="12"/>
  <c r="AA74" i="12"/>
  <c r="AC65" i="12"/>
  <c r="AC79" i="12"/>
  <c r="AC30" i="12"/>
  <c r="AC74" i="12"/>
  <c r="AE37" i="12"/>
  <c r="AE65" i="12"/>
  <c r="AE79" i="12"/>
  <c r="AE30" i="12"/>
  <c r="AE32" i="12"/>
  <c r="Y6" i="12"/>
  <c r="Y12" i="12"/>
  <c r="Y13" i="12"/>
  <c r="Y14" i="12"/>
  <c r="Y15" i="12"/>
  <c r="Y26" i="12"/>
  <c r="Y27" i="12"/>
  <c r="Y28" i="12"/>
  <c r="Y29" i="12"/>
  <c r="M30" i="12"/>
  <c r="Y30" i="12"/>
  <c r="M31" i="12"/>
  <c r="Y31" i="12"/>
  <c r="Y32" i="12"/>
  <c r="AE31" i="12"/>
  <c r="AE77" i="12"/>
  <c r="AE74" i="12"/>
  <c r="AG79" i="12"/>
  <c r="AG30" i="12"/>
  <c r="AG32" i="12"/>
  <c r="AG31" i="12"/>
  <c r="AG77" i="12"/>
  <c r="AK77" i="12"/>
  <c r="AA32" i="12"/>
  <c r="AA31" i="12"/>
  <c r="AA77" i="12"/>
  <c r="AC32" i="12"/>
  <c r="AC31" i="12"/>
  <c r="AC77" i="12"/>
  <c r="AI77" i="12"/>
  <c r="AK6" i="12"/>
  <c r="AK7" i="12"/>
  <c r="AK8" i="12"/>
  <c r="AK9" i="12"/>
  <c r="AK10" i="12"/>
  <c r="AK11" i="12"/>
  <c r="AK12" i="12"/>
  <c r="AK13" i="12"/>
  <c r="AK14" i="12"/>
  <c r="AK15" i="12"/>
  <c r="AK26" i="12"/>
  <c r="AK27" i="12"/>
  <c r="AK28" i="12"/>
  <c r="AK29" i="12"/>
  <c r="AK30" i="12"/>
  <c r="AK31" i="12"/>
  <c r="AK32" i="12"/>
  <c r="AJ77" i="7"/>
  <c r="AJ77" i="8"/>
  <c r="AI31" i="12"/>
  <c r="AE78" i="8"/>
  <c r="AA76" i="12"/>
  <c r="AC76" i="12"/>
  <c r="AJ76" i="12"/>
  <c r="AJ70" i="12"/>
  <c r="AJ74" i="12"/>
  <c r="AJ75" i="12"/>
  <c r="AE76" i="12"/>
  <c r="AG76" i="12"/>
  <c r="AK76" i="12"/>
  <c r="AK70" i="12"/>
  <c r="AG74" i="12"/>
  <c r="AK74" i="12"/>
  <c r="AK75" i="12"/>
  <c r="AI76" i="12"/>
  <c r="AI70" i="12"/>
  <c r="AI74" i="12"/>
  <c r="AI75" i="12"/>
  <c r="AE78" i="7"/>
  <c r="AJ77" i="1"/>
  <c r="AJ6" i="8"/>
  <c r="AJ8" i="8"/>
  <c r="AJ9" i="8"/>
  <c r="AJ10" i="8"/>
  <c r="AJ11" i="8"/>
  <c r="AJ12" i="8"/>
  <c r="AJ13" i="8"/>
  <c r="AJ14" i="8"/>
  <c r="AJ15" i="8"/>
  <c r="AJ16" i="8"/>
  <c r="AJ17" i="8"/>
  <c r="AJ26" i="8"/>
  <c r="AJ27" i="8"/>
  <c r="AJ28" i="8"/>
  <c r="AJ29" i="8"/>
  <c r="AJ30" i="8"/>
  <c r="AJ31" i="8"/>
  <c r="AJ32" i="8"/>
  <c r="AE78" i="1"/>
  <c r="AJ6" i="7"/>
  <c r="AJ8" i="7"/>
  <c r="AJ9" i="7"/>
  <c r="AJ10" i="7"/>
  <c r="AJ11" i="7"/>
  <c r="AJ12" i="7"/>
  <c r="AJ13" i="7"/>
  <c r="AJ14" i="7"/>
  <c r="AJ15" i="7"/>
  <c r="AJ16" i="7"/>
  <c r="AJ17" i="7"/>
  <c r="AJ26" i="7"/>
  <c r="AJ27" i="7"/>
  <c r="AJ28" i="7"/>
  <c r="AJ29" i="7"/>
  <c r="AJ30" i="7"/>
  <c r="AJ31" i="7"/>
  <c r="AJ32" i="7"/>
  <c r="AI30" i="12"/>
  <c r="Z30" i="12"/>
  <c r="AB30" i="12"/>
  <c r="AD30" i="12"/>
  <c r="AF30" i="12"/>
  <c r="AH30" i="12"/>
  <c r="AA75" i="12"/>
  <c r="AC75" i="12"/>
  <c r="AE75" i="12"/>
  <c r="AG78" i="12"/>
  <c r="AJ6" i="1"/>
  <c r="AJ8" i="1"/>
  <c r="AJ9" i="1"/>
  <c r="AJ10" i="1"/>
  <c r="AJ11" i="1"/>
  <c r="AJ12" i="1"/>
  <c r="AJ13" i="1"/>
  <c r="AJ14" i="1"/>
  <c r="AJ15" i="1"/>
  <c r="AJ16" i="1"/>
  <c r="AJ17" i="1"/>
  <c r="AJ26" i="1"/>
  <c r="AJ27" i="1"/>
  <c r="AJ28" i="1"/>
  <c r="AJ29" i="1"/>
  <c r="AJ30" i="1"/>
  <c r="AJ31" i="1"/>
  <c r="AJ32" i="1"/>
  <c r="AC78" i="7"/>
  <c r="AC78" i="8"/>
  <c r="AJ77" i="12"/>
  <c r="AE78" i="12"/>
  <c r="AC78" i="1"/>
  <c r="AJ6" i="12"/>
  <c r="AJ8" i="12"/>
  <c r="AJ9" i="12"/>
  <c r="AJ10" i="12"/>
  <c r="AJ11" i="12"/>
  <c r="AJ12" i="12"/>
  <c r="AJ13" i="12"/>
  <c r="AJ14" i="12"/>
  <c r="AJ15" i="12"/>
  <c r="AJ26" i="12"/>
  <c r="AJ27" i="12"/>
  <c r="AJ28" i="12"/>
  <c r="AJ29" i="12"/>
  <c r="AJ30" i="12"/>
  <c r="AJ31" i="12"/>
  <c r="AJ32" i="12"/>
  <c r="AG75" i="8"/>
  <c r="AA78" i="8"/>
  <c r="AC78" i="12"/>
  <c r="AA78" i="7"/>
  <c r="AG75" i="7"/>
  <c r="AH37" i="7"/>
  <c r="AA78" i="1"/>
  <c r="AG75" i="1"/>
  <c r="AI37" i="7"/>
  <c r="AI38" i="7"/>
  <c r="AI39" i="7"/>
  <c r="AI40" i="7"/>
  <c r="AI41" i="7"/>
  <c r="AI42" i="7"/>
  <c r="AI43" i="7"/>
  <c r="AI44" i="7"/>
  <c r="AI45" i="7"/>
  <c r="AI46" i="7"/>
  <c r="AI47" i="7"/>
  <c r="AI48" i="7"/>
  <c r="AI49" i="7"/>
  <c r="AI50" i="7"/>
  <c r="AI51" i="7"/>
  <c r="AI52" i="7"/>
  <c r="AI58" i="7"/>
  <c r="AI59" i="7"/>
  <c r="AI60" i="7"/>
  <c r="AI61" i="7"/>
  <c r="AI62" i="7"/>
  <c r="AI63" i="7"/>
  <c r="AI64" i="7"/>
  <c r="AI65" i="7"/>
  <c r="AK37" i="7"/>
  <c r="AK38" i="7"/>
  <c r="AK39" i="7"/>
  <c r="AK40" i="7"/>
  <c r="AK41" i="7"/>
  <c r="AK42" i="7"/>
  <c r="AK43" i="7"/>
  <c r="AK44" i="7"/>
  <c r="AK45" i="7"/>
  <c r="AK46" i="7"/>
  <c r="AK47" i="7"/>
  <c r="AK48" i="7"/>
  <c r="AK49" i="7"/>
  <c r="AK50" i="7"/>
  <c r="AK51" i="7"/>
  <c r="AK52" i="7"/>
  <c r="AK58" i="7"/>
  <c r="AK59" i="7"/>
  <c r="AK60" i="7"/>
  <c r="AK61" i="7"/>
  <c r="AK62" i="7"/>
  <c r="AK63" i="7"/>
  <c r="AK64" i="7"/>
  <c r="AK65" i="7"/>
  <c r="AI37" i="8"/>
  <c r="AI38" i="8"/>
  <c r="AI39" i="8"/>
  <c r="AI40" i="8"/>
  <c r="AI41" i="8"/>
  <c r="AI42" i="8"/>
  <c r="AI43" i="8"/>
  <c r="AI44" i="8"/>
  <c r="AI45" i="8"/>
  <c r="AI46" i="8"/>
  <c r="AI47" i="8"/>
  <c r="AI48" i="8"/>
  <c r="AI49" i="8"/>
  <c r="AI50" i="8"/>
  <c r="AI51" i="8"/>
  <c r="AI52" i="8"/>
  <c r="AI58" i="8"/>
  <c r="AI59" i="8"/>
  <c r="AI60" i="8"/>
  <c r="AI61" i="8"/>
  <c r="AI62" i="8"/>
  <c r="AI63" i="8"/>
  <c r="AI64" i="8"/>
  <c r="AI65" i="8"/>
  <c r="AK37" i="8"/>
  <c r="AK38" i="8"/>
  <c r="AK39" i="8"/>
  <c r="AK40" i="8"/>
  <c r="AK41" i="8"/>
  <c r="AK42" i="8"/>
  <c r="AK43" i="8"/>
  <c r="AK44" i="8"/>
  <c r="AK45" i="8"/>
  <c r="AK46" i="8"/>
  <c r="AK47" i="8"/>
  <c r="AK48" i="8"/>
  <c r="AK49" i="8"/>
  <c r="AK50" i="8"/>
  <c r="AK51" i="8"/>
  <c r="AK52" i="8"/>
  <c r="AK58" i="8"/>
  <c r="AK59" i="8"/>
  <c r="AK60" i="8"/>
  <c r="AK61" i="8"/>
  <c r="AK62" i="8"/>
  <c r="AK63" i="8"/>
  <c r="AK64" i="8"/>
  <c r="AK65" i="8"/>
  <c r="AK37" i="12"/>
  <c r="AK38" i="12"/>
  <c r="AK39" i="12"/>
  <c r="AK40" i="12"/>
  <c r="AK41" i="12"/>
  <c r="AK42" i="12"/>
  <c r="AK43" i="12"/>
  <c r="AK44" i="12"/>
  <c r="AK45" i="12"/>
  <c r="AK46" i="12"/>
  <c r="AK47" i="12"/>
  <c r="AK48" i="12"/>
  <c r="AK49" i="12"/>
  <c r="AK50" i="12"/>
  <c r="AK51" i="12"/>
  <c r="AK65" i="12"/>
  <c r="AH37" i="8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5" i="1"/>
  <c r="AI56" i="1"/>
  <c r="AI57" i="1"/>
  <c r="AI58" i="1"/>
  <c r="AI59" i="1"/>
  <c r="AI60" i="1"/>
  <c r="AI61" i="1"/>
  <c r="AI62" i="1"/>
  <c r="AI63" i="1"/>
  <c r="AI64" i="1"/>
  <c r="AI65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5" i="1"/>
  <c r="AK56" i="1"/>
  <c r="AK57" i="1"/>
  <c r="AK58" i="1"/>
  <c r="AK59" i="1"/>
  <c r="AK60" i="1"/>
  <c r="AK61" i="1"/>
  <c r="AK62" i="1"/>
  <c r="AK63" i="1"/>
  <c r="AK64" i="1"/>
  <c r="AK65" i="1"/>
  <c r="AH37" i="1"/>
  <c r="AI37" i="12"/>
  <c r="AI38" i="12"/>
  <c r="AI39" i="12"/>
  <c r="AI40" i="12"/>
  <c r="AI41" i="12"/>
  <c r="AI42" i="12"/>
  <c r="AI43" i="12"/>
  <c r="AI44" i="12"/>
  <c r="AI45" i="12"/>
  <c r="AI46" i="12"/>
  <c r="AI47" i="12"/>
  <c r="AI48" i="12"/>
  <c r="AI49" i="12"/>
  <c r="AI50" i="12"/>
  <c r="AI51" i="12"/>
  <c r="AI65" i="12"/>
  <c r="AJ37" i="7"/>
  <c r="AJ38" i="7"/>
  <c r="AJ39" i="7"/>
  <c r="AJ40" i="7"/>
  <c r="AJ41" i="7"/>
  <c r="AJ42" i="7"/>
  <c r="AJ43" i="7"/>
  <c r="AJ44" i="7"/>
  <c r="AJ45" i="7"/>
  <c r="AJ46" i="7"/>
  <c r="AJ47" i="7"/>
  <c r="AJ48" i="7"/>
  <c r="AJ49" i="7"/>
  <c r="AJ50" i="7"/>
  <c r="AJ51" i="7"/>
  <c r="AJ52" i="7"/>
  <c r="AJ58" i="7"/>
  <c r="AJ59" i="7"/>
  <c r="AJ60" i="7"/>
  <c r="AJ61" i="7"/>
  <c r="AJ62" i="7"/>
  <c r="AJ63" i="7"/>
  <c r="AJ64" i="7"/>
  <c r="AJ65" i="7"/>
  <c r="AH40" i="8"/>
  <c r="AH39" i="7"/>
  <c r="AG75" i="12"/>
  <c r="AA78" i="12"/>
  <c r="AJ37" i="8"/>
  <c r="AJ38" i="8"/>
  <c r="AJ39" i="8"/>
  <c r="AJ40" i="8"/>
  <c r="AJ41" i="8"/>
  <c r="AJ42" i="8"/>
  <c r="AJ43" i="8"/>
  <c r="AJ44" i="8"/>
  <c r="AJ45" i="8"/>
  <c r="AJ46" i="8"/>
  <c r="AJ47" i="8"/>
  <c r="AJ48" i="8"/>
  <c r="AJ49" i="8"/>
  <c r="AJ50" i="8"/>
  <c r="AJ51" i="8"/>
  <c r="AJ52" i="8"/>
  <c r="AJ58" i="8"/>
  <c r="AJ59" i="8"/>
  <c r="AJ60" i="8"/>
  <c r="AJ61" i="8"/>
  <c r="AJ62" i="8"/>
  <c r="AJ63" i="8"/>
  <c r="AJ64" i="8"/>
  <c r="AJ65" i="8"/>
  <c r="AH39" i="12"/>
  <c r="AJ37" i="12"/>
  <c r="AJ38" i="12"/>
  <c r="AJ39" i="12"/>
  <c r="AJ40" i="12"/>
  <c r="AJ41" i="12"/>
  <c r="AJ42" i="12"/>
  <c r="AJ43" i="12"/>
  <c r="AJ44" i="12"/>
  <c r="AJ45" i="12"/>
  <c r="AJ46" i="12"/>
  <c r="AJ47" i="12"/>
  <c r="AJ48" i="12"/>
  <c r="AJ49" i="12"/>
  <c r="AJ50" i="12"/>
  <c r="AJ51" i="12"/>
  <c r="AJ65" i="12"/>
  <c r="AH39" i="8"/>
  <c r="AH8" i="7"/>
  <c r="AI8" i="12"/>
  <c r="AI8" i="8"/>
  <c r="AH40" i="7"/>
  <c r="AH8" i="12"/>
  <c r="AH40" i="1"/>
  <c r="AH39" i="1"/>
  <c r="AI9" i="8"/>
  <c r="AI8" i="7"/>
  <c r="AH9" i="8"/>
  <c r="AI9" i="7"/>
  <c r="AH8" i="8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5" i="1"/>
  <c r="AJ56" i="1"/>
  <c r="AJ57" i="1"/>
  <c r="AJ58" i="1"/>
  <c r="AJ59" i="1"/>
  <c r="AJ60" i="1"/>
  <c r="AJ61" i="1"/>
  <c r="AJ62" i="1"/>
  <c r="AJ63" i="1"/>
  <c r="AJ64" i="1"/>
  <c r="AJ65" i="1"/>
  <c r="AI9" i="1"/>
  <c r="AI10" i="1"/>
  <c r="AH9" i="7"/>
  <c r="AH10" i="1"/>
  <c r="AI8" i="1"/>
  <c r="AH8" i="1"/>
  <c r="AH9" i="1"/>
  <c r="AI11" i="8"/>
  <c r="M70" i="8"/>
  <c r="J73" i="8"/>
  <c r="M73" i="8"/>
  <c r="J74" i="8"/>
  <c r="M74" i="8"/>
  <c r="M75" i="8"/>
  <c r="M76" i="8"/>
  <c r="M129" i="8"/>
  <c r="AI10" i="12"/>
  <c r="AI11" i="12"/>
  <c r="AI9" i="12"/>
  <c r="AI10" i="8"/>
  <c r="AI11" i="7"/>
  <c r="M124" i="8"/>
  <c r="M130" i="8"/>
  <c r="J76" i="8"/>
  <c r="AH38" i="8"/>
  <c r="AI6" i="8"/>
  <c r="J131" i="8"/>
  <c r="J77" i="8"/>
  <c r="M77" i="8"/>
  <c r="N34" i="8"/>
  <c r="AH41" i="12"/>
  <c r="AI11" i="1"/>
  <c r="M70" i="12"/>
  <c r="J71" i="12"/>
  <c r="M71" i="12"/>
  <c r="J72" i="12"/>
  <c r="M72" i="12"/>
  <c r="J73" i="12"/>
  <c r="M73" i="12"/>
  <c r="J74" i="12"/>
  <c r="M74" i="12"/>
  <c r="M75" i="12"/>
  <c r="M76" i="12"/>
  <c r="AH41" i="7"/>
  <c r="AI10" i="7"/>
  <c r="M70" i="7"/>
  <c r="J71" i="7"/>
  <c r="M71" i="7"/>
  <c r="J72" i="7"/>
  <c r="M72" i="7"/>
  <c r="J73" i="7"/>
  <c r="M73" i="7"/>
  <c r="J74" i="7"/>
  <c r="M74" i="7"/>
  <c r="M75" i="7"/>
  <c r="M76" i="7"/>
  <c r="AH40" i="12"/>
  <c r="AH10" i="8"/>
  <c r="N31" i="8"/>
  <c r="AH41" i="8"/>
  <c r="I72" i="9"/>
  <c r="AI26" i="8"/>
  <c r="AI12" i="8"/>
  <c r="AI15" i="8"/>
  <c r="AI29" i="8"/>
  <c r="M37" i="8"/>
  <c r="M38" i="8"/>
  <c r="M39" i="8"/>
  <c r="M40" i="8"/>
  <c r="M41" i="8"/>
  <c r="M42" i="8"/>
  <c r="M43" i="8"/>
  <c r="M44" i="8"/>
  <c r="M45" i="8"/>
  <c r="M46" i="8"/>
  <c r="M47" i="8"/>
  <c r="M48" i="8"/>
  <c r="M49" i="8"/>
  <c r="M50" i="8"/>
  <c r="M51" i="8"/>
  <c r="M52" i="8"/>
  <c r="J53" i="8"/>
  <c r="M53" i="8"/>
  <c r="J54" i="8"/>
  <c r="M54" i="8"/>
  <c r="J55" i="8"/>
  <c r="M55" i="8"/>
  <c r="J56" i="8"/>
  <c r="M56" i="8"/>
  <c r="J57" i="8"/>
  <c r="M57" i="8"/>
  <c r="M58" i="8"/>
  <c r="M59" i="8"/>
  <c r="M60" i="8"/>
  <c r="M61" i="8"/>
  <c r="M62" i="8"/>
  <c r="M63" i="8"/>
  <c r="M64" i="8"/>
  <c r="M65" i="8"/>
  <c r="J65" i="8"/>
  <c r="AI28" i="8"/>
  <c r="I74" i="9"/>
  <c r="M119" i="8"/>
  <c r="AI16" i="8"/>
  <c r="AI27" i="8"/>
  <c r="AI17" i="8"/>
  <c r="AI14" i="8"/>
  <c r="M128" i="8"/>
  <c r="AI13" i="8"/>
  <c r="M70" i="1"/>
  <c r="J71" i="1"/>
  <c r="M71" i="1"/>
  <c r="J72" i="1"/>
  <c r="M72" i="1"/>
  <c r="J73" i="1"/>
  <c r="M73" i="1"/>
  <c r="J74" i="1"/>
  <c r="M74" i="1"/>
  <c r="M75" i="1"/>
  <c r="M76" i="1"/>
  <c r="M129" i="7"/>
  <c r="AI7" i="12"/>
  <c r="AI7" i="7"/>
  <c r="AH38" i="7"/>
  <c r="AH9" i="12"/>
  <c r="AH7" i="12"/>
  <c r="AH7" i="7"/>
  <c r="AI7" i="8"/>
  <c r="J131" i="12"/>
  <c r="J77" i="12"/>
  <c r="M77" i="12"/>
  <c r="N34" i="12"/>
  <c r="AH41" i="1"/>
  <c r="AH38" i="12"/>
  <c r="AH37" i="12"/>
  <c r="AH10" i="12"/>
  <c r="AH10" i="7"/>
  <c r="AH7" i="8"/>
  <c r="AH11" i="12"/>
  <c r="AH11" i="7"/>
  <c r="J131" i="1"/>
  <c r="J77" i="1"/>
  <c r="M77" i="1"/>
  <c r="N34" i="1"/>
  <c r="I85" i="9"/>
  <c r="I78" i="9"/>
  <c r="I82" i="9"/>
  <c r="I79" i="9"/>
  <c r="AH11" i="8"/>
  <c r="I73" i="9"/>
  <c r="I83" i="9"/>
  <c r="I76" i="9"/>
  <c r="I80" i="9"/>
  <c r="I81" i="9"/>
  <c r="M37" i="12"/>
  <c r="M38" i="12"/>
  <c r="M39" i="12"/>
  <c r="M40" i="12"/>
  <c r="M41" i="12"/>
  <c r="M42" i="12"/>
  <c r="M43" i="12"/>
  <c r="M44" i="12"/>
  <c r="M45" i="12"/>
  <c r="M46" i="12"/>
  <c r="M47" i="12"/>
  <c r="M48" i="12"/>
  <c r="M49" i="12"/>
  <c r="M50" i="12"/>
  <c r="M51" i="12"/>
  <c r="M65" i="12"/>
  <c r="AH38" i="1"/>
  <c r="J131" i="7"/>
  <c r="J77" i="7"/>
  <c r="M77" i="7"/>
  <c r="N34" i="7"/>
  <c r="AI6" i="12"/>
  <c r="N31" i="12"/>
  <c r="AH7" i="1"/>
  <c r="AH11" i="1"/>
  <c r="M37" i="7"/>
  <c r="M38" i="7"/>
  <c r="M39" i="7"/>
  <c r="M40" i="7"/>
  <c r="M41" i="7"/>
  <c r="M42" i="7"/>
  <c r="M43" i="7"/>
  <c r="M44" i="7"/>
  <c r="M45" i="7"/>
  <c r="M46" i="7"/>
  <c r="M47" i="7"/>
  <c r="M48" i="7"/>
  <c r="M49" i="7"/>
  <c r="M50" i="7"/>
  <c r="M51" i="7"/>
  <c r="M52" i="7"/>
  <c r="J53" i="7"/>
  <c r="M53" i="7"/>
  <c r="J54" i="7"/>
  <c r="M54" i="7"/>
  <c r="J55" i="7"/>
  <c r="M55" i="7"/>
  <c r="J56" i="7"/>
  <c r="M56" i="7"/>
  <c r="J57" i="7"/>
  <c r="M57" i="7"/>
  <c r="M58" i="7"/>
  <c r="M59" i="7"/>
  <c r="M60" i="7"/>
  <c r="M61" i="7"/>
  <c r="M62" i="7"/>
  <c r="M63" i="7"/>
  <c r="M64" i="7"/>
  <c r="M65" i="7"/>
  <c r="M124" i="7"/>
  <c r="AI7" i="1"/>
  <c r="M130" i="7"/>
  <c r="J76" i="7"/>
  <c r="J76" i="12"/>
  <c r="AI6" i="7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J50" i="1"/>
  <c r="M50" i="1"/>
  <c r="J51" i="1"/>
  <c r="M51" i="1"/>
  <c r="J52" i="1"/>
  <c r="M52" i="1"/>
  <c r="J53" i="1"/>
  <c r="M53" i="1"/>
  <c r="J54" i="1"/>
  <c r="M54" i="1"/>
  <c r="M55" i="1"/>
  <c r="M56" i="1"/>
  <c r="M57" i="1"/>
  <c r="M58" i="1"/>
  <c r="M59" i="1"/>
  <c r="M60" i="1"/>
  <c r="M61" i="1"/>
  <c r="M62" i="1"/>
  <c r="M63" i="1"/>
  <c r="M64" i="1"/>
  <c r="M65" i="1"/>
  <c r="F79" i="9"/>
  <c r="F73" i="9"/>
  <c r="AI16" i="7"/>
  <c r="AI6" i="1"/>
  <c r="AI12" i="12"/>
  <c r="F83" i="9"/>
  <c r="F74" i="9"/>
  <c r="H74" i="9"/>
  <c r="H83" i="9"/>
  <c r="M119" i="12"/>
  <c r="AI14" i="12"/>
  <c r="AI14" i="7"/>
  <c r="AI28" i="12"/>
  <c r="AI17" i="7"/>
  <c r="J65" i="7"/>
  <c r="F72" i="9"/>
  <c r="AI26" i="7"/>
  <c r="AI29" i="7"/>
  <c r="AI28" i="7"/>
  <c r="AI27" i="7"/>
  <c r="H76" i="9"/>
  <c r="H79" i="9"/>
  <c r="F76" i="9"/>
  <c r="AI26" i="12"/>
  <c r="M128" i="7"/>
  <c r="J76" i="1"/>
  <c r="AI13" i="12"/>
  <c r="H72" i="9"/>
  <c r="AI15" i="12"/>
  <c r="AI15" i="7"/>
  <c r="AI12" i="7"/>
  <c r="AI13" i="7"/>
  <c r="N31" i="7"/>
  <c r="M119" i="7"/>
  <c r="AI27" i="12"/>
  <c r="J65" i="12"/>
  <c r="H78" i="9"/>
  <c r="H73" i="9"/>
  <c r="F78" i="9"/>
  <c r="G73" i="9"/>
  <c r="AI17" i="1"/>
  <c r="J65" i="1"/>
  <c r="AI27" i="1"/>
  <c r="AI26" i="1"/>
  <c r="N31" i="1"/>
  <c r="L131" i="8"/>
  <c r="L77" i="8"/>
  <c r="AI13" i="1"/>
  <c r="AI12" i="1"/>
  <c r="AI29" i="12"/>
  <c r="H85" i="9"/>
  <c r="M119" i="1"/>
  <c r="H82" i="9"/>
  <c r="AI29" i="1"/>
  <c r="AI14" i="1"/>
  <c r="G79" i="9"/>
  <c r="AI15" i="1"/>
  <c r="G74" i="9"/>
  <c r="H81" i="9"/>
  <c r="H80" i="9"/>
  <c r="G78" i="9"/>
  <c r="AI28" i="1"/>
  <c r="G72" i="9"/>
  <c r="G76" i="9"/>
  <c r="G83" i="9"/>
  <c r="L131" i="12"/>
  <c r="L77" i="12"/>
  <c r="AI16" i="1"/>
  <c r="G80" i="9"/>
  <c r="L131" i="7"/>
  <c r="L77" i="7"/>
  <c r="G85" i="9"/>
  <c r="G81" i="9"/>
  <c r="G82" i="9"/>
  <c r="L131" i="1"/>
  <c r="L77" i="1"/>
  <c r="I77" i="8"/>
  <c r="I87" i="9"/>
  <c r="I77" i="12"/>
  <c r="H87" i="9"/>
  <c r="I77" i="1"/>
  <c r="I77" i="7"/>
  <c r="G87" i="9"/>
  <c r="M125" i="8"/>
  <c r="M125" i="7"/>
  <c r="F88" i="9"/>
  <c r="F98" i="9"/>
  <c r="G88" i="9"/>
  <c r="G98" i="9"/>
  <c r="H88" i="9"/>
  <c r="H98" i="9"/>
  <c r="I88" i="9"/>
  <c r="I98" i="9"/>
  <c r="F99" i="9"/>
  <c r="G99" i="9"/>
  <c r="H99" i="9"/>
  <c r="I99" i="9"/>
  <c r="G100" i="9"/>
  <c r="H100" i="9"/>
  <c r="I100" i="9"/>
  <c r="F101" i="9"/>
  <c r="G101" i="9"/>
  <c r="H101" i="9"/>
  <c r="I101" i="9"/>
  <c r="F100" i="9"/>
  <c r="M124" i="1"/>
  <c r="M125" i="1"/>
  <c r="M128" i="1"/>
  <c r="M129" i="1"/>
  <c r="M130" i="1"/>
  <c r="M127" i="1"/>
  <c r="M126" i="1"/>
  <c r="M124" i="12"/>
  <c r="M125" i="12"/>
  <c r="M128" i="12"/>
  <c r="M129" i="12"/>
  <c r="M130" i="12"/>
  <c r="J72" i="8"/>
  <c r="J71" i="8"/>
  <c r="M127" i="12"/>
  <c r="M126" i="12"/>
  <c r="M127" i="7"/>
  <c r="M126" i="7"/>
  <c r="M127" i="8"/>
  <c r="M126" i="8"/>
  <c r="M131" i="8"/>
  <c r="M131" i="7"/>
  <c r="M131" i="1"/>
  <c r="M131" i="12"/>
</calcChain>
</file>

<file path=xl/comments1.xml><?xml version="1.0" encoding="utf-8"?>
<comments xmlns="http://schemas.openxmlformats.org/spreadsheetml/2006/main">
  <authors>
    <author>Mark Lawrence</author>
  </authors>
  <commentList>
    <comment ref="E30" authorId="0">
      <text>
        <r>
          <rPr>
            <sz val="8"/>
            <color indexed="81"/>
            <rFont val="Tahoma"/>
            <family val="2"/>
          </rPr>
          <t xml:space="preserve">This cell may be used to specify a problem of physical access to food markets. It is locked as it is rarely used.
</t>
        </r>
      </text>
    </comment>
  </commentList>
</comments>
</file>

<file path=xl/sharedStrings.xml><?xml version="1.0" encoding="utf-8"?>
<sst xmlns="http://schemas.openxmlformats.org/spreadsheetml/2006/main" count="849" uniqueCount="191">
  <si>
    <t>Spreadsheet prepared by The Food Economy Group, 2003</t>
  </si>
  <si>
    <t>BASELINE ACCESS</t>
  </si>
  <si>
    <t>PROBLEM SPECIFICATION</t>
  </si>
  <si>
    <t>RESPONSE</t>
  </si>
  <si>
    <t>SUMMARY</t>
  </si>
  <si>
    <t>Sources of Food : Poor HHs</t>
  </si>
  <si>
    <t>Graph Titles</t>
  </si>
  <si>
    <t>Baseline</t>
  </si>
  <si>
    <t>Expand</t>
  </si>
  <si>
    <t>Max.</t>
  </si>
  <si>
    <t>Problem</t>
  </si>
  <si>
    <t>Food Intake</t>
  </si>
  <si>
    <t>Con.prob</t>
  </si>
  <si>
    <t>Max.curr</t>
  </si>
  <si>
    <t>Curr.</t>
  </si>
  <si>
    <t>Initial</t>
  </si>
  <si>
    <t>Access</t>
  </si>
  <si>
    <t>-ability</t>
  </si>
  <si>
    <t>%norm</t>
  </si>
  <si>
    <t>Deficit</t>
  </si>
  <si>
    <t>Initial Deficit</t>
  </si>
  <si>
    <t>baseline:</t>
  </si>
  <si>
    <t>Response</t>
  </si>
  <si>
    <t>for analysis:</t>
  </si>
  <si>
    <t>total</t>
  </si>
  <si>
    <t>adj.fact =</t>
  </si>
  <si>
    <t>Income : Poor HHs</t>
  </si>
  <si>
    <t>% of baseline income</t>
  </si>
  <si>
    <t>Comm.</t>
  </si>
  <si>
    <t>Staple</t>
  </si>
  <si>
    <t>Cash</t>
  </si>
  <si>
    <t>Price</t>
  </si>
  <si>
    <t>total:</t>
  </si>
  <si>
    <t>Expenditure : Poor HHs</t>
  </si>
  <si>
    <t>% of baseline expenditure</t>
  </si>
  <si>
    <t>Expend</t>
  </si>
  <si>
    <t>exp. deficit</t>
  </si>
  <si>
    <t>Cost of staple</t>
  </si>
  <si>
    <t>name of staple</t>
  </si>
  <si>
    <t>kg pppd</t>
  </si>
  <si>
    <t>HH size</t>
  </si>
  <si>
    <t>cost per kg</t>
  </si>
  <si>
    <t>cost of staple</t>
  </si>
  <si>
    <t>Exchange rate ($1 = amount of local currency)</t>
  </si>
  <si>
    <t>%food equivalents</t>
  </si>
  <si>
    <t>,</t>
  </si>
  <si>
    <t>Sources of Food : Middle HHs</t>
  </si>
  <si>
    <t>Income : Middle HHs</t>
  </si>
  <si>
    <t>Expenditure : Middle HHs</t>
  </si>
  <si>
    <t>Sources of Food : Better-off HHs</t>
  </si>
  <si>
    <t>Income : Better-off HHs</t>
  </si>
  <si>
    <t>Expenditure : Better-off HHs</t>
  </si>
  <si>
    <t>Sources of Food : Very Poor HHs</t>
  </si>
  <si>
    <t>Income : Very Poor HHs</t>
  </si>
  <si>
    <t>Expenditure : Very Poor HHs</t>
  </si>
  <si>
    <t>other</t>
  </si>
  <si>
    <t>Purchase - staple</t>
  </si>
  <si>
    <t>food deficit</t>
  </si>
  <si>
    <t>MAX</t>
  </si>
  <si>
    <t>1st avail?</t>
  </si>
  <si>
    <t>VALUES</t>
  </si>
  <si>
    <t xml:space="preserve">(curr acc. </t>
  </si>
  <si>
    <t>× 4)</t>
  </si>
  <si>
    <t>Max.staple</t>
  </si>
  <si>
    <t>Staple Price fluctuation</t>
  </si>
  <si>
    <t>Average</t>
  </si>
  <si>
    <t>cost per kg each season</t>
  </si>
  <si>
    <t>Quarter</t>
  </si>
  <si>
    <t>Total Income Graph</t>
  </si>
  <si>
    <t>Summary</t>
  </si>
  <si>
    <t>Init Def</t>
  </si>
  <si>
    <t>Own crops Consumed</t>
  </si>
  <si>
    <t>Own crops sold</t>
  </si>
  <si>
    <t>Animal products consumed</t>
  </si>
  <si>
    <t>Animal products sold</t>
  </si>
  <si>
    <t>Animals sold</t>
  </si>
  <si>
    <t>Labour - casual</t>
  </si>
  <si>
    <t>Labour - formal emp</t>
  </si>
  <si>
    <t>Self - employment</t>
  </si>
  <si>
    <t>Food transfer - official</t>
  </si>
  <si>
    <t>Food transfer - gifts</t>
  </si>
  <si>
    <t>Cash transfer - official</t>
  </si>
  <si>
    <t>Cash transfer - gifts</t>
  </si>
  <si>
    <t>Other</t>
  </si>
  <si>
    <t>Survival deficit - % min cal</t>
  </si>
  <si>
    <t>Livelihoods Threshold</t>
  </si>
  <si>
    <t>Sur def-CASH</t>
  </si>
  <si>
    <t>Liv def-Cash</t>
  </si>
  <si>
    <t>Baseline: v poor</t>
  </si>
  <si>
    <t>Baseline: poor</t>
  </si>
  <si>
    <t>Baseline: middle</t>
  </si>
  <si>
    <t>Baseline: b-off</t>
  </si>
  <si>
    <t>Current: v poor</t>
  </si>
  <si>
    <t>Current: poor</t>
  </si>
  <si>
    <t>Current: Middle</t>
  </si>
  <si>
    <t>Current: b-off</t>
  </si>
  <si>
    <t>Poor</t>
  </si>
  <si>
    <t>Very Poor</t>
  </si>
  <si>
    <t>Middle</t>
  </si>
  <si>
    <t>Better-off</t>
  </si>
  <si>
    <t>TOTAL</t>
  </si>
  <si>
    <t>Survival Threshold</t>
  </si>
  <si>
    <t>ME Cash</t>
  </si>
  <si>
    <t>Carry over brought in</t>
  </si>
  <si>
    <t>Carry Out</t>
  </si>
  <si>
    <t>Apr-Jun</t>
  </si>
  <si>
    <t>Jul-Sep</t>
  </si>
  <si>
    <t>Oct-Dec</t>
  </si>
  <si>
    <t>Jan-Mar</t>
  </si>
  <si>
    <t>Q1</t>
  </si>
  <si>
    <t>Q2</t>
  </si>
  <si>
    <t>Q3</t>
  </si>
  <si>
    <t>Q4</t>
  </si>
  <si>
    <t>H1</t>
  </si>
  <si>
    <t>H2</t>
  </si>
  <si>
    <t>TOTAL INCOME</t>
  </si>
  <si>
    <t>Joining lines</t>
  </si>
  <si>
    <t>Gini coefficient = (Integral of 6th order polynomial from 0 to 1.00)/((0.5 * (max income - min income)) + min income)</t>
  </si>
  <si>
    <t>Denominator</t>
  </si>
  <si>
    <t>Gini coefficient =</t>
  </si>
  <si>
    <t>Numerator:</t>
  </si>
  <si>
    <t>National GC (02-03):</t>
  </si>
  <si>
    <t>Rural GC (02-03):</t>
  </si>
  <si>
    <t>min.non-staple+ess food contrib</t>
  </si>
  <si>
    <t>Wild foods consumed and sold</t>
  </si>
  <si>
    <t>Small business/petty trading</t>
  </si>
  <si>
    <r>
      <t xml:space="preserve">Labour - </t>
    </r>
    <r>
      <rPr>
        <i/>
        <sz val="10"/>
        <rFont val="Arial"/>
        <family val="2"/>
      </rPr>
      <t>Ipelegeng</t>
    </r>
  </si>
  <si>
    <t>Labour - public works</t>
  </si>
  <si>
    <r>
      <t>Labour - p</t>
    </r>
    <r>
      <rPr>
        <i/>
        <sz val="10"/>
        <rFont val="Arial"/>
        <family val="2"/>
      </rPr>
      <t>ublic works</t>
    </r>
  </si>
  <si>
    <r>
      <t>k</t>
    </r>
    <r>
      <rPr>
        <sz val="10"/>
        <rFont val="Arial"/>
        <family val="2"/>
      </rPr>
      <t>J</t>
    </r>
    <r>
      <rPr>
        <sz val="10"/>
        <rFont val="Arial"/>
        <family val="2"/>
      </rPr>
      <t>/day</t>
    </r>
  </si>
  <si>
    <t>cost of 8800 kJ for season</t>
  </si>
  <si>
    <t>fpl non-staple food</t>
  </si>
  <si>
    <t>lbpl</t>
  </si>
  <si>
    <t>ubpl</t>
  </si>
  <si>
    <t>resilience</t>
  </si>
  <si>
    <t>staple food</t>
  </si>
  <si>
    <t>cost of FPL (100% staple &amp; non-staple)</t>
  </si>
  <si>
    <t>Food Poverty line</t>
  </si>
  <si>
    <t>Lower Bound Poverty line</t>
  </si>
  <si>
    <t>Upper Bound Poverty line</t>
  </si>
  <si>
    <t>Resilience line</t>
  </si>
  <si>
    <t>FPL Deficit</t>
  </si>
  <si>
    <t>LBPL Deficit</t>
  </si>
  <si>
    <t>UBPL Deficit</t>
  </si>
  <si>
    <t>Resilience Deficit</t>
  </si>
  <si>
    <t>ZA3XX: 59300</t>
  </si>
  <si>
    <t>Cows' milk - season 1</t>
  </si>
  <si>
    <t>Cows' milk - season 2</t>
  </si>
  <si>
    <t>Own meat</t>
  </si>
  <si>
    <t>Green cons - Season 1: no of months</t>
  </si>
  <si>
    <t xml:space="preserve">Green beans </t>
  </si>
  <si>
    <t>Maize: kg produced</t>
  </si>
  <si>
    <t>Maize (irrigated): kg produced</t>
  </si>
  <si>
    <t>Beans: kg produced</t>
  </si>
  <si>
    <t>Cowpeas: kg produced</t>
  </si>
  <si>
    <t>Potato: kg produced</t>
  </si>
  <si>
    <t>Sweet potato: no. local meas</t>
  </si>
  <si>
    <t>Water melon: no. local meas</t>
  </si>
  <si>
    <t>Groundnuts (dry): no. local meas</t>
  </si>
  <si>
    <t>Other crop: Rape</t>
  </si>
  <si>
    <t>Other crop: pumpkin</t>
  </si>
  <si>
    <t>WILD FOODS -- see worksheet Data 3</t>
  </si>
  <si>
    <t>Labour: Weeding, ploughing</t>
  </si>
  <si>
    <t>Labour: Weeding</t>
  </si>
  <si>
    <t>Gifts/remittances: cereal</t>
  </si>
  <si>
    <t>Gifts/remittances: sugar</t>
  </si>
  <si>
    <t>Food aid</t>
  </si>
  <si>
    <t>Purchase - other</t>
  </si>
  <si>
    <t>Purchase - desirable</t>
  </si>
  <si>
    <t>Purchase - fpl non staple</t>
  </si>
  <si>
    <t>Pig sales: no sold</t>
  </si>
  <si>
    <t>Cattle sales - local: no. sold</t>
  </si>
  <si>
    <t>Goat sales - local: no. sold</t>
  </si>
  <si>
    <t>Chicken sales: no. sold</t>
  </si>
  <si>
    <t>Green maize sold: quantity</t>
  </si>
  <si>
    <t>Other cashcrop (cabbage): kg produced</t>
  </si>
  <si>
    <t>Other crop: Amadumbe</t>
  </si>
  <si>
    <t>FISHING -- see worksheet Data 3</t>
  </si>
  <si>
    <t>Agricultural casual work -- see Data2</t>
  </si>
  <si>
    <t>Construction casual work -- see Data2</t>
  </si>
  <si>
    <t>Domestic casual work -- see Data2</t>
  </si>
  <si>
    <t>Labour migration(formal employment): no. people per HH</t>
  </si>
  <si>
    <t>Formal Employment (e.g. teachers, salaried staff, etc.)</t>
  </si>
  <si>
    <t>Self-employment -- see Data2</t>
  </si>
  <si>
    <t>Small business -- see Data2</t>
  </si>
  <si>
    <t>Social development -- see Data2</t>
  </si>
  <si>
    <t>Public works -- see Data2</t>
  </si>
  <si>
    <t>Other income: e.g. Credit (cotton loans)</t>
  </si>
  <si>
    <t>Remittances: no. times per year</t>
  </si>
  <si>
    <t>mix</t>
  </si>
  <si>
    <t>Open Access cropping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</si>
</sst>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4" formatCode="0.0%"/>
    <numFmt numFmtId="165" formatCode="0.0"/>
    <numFmt numFmtId="166" formatCode="0.00%;[Red]&quot;Adjust!&quot;"/>
    <numFmt numFmtId="167" formatCode="[Red]0%;\(0%\)"/>
    <numFmt numFmtId="168" formatCode="[Red]0%;\(0%\);&quot;-&quot;"/>
    <numFmt numFmtId="169" formatCode="0.000"/>
    <numFmt numFmtId="170" formatCode="[Red]0.0%;\(0.0%\)"/>
    <numFmt numFmtId="171" formatCode="#,##0.000"/>
    <numFmt numFmtId="172" formatCode="0.0%;[Red]&quot;Adjust!&quot;"/>
    <numFmt numFmtId="173" formatCode="0%;[Red]\(0%\);&quot;-&quot;"/>
  </numFmts>
  <fonts count="31" x14ac:knownFonts="1">
    <font>
      <sz val="12"/>
      <name val="Arial"/>
      <family val="2"/>
    </font>
    <font>
      <sz val="8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6"/>
      <name val="Arial"/>
      <family val="2"/>
    </font>
    <font>
      <u/>
      <sz val="10"/>
      <name val="Arial"/>
      <family val="2"/>
    </font>
    <font>
      <u/>
      <sz val="1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sz val="14"/>
      <name val="Arial"/>
      <family val="2"/>
    </font>
    <font>
      <sz val="12"/>
      <name val="Arial"/>
      <family val="2"/>
    </font>
    <font>
      <sz val="10"/>
      <color indexed="9"/>
      <name val="Arial"/>
      <family val="2"/>
    </font>
    <font>
      <sz val="8"/>
      <color indexed="81"/>
      <name val="Tahoma"/>
      <family val="2"/>
    </font>
    <font>
      <sz val="9"/>
      <name val="Arial"/>
      <family val="2"/>
    </font>
    <font>
      <b/>
      <sz val="9"/>
      <name val="Arial"/>
      <family val="2"/>
    </font>
    <font>
      <i/>
      <sz val="10"/>
      <name val="Arial"/>
      <family val="2"/>
    </font>
    <font>
      <sz val="10"/>
      <color rgb="FFFF0000"/>
      <name val="Arial"/>
      <family val="2"/>
    </font>
    <font>
      <sz val="10"/>
      <color theme="4" tint="-0.249977111117893"/>
      <name val="Arial"/>
      <family val="2"/>
    </font>
    <font>
      <u/>
      <sz val="12"/>
      <color theme="10"/>
      <name val="Arial"/>
      <family val="2"/>
    </font>
    <font>
      <u/>
      <sz val="12"/>
      <color theme="11"/>
      <name val="Arial"/>
      <family val="2"/>
    </font>
    <font>
      <sz val="10"/>
      <color theme="6"/>
      <name val="Arial"/>
      <family val="2"/>
    </font>
    <font>
      <sz val="14"/>
      <name val="Helvetica Light"/>
    </font>
    <font>
      <sz val="12"/>
      <name val="Helvetica Light"/>
    </font>
    <font>
      <sz val="18"/>
      <name val="Helvetica Light"/>
    </font>
  </fonts>
  <fills count="11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  <bgColor indexed="8"/>
      </patternFill>
    </fill>
    <fill>
      <patternFill patternType="solid">
        <fgColor indexed="13"/>
        <bgColor indexed="24"/>
      </patternFill>
    </fill>
    <fill>
      <patternFill patternType="solid">
        <fgColor indexed="13"/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/>
      <right/>
      <top style="thin">
        <color indexed="0"/>
      </top>
      <bottom style="double">
        <color indexed="0"/>
      </bottom>
      <diagonal/>
    </border>
    <border>
      <left/>
      <right/>
      <top/>
      <bottom style="thin">
        <color indexed="0"/>
      </bottom>
      <diagonal/>
    </border>
    <border>
      <left/>
      <right style="thin">
        <color indexed="0"/>
      </right>
      <top/>
      <bottom style="thin">
        <color indexed="0"/>
      </bottom>
      <diagonal/>
    </border>
    <border>
      <left/>
      <right style="thin">
        <color indexed="0"/>
      </right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/>
      <diagonal/>
    </border>
    <border>
      <left/>
      <right/>
      <top style="thin">
        <color indexed="0"/>
      </top>
      <bottom/>
      <diagonal/>
    </border>
    <border>
      <left/>
      <right style="thin">
        <color indexed="0"/>
      </right>
      <top style="thin">
        <color indexed="0"/>
      </top>
      <bottom/>
      <diagonal/>
    </border>
    <border>
      <left style="thin">
        <color indexed="0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0"/>
      </left>
      <right/>
      <top/>
      <bottom style="thin">
        <color indexed="0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medium">
        <color indexed="10"/>
      </left>
      <right style="medium">
        <color indexed="10"/>
      </right>
      <top style="medium">
        <color indexed="10"/>
      </top>
      <bottom style="medium">
        <color indexed="10"/>
      </bottom>
      <diagonal/>
    </border>
    <border>
      <left style="medium">
        <color indexed="56"/>
      </left>
      <right style="medium">
        <color indexed="56"/>
      </right>
      <top style="medium">
        <color indexed="56"/>
      </top>
      <bottom style="medium">
        <color indexed="56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indexed="56"/>
      </right>
      <top style="thin">
        <color indexed="56"/>
      </top>
      <bottom style="medium">
        <color indexed="56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42">
    <xf numFmtId="0" fontId="0" fillId="0" borderId="0">
      <alignment vertical="top"/>
    </xf>
    <xf numFmtId="4" fontId="3" fillId="0" borderId="0" applyFont="0" applyFill="0" applyAlignment="0" applyProtection="0"/>
    <xf numFmtId="0" fontId="3" fillId="0" borderId="0" applyFont="0" applyFill="0" applyAlignment="0" applyProtection="0"/>
    <xf numFmtId="2" fontId="3" fillId="0" borderId="0" applyFont="0" applyFill="0" applyAlignment="0" applyProtection="0"/>
    <xf numFmtId="0" fontId="4" fillId="0" borderId="0" applyNumberFormat="0" applyFont="0" applyFill="0" applyAlignment="0" applyProtection="0"/>
    <xf numFmtId="0" fontId="5" fillId="0" borderId="0" applyNumberFormat="0" applyFont="0" applyFill="0" applyAlignment="0" applyProtection="0"/>
    <xf numFmtId="10" fontId="3" fillId="0" borderId="0" applyFont="0" applyFill="0" applyAlignment="0" applyProtection="0"/>
    <xf numFmtId="0" fontId="3" fillId="0" borderId="1" applyNumberFormat="0" applyFont="0" applyAlignment="0" applyProtection="0"/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</cellStyleXfs>
  <cellXfs count="270">
    <xf numFmtId="0" fontId="0" fillId="0" borderId="0" xfId="0" applyAlignment="1"/>
    <xf numFmtId="0" fontId="7" fillId="0" borderId="0" xfId="0" applyFont="1" applyBorder="1" applyProtection="1">
      <alignment vertical="top"/>
    </xf>
    <xf numFmtId="0" fontId="8" fillId="0" borderId="0" xfId="0" applyFont="1" applyBorder="1" applyAlignment="1" applyProtection="1"/>
    <xf numFmtId="0" fontId="9" fillId="0" borderId="0" xfId="0" applyFont="1" applyBorder="1" applyAlignment="1" applyProtection="1"/>
    <xf numFmtId="0" fontId="0" fillId="0" borderId="0" xfId="0" applyAlignment="1" applyProtection="1"/>
    <xf numFmtId="0" fontId="10" fillId="0" borderId="0" xfId="0" applyFont="1" applyBorder="1" applyAlignment="1" applyProtection="1"/>
    <xf numFmtId="0" fontId="2" fillId="0" borderId="0" xfId="0" applyFont="1" applyBorder="1" applyAlignment="1" applyProtection="1">
      <alignment horizontal="left"/>
    </xf>
    <xf numFmtId="0" fontId="11" fillId="0" borderId="2" xfId="0" applyFont="1" applyFill="1" applyBorder="1" applyAlignment="1" applyProtection="1"/>
    <xf numFmtId="0" fontId="7" fillId="0" borderId="0" xfId="0" applyFont="1" applyFill="1" applyProtection="1">
      <alignment vertical="top"/>
    </xf>
    <xf numFmtId="0" fontId="7" fillId="0" borderId="2" xfId="0" applyFont="1" applyFill="1" applyBorder="1" applyProtection="1">
      <alignment vertical="top"/>
    </xf>
    <xf numFmtId="0" fontId="8" fillId="0" borderId="3" xfId="0" applyFont="1" applyFill="1" applyBorder="1" applyAlignment="1" applyProtection="1"/>
    <xf numFmtId="0" fontId="8" fillId="0" borderId="2" xfId="0" applyFont="1" applyFill="1" applyBorder="1" applyAlignment="1" applyProtection="1"/>
    <xf numFmtId="0" fontId="0" fillId="0" borderId="3" xfId="0" applyFill="1" applyBorder="1" applyAlignment="1" applyProtection="1"/>
    <xf numFmtId="0" fontId="9" fillId="0" borderId="3" xfId="0" applyFont="1" applyFill="1" applyBorder="1" applyAlignment="1" applyProtection="1"/>
    <xf numFmtId="0" fontId="0" fillId="0" borderId="2" xfId="0" applyFill="1" applyBorder="1" applyAlignment="1" applyProtection="1"/>
    <xf numFmtId="9" fontId="6" fillId="0" borderId="0" xfId="0" applyNumberFormat="1" applyFont="1" applyBorder="1" applyProtection="1">
      <alignment vertical="top"/>
    </xf>
    <xf numFmtId="0" fontId="8" fillId="0" borderId="4" xfId="0" applyFont="1" applyFill="1" applyBorder="1" applyAlignment="1" applyProtection="1">
      <alignment horizontal="right"/>
    </xf>
    <xf numFmtId="0" fontId="0" fillId="0" borderId="4" xfId="0" applyFill="1" applyBorder="1" applyAlignment="1" applyProtection="1"/>
    <xf numFmtId="0" fontId="9" fillId="0" borderId="4" xfId="0" applyFont="1" applyFill="1" applyBorder="1" applyAlignment="1" applyProtection="1"/>
    <xf numFmtId="0" fontId="8" fillId="0" borderId="0" xfId="0" applyFont="1" applyBorder="1" applyAlignment="1" applyProtection="1">
      <alignment horizontal="right"/>
    </xf>
    <xf numFmtId="0" fontId="2" fillId="0" borderId="0" xfId="0" applyFont="1" applyBorder="1" applyAlignment="1" applyProtection="1">
      <alignment horizontal="center"/>
    </xf>
    <xf numFmtId="0" fontId="2" fillId="0" borderId="0" xfId="0" applyFont="1" applyBorder="1" applyAlignment="1" applyProtection="1">
      <alignment horizontal="right"/>
    </xf>
    <xf numFmtId="9" fontId="8" fillId="0" borderId="0" xfId="0" applyNumberFormat="1" applyFont="1" applyBorder="1" applyAlignment="1" applyProtection="1"/>
    <xf numFmtId="9" fontId="8" fillId="0" borderId="0" xfId="0" applyNumberFormat="1" applyFont="1" applyBorder="1" applyAlignment="1" applyProtection="1">
      <alignment horizontal="right"/>
    </xf>
    <xf numFmtId="9" fontId="8" fillId="0" borderId="4" xfId="0" applyNumberFormat="1" applyFont="1" applyFill="1" applyBorder="1" applyAlignment="1" applyProtection="1"/>
    <xf numFmtId="9" fontId="0" fillId="0" borderId="0" xfId="0" applyNumberFormat="1" applyAlignment="1" applyProtection="1"/>
    <xf numFmtId="9" fontId="8" fillId="2" borderId="0" xfId="0" applyNumberFormat="1" applyFont="1" applyFill="1" applyBorder="1" applyAlignment="1" applyProtection="1">
      <protection locked="0"/>
    </xf>
    <xf numFmtId="1" fontId="8" fillId="0" borderId="5" xfId="0" applyNumberFormat="1" applyFont="1" applyFill="1" applyBorder="1" applyAlignment="1" applyProtection="1"/>
    <xf numFmtId="1" fontId="8" fillId="3" borderId="0" xfId="0" applyNumberFormat="1" applyFont="1" applyFill="1" applyBorder="1" applyAlignment="1" applyProtection="1">
      <protection locked="0"/>
    </xf>
    <xf numFmtId="9" fontId="7" fillId="0" borderId="0" xfId="0" applyNumberFormat="1" applyFont="1" applyBorder="1" applyAlignment="1" applyProtection="1"/>
    <xf numFmtId="9" fontId="8" fillId="0" borderId="2" xfId="0" applyNumberFormat="1" applyFont="1" applyFill="1" applyBorder="1" applyAlignment="1" applyProtection="1">
      <alignment horizontal="right"/>
    </xf>
    <xf numFmtId="0" fontId="8" fillId="0" borderId="4" xfId="0" applyFont="1" applyFill="1" applyBorder="1" applyAlignment="1" applyProtection="1"/>
    <xf numFmtId="0" fontId="8" fillId="0" borderId="0" xfId="0" applyFont="1" applyFill="1" applyBorder="1" applyAlignment="1" applyProtection="1"/>
    <xf numFmtId="9" fontId="9" fillId="0" borderId="4" xfId="0" applyNumberFormat="1" applyFont="1" applyFill="1" applyBorder="1" applyAlignment="1" applyProtection="1"/>
    <xf numFmtId="0" fontId="8" fillId="0" borderId="6" xfId="0" applyFont="1" applyFill="1" applyBorder="1" applyAlignment="1" applyProtection="1"/>
    <xf numFmtId="0" fontId="8" fillId="0" borderId="7" xfId="0" applyFont="1" applyFill="1" applyBorder="1" applyAlignment="1" applyProtection="1"/>
    <xf numFmtId="0" fontId="8" fillId="0" borderId="8" xfId="0" applyFont="1" applyFill="1" applyBorder="1" applyAlignment="1" applyProtection="1"/>
    <xf numFmtId="0" fontId="8" fillId="0" borderId="9" xfId="0" applyFont="1" applyFill="1" applyBorder="1" applyAlignment="1" applyProtection="1">
      <alignment horizontal="right"/>
    </xf>
    <xf numFmtId="3" fontId="8" fillId="0" borderId="4" xfId="0" applyNumberFormat="1" applyFont="1" applyFill="1" applyBorder="1" applyAlignment="1" applyProtection="1"/>
    <xf numFmtId="3" fontId="8" fillId="0" borderId="0" xfId="0" applyNumberFormat="1" applyFont="1" applyBorder="1" applyAlignment="1" applyProtection="1"/>
    <xf numFmtId="9" fontId="8" fillId="0" borderId="9" xfId="0" applyNumberFormat="1" applyFont="1" applyFill="1" applyBorder="1" applyAlignment="1" applyProtection="1"/>
    <xf numFmtId="3" fontId="7" fillId="0" borderId="0" xfId="0" applyNumberFormat="1" applyFont="1" applyBorder="1" applyAlignment="1" applyProtection="1"/>
    <xf numFmtId="3" fontId="8" fillId="0" borderId="10" xfId="0" applyNumberFormat="1" applyFont="1" applyBorder="1" applyAlignment="1" applyProtection="1"/>
    <xf numFmtId="3" fontId="7" fillId="0" borderId="2" xfId="0" applyNumberFormat="1" applyFont="1" applyFill="1" applyBorder="1" applyProtection="1">
      <alignment vertical="top"/>
    </xf>
    <xf numFmtId="3" fontId="8" fillId="0" borderId="3" xfId="0" applyNumberFormat="1" applyFont="1" applyFill="1" applyBorder="1" applyAlignment="1" applyProtection="1"/>
    <xf numFmtId="0" fontId="8" fillId="0" borderId="11" xfId="0" applyFont="1" applyFill="1" applyBorder="1" applyAlignment="1" applyProtection="1"/>
    <xf numFmtId="3" fontId="7" fillId="0" borderId="0" xfId="0" applyNumberFormat="1" applyFont="1" applyBorder="1" applyProtection="1">
      <alignment vertical="top"/>
    </xf>
    <xf numFmtId="2" fontId="8" fillId="0" borderId="0" xfId="0" applyNumberFormat="1" applyFont="1" applyFill="1" applyBorder="1" applyAlignment="1" applyProtection="1"/>
    <xf numFmtId="2" fontId="8" fillId="0" borderId="4" xfId="0" applyNumberFormat="1" applyFont="1" applyFill="1" applyBorder="1" applyAlignment="1" applyProtection="1"/>
    <xf numFmtId="3" fontId="7" fillId="0" borderId="0" xfId="0" applyNumberFormat="1" applyFont="1" applyProtection="1">
      <alignment vertical="top"/>
    </xf>
    <xf numFmtId="3" fontId="8" fillId="0" borderId="4" xfId="0" applyNumberFormat="1" applyFont="1" applyFill="1" applyBorder="1" applyAlignment="1" applyProtection="1">
      <alignment horizontal="right"/>
    </xf>
    <xf numFmtId="3" fontId="8" fillId="0" borderId="10" xfId="0" applyNumberFormat="1" applyFont="1" applyFill="1" applyBorder="1" applyAlignment="1" applyProtection="1"/>
    <xf numFmtId="3" fontId="7" fillId="0" borderId="0" xfId="0" applyNumberFormat="1" applyFont="1" applyFill="1" applyBorder="1" applyProtection="1">
      <alignment vertical="top"/>
    </xf>
    <xf numFmtId="3" fontId="12" fillId="0" borderId="0" xfId="0" applyNumberFormat="1" applyFont="1" applyBorder="1" applyProtection="1">
      <alignment vertical="top"/>
    </xf>
    <xf numFmtId="0" fontId="7" fillId="0" borderId="2" xfId="0" applyFont="1" applyFill="1" applyBorder="1" applyAlignment="1" applyProtection="1"/>
    <xf numFmtId="9" fontId="6" fillId="0" borderId="0" xfId="0" applyNumberFormat="1" applyFont="1" applyBorder="1" applyAlignment="1" applyProtection="1"/>
    <xf numFmtId="0" fontId="7" fillId="0" borderId="0" xfId="0" applyFont="1" applyBorder="1" applyAlignment="1" applyProtection="1"/>
    <xf numFmtId="9" fontId="8" fillId="0" borderId="10" xfId="0" applyNumberFormat="1" applyFont="1" applyBorder="1" applyAlignment="1" applyProtection="1">
      <alignment horizontal="right"/>
    </xf>
    <xf numFmtId="0" fontId="0" fillId="0" borderId="12" xfId="0" applyBorder="1" applyAlignment="1" applyProtection="1"/>
    <xf numFmtId="0" fontId="7" fillId="0" borderId="0" xfId="0" applyFont="1" applyBorder="1" applyAlignment="1" applyProtection="1">
      <alignment horizontal="right"/>
    </xf>
    <xf numFmtId="9" fontId="7" fillId="0" borderId="0" xfId="0" applyNumberFormat="1" applyFont="1" applyFill="1" applyBorder="1" applyAlignment="1" applyProtection="1"/>
    <xf numFmtId="0" fontId="7" fillId="0" borderId="13" xfId="0" applyFont="1" applyFill="1" applyBorder="1" applyAlignment="1" applyProtection="1"/>
    <xf numFmtId="9" fontId="8" fillId="0" borderId="3" xfId="0" applyNumberFormat="1" applyFont="1" applyFill="1" applyBorder="1" applyAlignment="1" applyProtection="1"/>
    <xf numFmtId="9" fontId="8" fillId="0" borderId="14" xfId="0" applyNumberFormat="1" applyFont="1" applyFill="1" applyBorder="1" applyAlignment="1" applyProtection="1">
      <alignment horizontal="right"/>
    </xf>
    <xf numFmtId="0" fontId="7" fillId="0" borderId="0" xfId="0" applyFont="1" applyFill="1" applyBorder="1" applyAlignment="1" applyProtection="1"/>
    <xf numFmtId="9" fontId="7" fillId="0" borderId="0" xfId="0" applyNumberFormat="1" applyFont="1" applyAlignment="1" applyProtection="1"/>
    <xf numFmtId="0" fontId="0" fillId="0" borderId="14" xfId="0" applyFill="1" applyBorder="1" applyAlignment="1" applyProtection="1"/>
    <xf numFmtId="0" fontId="7" fillId="0" borderId="0" xfId="0" applyFont="1" applyAlignment="1" applyProtection="1"/>
    <xf numFmtId="2" fontId="8" fillId="0" borderId="0" xfId="0" applyNumberFormat="1" applyFont="1" applyBorder="1" applyAlignment="1" applyProtection="1"/>
    <xf numFmtId="1" fontId="8" fillId="0" borderId="0" xfId="0" applyNumberFormat="1" applyFont="1" applyBorder="1" applyAlignment="1" applyProtection="1"/>
    <xf numFmtId="0" fontId="13" fillId="0" borderId="0" xfId="0" applyFont="1" applyBorder="1" applyAlignment="1" applyProtection="1"/>
    <xf numFmtId="1" fontId="0" fillId="0" borderId="0" xfId="0" applyNumberFormat="1" applyAlignment="1" applyProtection="1"/>
    <xf numFmtId="2" fontId="0" fillId="0" borderId="0" xfId="0" applyNumberFormat="1" applyAlignment="1" applyProtection="1"/>
    <xf numFmtId="9" fontId="5" fillId="0" borderId="0" xfId="0" applyNumberFormat="1" applyFont="1" applyBorder="1" applyAlignment="1" applyProtection="1"/>
    <xf numFmtId="0" fontId="7" fillId="0" borderId="15" xfId="0" applyNumberFormat="1" applyFont="1" applyBorder="1" applyProtection="1">
      <alignment vertical="top"/>
    </xf>
    <xf numFmtId="9" fontId="8" fillId="0" borderId="0" xfId="0" applyNumberFormat="1" applyFont="1" applyFill="1" applyBorder="1" applyAlignment="1" applyProtection="1"/>
    <xf numFmtId="1" fontId="8" fillId="0" borderId="0" xfId="0" applyNumberFormat="1" applyFont="1" applyFill="1" applyBorder="1" applyAlignment="1" applyProtection="1"/>
    <xf numFmtId="9" fontId="7" fillId="0" borderId="0" xfId="0" applyNumberFormat="1" applyFont="1" applyBorder="1" applyProtection="1">
      <alignment vertical="top"/>
    </xf>
    <xf numFmtId="3" fontId="8" fillId="0" borderId="2" xfId="0" applyNumberFormat="1" applyFont="1" applyFill="1" applyBorder="1" applyAlignment="1" applyProtection="1"/>
    <xf numFmtId="3" fontId="0" fillId="0" borderId="0" xfId="0" applyNumberFormat="1" applyAlignment="1" applyProtection="1"/>
    <xf numFmtId="3" fontId="8" fillId="0" borderId="0" xfId="0" applyNumberFormat="1" applyFont="1" applyBorder="1" applyAlignment="1" applyProtection="1">
      <alignment horizontal="right"/>
    </xf>
    <xf numFmtId="3" fontId="8" fillId="0" borderId="0" xfId="0" applyNumberFormat="1" applyFont="1" applyFill="1" applyBorder="1" applyAlignment="1" applyProtection="1"/>
    <xf numFmtId="3" fontId="12" fillId="0" borderId="0" xfId="0" applyNumberFormat="1" applyFont="1" applyBorder="1" applyAlignment="1" applyProtection="1"/>
    <xf numFmtId="0" fontId="8" fillId="0" borderId="13" xfId="0" applyFont="1" applyFill="1" applyBorder="1" applyAlignment="1" applyProtection="1"/>
    <xf numFmtId="0" fontId="0" fillId="0" borderId="0" xfId="0" applyBorder="1" applyAlignment="1" applyProtection="1"/>
    <xf numFmtId="0" fontId="7" fillId="0" borderId="15" xfId="0" applyNumberFormat="1" applyFont="1" applyBorder="1" applyAlignment="1" applyProtection="1"/>
    <xf numFmtId="0" fontId="7" fillId="0" borderId="0" xfId="0" applyNumberFormat="1" applyFont="1" applyBorder="1" applyProtection="1">
      <alignment vertical="top"/>
    </xf>
    <xf numFmtId="0" fontId="0" fillId="0" borderId="16" xfId="0" applyBorder="1" applyAlignment="1"/>
    <xf numFmtId="0" fontId="0" fillId="0" borderId="17" xfId="0" applyBorder="1" applyAlignment="1"/>
    <xf numFmtId="9" fontId="14" fillId="0" borderId="16" xfId="0" applyNumberFormat="1" applyFont="1" applyBorder="1" applyAlignment="1">
      <alignment horizontal="center"/>
    </xf>
    <xf numFmtId="0" fontId="16" fillId="0" borderId="16" xfId="0" applyFont="1" applyBorder="1" applyAlignment="1"/>
    <xf numFmtId="9" fontId="14" fillId="0" borderId="16" xfId="0" applyNumberFormat="1" applyFont="1" applyBorder="1" applyAlignment="1">
      <alignment horizontal="left"/>
    </xf>
    <xf numFmtId="0" fontId="16" fillId="0" borderId="0" xfId="0" applyFont="1" applyAlignment="1"/>
    <xf numFmtId="9" fontId="7" fillId="0" borderId="18" xfId="0" applyNumberFormat="1" applyFont="1" applyBorder="1" applyAlignment="1" applyProtection="1"/>
    <xf numFmtId="9" fontId="7" fillId="4" borderId="0" xfId="0" applyNumberFormat="1" applyFont="1" applyFill="1" applyBorder="1" applyAlignment="1" applyProtection="1"/>
    <xf numFmtId="0" fontId="17" fillId="0" borderId="0" xfId="0" applyFont="1" applyAlignment="1" applyProtection="1"/>
    <xf numFmtId="9" fontId="7" fillId="0" borderId="4" xfId="0" applyNumberFormat="1" applyFont="1" applyFill="1" applyBorder="1" applyAlignment="1" applyProtection="1"/>
    <xf numFmtId="2" fontId="18" fillId="0" borderId="2" xfId="0" applyNumberFormat="1" applyFont="1" applyFill="1" applyBorder="1" applyAlignment="1" applyProtection="1"/>
    <xf numFmtId="2" fontId="18" fillId="0" borderId="3" xfId="0" applyNumberFormat="1" applyFont="1" applyFill="1" applyBorder="1" applyAlignment="1" applyProtection="1"/>
    <xf numFmtId="0" fontId="7" fillId="4" borderId="0" xfId="0" applyFont="1" applyFill="1" applyBorder="1" applyProtection="1">
      <alignment vertical="top"/>
    </xf>
    <xf numFmtId="3" fontId="8" fillId="5" borderId="10" xfId="0" applyNumberFormat="1" applyFont="1" applyFill="1" applyBorder="1" applyAlignment="1" applyProtection="1"/>
    <xf numFmtId="9" fontId="7" fillId="0" borderId="19" xfId="0" applyNumberFormat="1" applyFont="1" applyFill="1" applyBorder="1" applyAlignment="1" applyProtection="1"/>
    <xf numFmtId="9" fontId="7" fillId="0" borderId="5" xfId="0" applyNumberFormat="1" applyFont="1" applyFill="1" applyBorder="1" applyAlignment="1" applyProtection="1"/>
    <xf numFmtId="9" fontId="7" fillId="0" borderId="0" xfId="0" applyNumberFormat="1" applyFont="1" applyProtection="1">
      <alignment vertical="top"/>
    </xf>
    <xf numFmtId="3" fontId="8" fillId="0" borderId="15" xfId="0" applyNumberFormat="1" applyFont="1" applyBorder="1" applyAlignment="1" applyProtection="1"/>
    <xf numFmtId="2" fontId="7" fillId="0" borderId="15" xfId="0" applyNumberFormat="1" applyFont="1" applyFill="1" applyBorder="1" applyAlignment="1" applyProtection="1">
      <alignment horizontal="right"/>
    </xf>
    <xf numFmtId="9" fontId="7" fillId="0" borderId="5" xfId="0" applyNumberFormat="1" applyFont="1" applyFill="1" applyBorder="1" applyProtection="1">
      <alignment vertical="top"/>
    </xf>
    <xf numFmtId="2" fontId="8" fillId="0" borderId="15" xfId="0" applyNumberFormat="1" applyFont="1" applyBorder="1" applyAlignment="1" applyProtection="1"/>
    <xf numFmtId="9" fontId="0" fillId="0" borderId="0" xfId="0" applyNumberFormat="1" applyAlignment="1"/>
    <xf numFmtId="3" fontId="0" fillId="0" borderId="0" xfId="0" applyNumberFormat="1" applyAlignment="1"/>
    <xf numFmtId="0" fontId="7" fillId="0" borderId="0" xfId="0" applyFont="1" applyAlignment="1"/>
    <xf numFmtId="3" fontId="7" fillId="0" borderId="20" xfId="1" applyNumberFormat="1" applyFont="1" applyBorder="1"/>
    <xf numFmtId="3" fontId="7" fillId="0" borderId="0" xfId="0" applyNumberFormat="1" applyFont="1" applyAlignment="1"/>
    <xf numFmtId="1" fontId="7" fillId="0" borderId="21" xfId="0" applyNumberFormat="1" applyFont="1" applyBorder="1" applyAlignment="1"/>
    <xf numFmtId="0" fontId="7" fillId="0" borderId="22" xfId="0" applyFont="1" applyBorder="1" applyAlignment="1"/>
    <xf numFmtId="9" fontId="7" fillId="0" borderId="0" xfId="0" applyNumberFormat="1" applyFont="1" applyAlignment="1"/>
    <xf numFmtId="10" fontId="7" fillId="6" borderId="12" xfId="0" applyNumberFormat="1" applyFont="1" applyFill="1" applyBorder="1" applyAlignment="1" applyProtection="1">
      <protection locked="0"/>
    </xf>
    <xf numFmtId="9" fontId="7" fillId="0" borderId="0" xfId="0" applyNumberFormat="1" applyFont="1" applyBorder="1" applyAlignment="1"/>
    <xf numFmtId="0" fontId="7" fillId="0" borderId="23" xfId="0" applyFont="1" applyBorder="1" applyAlignment="1"/>
    <xf numFmtId="9" fontId="7" fillId="0" borderId="10" xfId="0" applyNumberFormat="1" applyFont="1" applyBorder="1" applyAlignment="1"/>
    <xf numFmtId="9" fontId="7" fillId="0" borderId="12" xfId="0" applyNumberFormat="1" applyFont="1" applyBorder="1" applyAlignment="1"/>
    <xf numFmtId="164" fontId="7" fillId="0" borderId="10" xfId="0" applyNumberFormat="1" applyFont="1" applyBorder="1" applyAlignment="1"/>
    <xf numFmtId="166" fontId="7" fillId="0" borderId="12" xfId="0" applyNumberFormat="1" applyFont="1" applyFill="1" applyBorder="1" applyAlignment="1" applyProtection="1"/>
    <xf numFmtId="10" fontId="7" fillId="0" borderId="0" xfId="0" applyNumberFormat="1" applyFont="1" applyBorder="1" applyAlignment="1"/>
    <xf numFmtId="0" fontId="7" fillId="7" borderId="23" xfId="0" applyFont="1" applyFill="1" applyBorder="1" applyAlignment="1" applyProtection="1">
      <protection locked="0"/>
    </xf>
    <xf numFmtId="10" fontId="7" fillId="0" borderId="12" xfId="6" applyNumberFormat="1" applyFont="1" applyFill="1" applyBorder="1" applyProtection="1"/>
    <xf numFmtId="0" fontId="7" fillId="0" borderId="0" xfId="0" applyFont="1" applyFill="1" applyBorder="1" applyAlignment="1" applyProtection="1">
      <alignment horizontal="right"/>
    </xf>
    <xf numFmtId="10" fontId="7" fillId="0" borderId="0" xfId="0" applyNumberFormat="1" applyFont="1" applyAlignment="1"/>
    <xf numFmtId="166" fontId="7" fillId="0" borderId="0" xfId="0" applyNumberFormat="1" applyFont="1" applyBorder="1" applyAlignment="1"/>
    <xf numFmtId="0" fontId="23" fillId="0" borderId="0" xfId="0" applyFont="1" applyAlignment="1">
      <alignment horizontal="right"/>
    </xf>
    <xf numFmtId="167" fontId="7" fillId="0" borderId="23" xfId="0" applyNumberFormat="1" applyFont="1" applyBorder="1" applyAlignment="1"/>
    <xf numFmtId="10" fontId="7" fillId="0" borderId="13" xfId="0" applyNumberFormat="1" applyFont="1" applyBorder="1" applyAlignment="1"/>
    <xf numFmtId="164" fontId="7" fillId="0" borderId="20" xfId="0" applyNumberFormat="1" applyFont="1" applyBorder="1" applyAlignment="1"/>
    <xf numFmtId="164" fontId="7" fillId="0" borderId="20" xfId="0" applyNumberFormat="1" applyFont="1" applyBorder="1" applyAlignment="1" applyProtection="1"/>
    <xf numFmtId="10" fontId="7" fillId="0" borderId="24" xfId="0" applyNumberFormat="1" applyFont="1" applyBorder="1" applyAlignment="1"/>
    <xf numFmtId="168" fontId="7" fillId="0" borderId="24" xfId="0" applyNumberFormat="1" applyFont="1" applyBorder="1" applyAlignment="1"/>
    <xf numFmtId="168" fontId="7" fillId="0" borderId="25" xfId="0" applyNumberFormat="1" applyFont="1" applyBorder="1" applyAlignment="1"/>
    <xf numFmtId="10" fontId="7" fillId="0" borderId="26" xfId="0" applyNumberFormat="1" applyFont="1" applyBorder="1" applyAlignment="1"/>
    <xf numFmtId="164" fontId="7" fillId="0" borderId="25" xfId="0" applyNumberFormat="1" applyFont="1" applyBorder="1" applyAlignment="1"/>
    <xf numFmtId="164" fontId="7" fillId="0" borderId="27" xfId="0" applyNumberFormat="1" applyFont="1" applyBorder="1" applyAlignment="1"/>
    <xf numFmtId="9" fontId="7" fillId="0" borderId="24" xfId="0" applyNumberFormat="1" applyFont="1" applyBorder="1" applyAlignment="1"/>
    <xf numFmtId="9" fontId="7" fillId="0" borderId="27" xfId="0" applyNumberFormat="1" applyFont="1" applyBorder="1" applyAlignment="1"/>
    <xf numFmtId="9" fontId="7" fillId="0" borderId="0" xfId="0" applyNumberFormat="1" applyFont="1" applyBorder="1" applyAlignment="1" applyProtection="1">
      <alignment horizontal="right"/>
    </xf>
    <xf numFmtId="0" fontId="7" fillId="0" borderId="28" xfId="0" applyFont="1" applyBorder="1" applyAlignment="1"/>
    <xf numFmtId="0" fontId="7" fillId="0" borderId="18" xfId="0" applyFont="1" applyBorder="1" applyAlignment="1"/>
    <xf numFmtId="0" fontId="7" fillId="0" borderId="12" xfId="0" applyFont="1" applyBorder="1" applyAlignment="1"/>
    <xf numFmtId="0" fontId="7" fillId="0" borderId="10" xfId="0" applyFont="1" applyBorder="1" applyAlignment="1"/>
    <xf numFmtId="3" fontId="7" fillId="0" borderId="10" xfId="0" applyNumberFormat="1" applyFont="1" applyBorder="1" applyAlignment="1"/>
    <xf numFmtId="3" fontId="7" fillId="0" borderId="12" xfId="0" applyNumberFormat="1" applyFont="1" applyBorder="1" applyAlignment="1"/>
    <xf numFmtId="3" fontId="7" fillId="0" borderId="25" xfId="0" applyNumberFormat="1" applyFont="1" applyBorder="1" applyAlignment="1"/>
    <xf numFmtId="166" fontId="7" fillId="0" borderId="24" xfId="0" applyNumberFormat="1" applyFont="1" applyFill="1" applyBorder="1" applyAlignment="1" applyProtection="1"/>
    <xf numFmtId="3" fontId="7" fillId="0" borderId="24" xfId="0" applyNumberFormat="1" applyFont="1" applyBorder="1" applyAlignment="1"/>
    <xf numFmtId="3" fontId="7" fillId="0" borderId="23" xfId="0" applyNumberFormat="1" applyFont="1" applyBorder="1" applyAlignment="1"/>
    <xf numFmtId="3" fontId="7" fillId="0" borderId="27" xfId="0" applyNumberFormat="1" applyFont="1" applyBorder="1" applyAlignment="1"/>
    <xf numFmtId="3" fontId="7" fillId="0" borderId="18" xfId="0" applyNumberFormat="1" applyFont="1" applyBorder="1" applyAlignment="1"/>
    <xf numFmtId="10" fontId="7" fillId="0" borderId="12" xfId="0" applyNumberFormat="1" applyFont="1" applyBorder="1" applyAlignment="1"/>
    <xf numFmtId="10" fontId="7" fillId="0" borderId="12" xfId="0" applyNumberFormat="1" applyFont="1" applyFill="1" applyBorder="1" applyAlignment="1" applyProtection="1"/>
    <xf numFmtId="0" fontId="7" fillId="0" borderId="29" xfId="0" applyFont="1" applyBorder="1" applyAlignment="1"/>
    <xf numFmtId="10" fontId="7" fillId="0" borderId="24" xfId="0" applyNumberFormat="1" applyFont="1" applyFill="1" applyBorder="1" applyAlignment="1" applyProtection="1"/>
    <xf numFmtId="0" fontId="7" fillId="0" borderId="30" xfId="0" applyFont="1" applyBorder="1" applyAlignment="1"/>
    <xf numFmtId="3" fontId="7" fillId="0" borderId="15" xfId="0" applyNumberFormat="1" applyFont="1" applyBorder="1" applyAlignment="1"/>
    <xf numFmtId="0" fontId="7" fillId="0" borderId="0" xfId="0" applyFont="1" applyAlignment="1">
      <alignment horizontal="right"/>
    </xf>
    <xf numFmtId="166" fontId="7" fillId="0" borderId="26" xfId="0" applyNumberFormat="1" applyFont="1" applyFill="1" applyBorder="1" applyAlignment="1" applyProtection="1"/>
    <xf numFmtId="4" fontId="7" fillId="6" borderId="27" xfId="1" applyNumberFormat="1" applyFont="1" applyFill="1" applyBorder="1" applyProtection="1">
      <protection locked="0"/>
    </xf>
    <xf numFmtId="4" fontId="7" fillId="0" borderId="25" xfId="1" applyNumberFormat="1" applyFont="1" applyBorder="1"/>
    <xf numFmtId="3" fontId="7" fillId="0" borderId="0" xfId="1" applyNumberFormat="1" applyFont="1"/>
    <xf numFmtId="0" fontId="23" fillId="0" borderId="22" xfId="0" applyFont="1" applyBorder="1" applyAlignment="1" applyProtection="1"/>
    <xf numFmtId="1" fontId="7" fillId="0" borderId="20" xfId="0" applyNumberFormat="1" applyFont="1" applyBorder="1" applyAlignment="1" applyProtection="1"/>
    <xf numFmtId="0" fontId="24" fillId="0" borderId="31" xfId="0" applyFont="1" applyBorder="1" applyAlignment="1" applyProtection="1"/>
    <xf numFmtId="1" fontId="7" fillId="0" borderId="21" xfId="0" applyNumberFormat="1" applyFont="1" applyBorder="1" applyAlignment="1" applyProtection="1"/>
    <xf numFmtId="0" fontId="17" fillId="0" borderId="0" xfId="0" applyFont="1" applyAlignment="1"/>
    <xf numFmtId="0" fontId="9" fillId="0" borderId="0" xfId="0" applyFont="1" applyBorder="1" applyAlignment="1" applyProtection="1">
      <alignment horizontal="right"/>
    </xf>
    <xf numFmtId="164" fontId="0" fillId="0" borderId="0" xfId="6" applyNumberFormat="1" applyFont="1" applyAlignment="1" applyProtection="1"/>
    <xf numFmtId="164" fontId="8" fillId="0" borderId="0" xfId="0" applyNumberFormat="1" applyFont="1" applyBorder="1" applyAlignment="1" applyProtection="1"/>
    <xf numFmtId="164" fontId="0" fillId="0" borderId="0" xfId="0" applyNumberFormat="1" applyAlignment="1" applyProtection="1"/>
    <xf numFmtId="164" fontId="8" fillId="0" borderId="0" xfId="0" applyNumberFormat="1" applyFont="1" applyBorder="1" applyAlignment="1" applyProtection="1">
      <alignment horizontal="right"/>
    </xf>
    <xf numFmtId="10" fontId="8" fillId="0" borderId="0" xfId="0" applyNumberFormat="1" applyFont="1" applyBorder="1" applyAlignment="1" applyProtection="1"/>
    <xf numFmtId="164" fontId="8" fillId="8" borderId="0" xfId="0" applyNumberFormat="1" applyFont="1" applyFill="1" applyBorder="1" applyAlignment="1" applyProtection="1">
      <alignment horizontal="right"/>
    </xf>
    <xf numFmtId="164" fontId="8" fillId="0" borderId="33" xfId="0" applyNumberFormat="1" applyFont="1" applyBorder="1" applyAlignment="1" applyProtection="1">
      <alignment horizontal="right"/>
    </xf>
    <xf numFmtId="3" fontId="9" fillId="0" borderId="32" xfId="0" applyNumberFormat="1" applyFont="1" applyBorder="1" applyAlignment="1" applyProtection="1"/>
    <xf numFmtId="10" fontId="7" fillId="9" borderId="12" xfId="0" applyNumberFormat="1" applyFont="1" applyFill="1" applyBorder="1" applyAlignment="1" applyProtection="1"/>
    <xf numFmtId="9" fontId="7" fillId="9" borderId="18" xfId="0" applyNumberFormat="1" applyFont="1" applyFill="1" applyBorder="1" applyAlignment="1" applyProtection="1"/>
    <xf numFmtId="170" fontId="7" fillId="0" borderId="0" xfId="0" applyNumberFormat="1" applyFont="1" applyBorder="1" applyAlignment="1"/>
    <xf numFmtId="164" fontId="7" fillId="0" borderId="0" xfId="0" applyNumberFormat="1" applyFont="1" applyAlignment="1"/>
    <xf numFmtId="164" fontId="7" fillId="0" borderId="0" xfId="0" applyNumberFormat="1" applyFont="1" applyBorder="1" applyAlignment="1" applyProtection="1"/>
    <xf numFmtId="171" fontId="8" fillId="0" borderId="0" xfId="0" applyNumberFormat="1" applyFont="1" applyBorder="1" applyAlignment="1" applyProtection="1"/>
    <xf numFmtId="171" fontId="0" fillId="0" borderId="0" xfId="0" applyNumberFormat="1" applyAlignment="1" applyProtection="1"/>
    <xf numFmtId="172" fontId="7" fillId="0" borderId="10" xfId="0" applyNumberFormat="1" applyFont="1" applyBorder="1" applyAlignment="1"/>
    <xf numFmtId="3" fontId="7" fillId="0" borderId="0" xfId="0" applyNumberFormat="1" applyFont="1" applyBorder="1" applyAlignment="1"/>
    <xf numFmtId="0" fontId="7" fillId="0" borderId="15" xfId="0" applyFont="1" applyBorder="1" applyAlignment="1"/>
    <xf numFmtId="1" fontId="7" fillId="0" borderId="10" xfId="0" applyNumberFormat="1" applyFont="1" applyBorder="1" applyAlignment="1"/>
    <xf numFmtId="1" fontId="7" fillId="0" borderId="27" xfId="0" applyNumberFormat="1" applyFont="1" applyBorder="1" applyAlignment="1"/>
    <xf numFmtId="1" fontId="7" fillId="0" borderId="15" xfId="0" applyNumberFormat="1" applyFont="1" applyBorder="1" applyAlignment="1"/>
    <xf numFmtId="4" fontId="7" fillId="0" borderId="27" xfId="1" applyNumberFormat="1" applyFont="1" applyFill="1" applyBorder="1" applyProtection="1"/>
    <xf numFmtId="1" fontId="7" fillId="0" borderId="23" xfId="0" applyNumberFormat="1" applyFont="1" applyFill="1" applyBorder="1" applyAlignment="1" applyProtection="1"/>
    <xf numFmtId="10" fontId="7" fillId="9" borderId="12" xfId="0" applyNumberFormat="1" applyFont="1" applyFill="1" applyBorder="1" applyAlignment="1" applyProtection="1">
      <alignment horizontal="center"/>
    </xf>
    <xf numFmtId="9" fontId="7" fillId="9" borderId="18" xfId="0" applyNumberFormat="1" applyFont="1" applyFill="1" applyBorder="1" applyAlignment="1" applyProtection="1">
      <alignment horizontal="center"/>
    </xf>
    <xf numFmtId="9" fontId="7" fillId="0" borderId="24" xfId="0" applyNumberFormat="1" applyFont="1" applyBorder="1" applyAlignment="1">
      <alignment horizontal="center"/>
    </xf>
    <xf numFmtId="9" fontId="7" fillId="0" borderId="25" xfId="0" applyNumberFormat="1" applyFont="1" applyBorder="1" applyAlignment="1">
      <alignment horizontal="center"/>
    </xf>
    <xf numFmtId="9" fontId="7" fillId="0" borderId="28" xfId="0" applyNumberFormat="1" applyFont="1" applyBorder="1" applyAlignment="1">
      <alignment horizontal="center"/>
    </xf>
    <xf numFmtId="9" fontId="7" fillId="0" borderId="18" xfId="0" applyNumberFormat="1" applyFont="1" applyBorder="1" applyAlignment="1">
      <alignment horizontal="center"/>
    </xf>
    <xf numFmtId="0" fontId="20" fillId="0" borderId="0" xfId="0" applyFont="1" applyAlignment="1"/>
    <xf numFmtId="9" fontId="20" fillId="0" borderId="0" xfId="6" applyNumberFormat="1" applyFont="1" applyAlignment="1"/>
    <xf numFmtId="3" fontId="20" fillId="0" borderId="0" xfId="0" applyNumberFormat="1" applyFont="1" applyAlignment="1"/>
    <xf numFmtId="1" fontId="20" fillId="0" borderId="0" xfId="0" applyNumberFormat="1" applyFont="1" applyAlignment="1"/>
    <xf numFmtId="1" fontId="20" fillId="0" borderId="0" xfId="6" applyNumberFormat="1" applyFont="1" applyAlignment="1"/>
    <xf numFmtId="165" fontId="20" fillId="0" borderId="0" xfId="0" applyNumberFormat="1" applyFont="1" applyAlignment="1"/>
    <xf numFmtId="9" fontId="20" fillId="0" borderId="0" xfId="0" applyNumberFormat="1" applyFont="1" applyAlignment="1"/>
    <xf numFmtId="165" fontId="20" fillId="0" borderId="0" xfId="6" applyNumberFormat="1" applyFont="1" applyAlignment="1"/>
    <xf numFmtId="164" fontId="20" fillId="0" borderId="0" xfId="6" applyNumberFormat="1" applyFont="1" applyAlignment="1"/>
    <xf numFmtId="2" fontId="20" fillId="0" borderId="0" xfId="0" applyNumberFormat="1" applyFont="1" applyAlignment="1"/>
    <xf numFmtId="0" fontId="20" fillId="0" borderId="0" xfId="0" applyFont="1" applyAlignment="1">
      <alignment textRotation="90"/>
    </xf>
    <xf numFmtId="169" fontId="20" fillId="0" borderId="0" xfId="0" applyNumberFormat="1" applyFont="1" applyAlignment="1"/>
    <xf numFmtId="0" fontId="20" fillId="10" borderId="0" xfId="0" applyFont="1" applyFill="1" applyAlignment="1">
      <alignment horizontal="right"/>
    </xf>
    <xf numFmtId="165" fontId="21" fillId="10" borderId="0" xfId="0" applyNumberFormat="1" applyFont="1" applyFill="1" applyAlignment="1"/>
    <xf numFmtId="9" fontId="7" fillId="0" borderId="15" xfId="0" applyNumberFormat="1" applyFont="1" applyBorder="1" applyAlignment="1" applyProtection="1"/>
    <xf numFmtId="3" fontId="7" fillId="0" borderId="15" xfId="1" applyNumberFormat="1" applyFont="1" applyBorder="1" applyAlignment="1" applyProtection="1"/>
    <xf numFmtId="0" fontId="20" fillId="0" borderId="0" xfId="0" applyFont="1" applyAlignment="1">
      <alignment horizontal="right"/>
    </xf>
    <xf numFmtId="10" fontId="8" fillId="0" borderId="0" xfId="6" applyFont="1" applyAlignment="1" applyProtection="1"/>
    <xf numFmtId="10" fontId="7" fillId="0" borderId="0" xfId="0" applyNumberFormat="1" applyFont="1" applyBorder="1" applyProtection="1">
      <alignment vertical="top"/>
    </xf>
    <xf numFmtId="10" fontId="7" fillId="0" borderId="0" xfId="6" applyFont="1" applyAlignment="1" applyProtection="1"/>
    <xf numFmtId="173" fontId="7" fillId="0" borderId="0" xfId="0" applyNumberFormat="1" applyFont="1" applyBorder="1" applyAlignment="1" applyProtection="1"/>
    <xf numFmtId="3" fontId="7" fillId="0" borderId="0" xfId="0" applyNumberFormat="1" applyFont="1" applyFill="1" applyBorder="1" applyAlignment="1" applyProtection="1"/>
    <xf numFmtId="1" fontId="7" fillId="0" borderId="0" xfId="0" applyNumberFormat="1" applyFont="1" applyBorder="1" applyAlignment="1" applyProtection="1">
      <alignment horizontal="left"/>
    </xf>
    <xf numFmtId="164" fontId="8" fillId="0" borderId="0" xfId="0" applyNumberFormat="1" applyFont="1" applyFill="1" applyBorder="1" applyAlignment="1" applyProtection="1">
      <alignment horizontal="right"/>
    </xf>
    <xf numFmtId="164" fontId="7" fillId="0" borderId="0" xfId="0" applyNumberFormat="1" applyFont="1" applyFill="1" applyBorder="1" applyAlignment="1" applyProtection="1"/>
    <xf numFmtId="164" fontId="7" fillId="0" borderId="0" xfId="6" applyNumberFormat="1" applyFont="1" applyFill="1" applyAlignment="1" applyProtection="1"/>
    <xf numFmtId="9" fontId="8" fillId="0" borderId="10" xfId="0" applyNumberFormat="1" applyFont="1" applyFill="1" applyBorder="1" applyAlignment="1" applyProtection="1">
      <alignment horizontal="right"/>
    </xf>
    <xf numFmtId="9" fontId="7" fillId="0" borderId="10" xfId="0" applyNumberFormat="1" applyFont="1" applyFill="1" applyBorder="1" applyAlignment="1" applyProtection="1"/>
    <xf numFmtId="1" fontId="7" fillId="0" borderId="0" xfId="0" applyNumberFormat="1" applyFont="1" applyBorder="1" applyAlignment="1" applyProtection="1">
      <alignment horizontal="left"/>
      <protection locked="0"/>
    </xf>
    <xf numFmtId="1" fontId="7" fillId="0" borderId="15" xfId="0" applyNumberFormat="1" applyFont="1" applyFill="1" applyBorder="1" applyAlignment="1" applyProtection="1">
      <alignment horizontal="right"/>
    </xf>
    <xf numFmtId="9" fontId="27" fillId="0" borderId="4" xfId="0" applyNumberFormat="1" applyFont="1" applyFill="1" applyBorder="1" applyAlignment="1" applyProtection="1"/>
    <xf numFmtId="9" fontId="27" fillId="5" borderId="4" xfId="0" applyNumberFormat="1" applyFont="1" applyFill="1" applyBorder="1" applyAlignment="1" applyProtection="1"/>
    <xf numFmtId="9" fontId="7" fillId="2" borderId="0" xfId="0" applyNumberFormat="1" applyFont="1" applyFill="1" applyBorder="1" applyAlignment="1" applyProtection="1">
      <protection locked="0"/>
    </xf>
    <xf numFmtId="3" fontId="7" fillId="0" borderId="0" xfId="1" applyNumberFormat="1" applyFont="1" applyAlignment="1" applyProtection="1"/>
    <xf numFmtId="3" fontId="7" fillId="0" borderId="4" xfId="0" applyNumberFormat="1" applyFont="1" applyFill="1" applyBorder="1" applyAlignment="1" applyProtection="1"/>
    <xf numFmtId="9" fontId="7" fillId="0" borderId="10" xfId="6" applyNumberFormat="1" applyFont="1" applyBorder="1" applyAlignment="1" applyProtection="1"/>
    <xf numFmtId="9" fontId="7" fillId="0" borderId="10" xfId="0" applyNumberFormat="1" applyFont="1" applyBorder="1" applyAlignment="1" applyProtection="1"/>
    <xf numFmtId="3" fontId="7" fillId="0" borderId="0" xfId="1" applyNumberFormat="1" applyFont="1" applyAlignment="1" applyProtection="1">
      <alignment horizontal="right"/>
    </xf>
    <xf numFmtId="3" fontId="0" fillId="0" borderId="0" xfId="1" applyNumberFormat="1" applyFont="1" applyAlignment="1"/>
    <xf numFmtId="9" fontId="7" fillId="0" borderId="10" xfId="0" applyNumberFormat="1" applyFont="1" applyBorder="1" applyAlignment="1" applyProtection="1">
      <alignment horizontal="right"/>
    </xf>
    <xf numFmtId="9" fontId="8" fillId="0" borderId="33" xfId="0" applyNumberFormat="1" applyFont="1" applyBorder="1" applyAlignment="1" applyProtection="1">
      <alignment horizontal="right"/>
    </xf>
    <xf numFmtId="9" fontId="7" fillId="0" borderId="0" xfId="6" applyNumberFormat="1" applyFont="1" applyAlignment="1" applyProtection="1"/>
    <xf numFmtId="10" fontId="0" fillId="0" borderId="0" xfId="6" applyNumberFormat="1" applyFont="1" applyAlignment="1" applyProtection="1"/>
    <xf numFmtId="9" fontId="0" fillId="0" borderId="0" xfId="0" applyNumberFormat="1" applyFont="1" applyBorder="1" applyAlignment="1" applyProtection="1"/>
    <xf numFmtId="0" fontId="28" fillId="0" borderId="17" xfId="0" applyFont="1" applyBorder="1" applyAlignment="1"/>
    <xf numFmtId="9" fontId="28" fillId="0" borderId="16" xfId="0" applyNumberFormat="1" applyFont="1" applyBorder="1" applyAlignment="1">
      <alignment horizontal="center"/>
    </xf>
    <xf numFmtId="9" fontId="28" fillId="0" borderId="16" xfId="0" applyNumberFormat="1" applyFont="1" applyBorder="1" applyAlignment="1">
      <alignment horizontal="left"/>
    </xf>
    <xf numFmtId="0" fontId="29" fillId="0" borderId="16" xfId="0" applyFont="1" applyBorder="1" applyAlignment="1"/>
    <xf numFmtId="0" fontId="29" fillId="0" borderId="17" xfId="0" applyFont="1" applyBorder="1" applyAlignment="1"/>
    <xf numFmtId="0" fontId="28" fillId="0" borderId="16" xfId="0" applyFont="1" applyBorder="1" applyAlignment="1"/>
    <xf numFmtId="0" fontId="29" fillId="0" borderId="0" xfId="0" applyFont="1" applyAlignment="1"/>
    <xf numFmtId="38" fontId="7" fillId="0" borderId="0" xfId="0" applyNumberFormat="1" applyFont="1" applyBorder="1" applyAlignment="1" applyProtection="1"/>
    <xf numFmtId="173" fontId="7" fillId="0" borderId="0" xfId="6" applyNumberFormat="1" applyFont="1" applyAlignment="1" applyProtection="1"/>
    <xf numFmtId="1" fontId="7" fillId="0" borderId="0" xfId="6" applyNumberFormat="1" applyFont="1" applyAlignment="1" applyProtection="1"/>
    <xf numFmtId="3" fontId="7" fillId="0" borderId="0" xfId="0" applyNumberFormat="1" applyFont="1" applyBorder="1" applyAlignment="1" applyProtection="1">
      <alignment horizontal="right"/>
    </xf>
    <xf numFmtId="10" fontId="7" fillId="9" borderId="12" xfId="0" applyNumberFormat="1" applyFont="1" applyFill="1" applyBorder="1" applyAlignment="1" applyProtection="1">
      <alignment horizontal="center"/>
    </xf>
    <xf numFmtId="10" fontId="7" fillId="9" borderId="10" xfId="0" applyNumberFormat="1" applyFont="1" applyFill="1" applyBorder="1" applyAlignment="1" applyProtection="1">
      <alignment horizontal="center"/>
    </xf>
    <xf numFmtId="9" fontId="7" fillId="0" borderId="12" xfId="0" applyNumberFormat="1" applyFont="1" applyBorder="1" applyAlignment="1">
      <alignment horizontal="center"/>
    </xf>
    <xf numFmtId="9" fontId="7" fillId="0" borderId="10" xfId="0" quotePrefix="1" applyNumberFormat="1" applyFont="1" applyBorder="1" applyAlignment="1">
      <alignment horizontal="center"/>
    </xf>
    <xf numFmtId="10" fontId="7" fillId="6" borderId="12" xfId="0" applyNumberFormat="1" applyFont="1" applyFill="1" applyBorder="1" applyAlignment="1" applyProtection="1">
      <alignment horizontal="center"/>
      <protection locked="0"/>
    </xf>
    <xf numFmtId="10" fontId="7" fillId="6" borderId="10" xfId="0" applyNumberFormat="1" applyFont="1" applyFill="1" applyBorder="1" applyAlignment="1" applyProtection="1">
      <alignment horizontal="center"/>
      <protection locked="0"/>
    </xf>
    <xf numFmtId="9" fontId="7" fillId="0" borderId="10" xfId="0" applyNumberFormat="1" applyFont="1" applyBorder="1" applyAlignment="1">
      <alignment horizontal="center"/>
    </xf>
    <xf numFmtId="9" fontId="28" fillId="0" borderId="16" xfId="0" applyNumberFormat="1" applyFont="1" applyBorder="1" applyAlignment="1">
      <alignment horizontal="center"/>
    </xf>
    <xf numFmtId="9" fontId="30" fillId="0" borderId="16" xfId="0" applyNumberFormat="1" applyFont="1" applyBorder="1" applyAlignment="1">
      <alignment horizontal="center"/>
    </xf>
    <xf numFmtId="9" fontId="28" fillId="0" borderId="16" xfId="0" applyNumberFormat="1" applyFont="1" applyBorder="1" applyAlignment="1">
      <alignment horizontal="left"/>
    </xf>
    <xf numFmtId="0" fontId="28" fillId="0" borderId="16" xfId="0" applyFont="1" applyBorder="1" applyAlignment="1">
      <alignment horizontal="left"/>
    </xf>
    <xf numFmtId="9" fontId="14" fillId="0" borderId="16" xfId="0" applyNumberFormat="1" applyFont="1" applyBorder="1" applyAlignment="1">
      <alignment horizontal="center"/>
    </xf>
    <xf numFmtId="9" fontId="15" fillId="0" borderId="16" xfId="0" applyNumberFormat="1" applyFont="1" applyBorder="1" applyAlignment="1">
      <alignment horizontal="center"/>
    </xf>
    <xf numFmtId="9" fontId="14" fillId="0" borderId="16" xfId="0" applyNumberFormat="1" applyFont="1" applyBorder="1" applyAlignment="1">
      <alignment horizontal="left"/>
    </xf>
  </cellXfs>
  <cellStyles count="142">
    <cellStyle name="Comma" xfId="1" builtinId="3"/>
    <cellStyle name="Date" xfId="2"/>
    <cellStyle name="Fixed" xfId="3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EADING1" xfId="4"/>
    <cellStyle name="HEADING2" xfId="5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Percent" xfId="6" builtinId="5"/>
    <cellStyle name="Total" xfId="7" builtinId="25" customBuiltin="1"/>
  </cellStyles>
  <dxfs count="572">
    <dxf>
      <font>
        <b/>
        <i/>
        <color rgb="FFFF0000"/>
      </font>
      <fill>
        <patternFill patternType="none">
          <fgColor indexed="64"/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/>
        <color rgb="FFC9BD21"/>
      </font>
      <fill>
        <patternFill patternType="none">
          <fgColor indexed="64"/>
          <bgColor auto="1"/>
        </patternFill>
      </fill>
      <border>
        <left style="thin">
          <color rgb="FFC9BD21"/>
        </left>
        <right style="thin">
          <color rgb="FFC9BD21"/>
        </right>
        <top style="thin">
          <color rgb="FFC9BD21"/>
        </top>
        <bottom style="thin">
          <color rgb="FFC9BD21"/>
        </bottom>
      </border>
    </dxf>
    <dxf>
      <font>
        <b/>
        <i/>
        <color theme="9" tint="-0.249977111117893"/>
      </font>
      <fill>
        <patternFill patternType="none">
          <fgColor indexed="64"/>
          <bgColor auto="1"/>
        </patternFill>
      </fill>
      <border>
        <left style="thin">
          <color theme="9" tint="-0.249977111117893"/>
        </left>
        <right style="thin">
          <color theme="9" tint="-0.249977111117893"/>
        </right>
        <top style="thin">
          <color theme="9" tint="-0.249977111117893"/>
        </top>
        <bottom style="thin">
          <color theme="9" tint="-0.249977111117893"/>
        </bottom>
      </border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b/>
        <i/>
        <color rgb="FFFF0000"/>
      </font>
      <fill>
        <patternFill patternType="none">
          <fgColor indexed="64"/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/>
        <color rgb="FFC9BD21"/>
      </font>
      <fill>
        <patternFill patternType="none">
          <fgColor indexed="64"/>
          <bgColor auto="1"/>
        </patternFill>
      </fill>
      <border>
        <left style="thin">
          <color rgb="FFC9BD21"/>
        </left>
        <right style="thin">
          <color rgb="FFC9BD21"/>
        </right>
        <top style="thin">
          <color rgb="FFC9BD21"/>
        </top>
        <bottom style="thin">
          <color rgb="FFC9BD21"/>
        </bottom>
      </border>
    </dxf>
    <dxf>
      <font>
        <b/>
        <i/>
        <color theme="9" tint="-0.249977111117893"/>
      </font>
      <fill>
        <patternFill patternType="none">
          <fgColor indexed="64"/>
          <bgColor auto="1"/>
        </patternFill>
      </fill>
      <border>
        <left style="thin">
          <color theme="9" tint="-0.249977111117893"/>
        </left>
        <right style="thin">
          <color theme="9" tint="-0.249977111117893"/>
        </right>
        <top style="thin">
          <color theme="9" tint="-0.249977111117893"/>
        </top>
        <bottom style="thin">
          <color theme="9" tint="-0.249977111117893"/>
        </bottom>
      </border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b/>
        <i/>
        <color rgb="FFFF0000"/>
      </font>
      <fill>
        <patternFill patternType="none">
          <fgColor indexed="64"/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/>
        <color rgb="FFC9BD21"/>
      </font>
      <fill>
        <patternFill patternType="none">
          <fgColor indexed="64"/>
          <bgColor auto="1"/>
        </patternFill>
      </fill>
      <border>
        <left style="thin">
          <color rgb="FFC9BD21"/>
        </left>
        <right style="thin">
          <color rgb="FFC9BD21"/>
        </right>
        <top style="thin">
          <color rgb="FFC9BD21"/>
        </top>
        <bottom style="thin">
          <color rgb="FFC9BD21"/>
        </bottom>
      </border>
    </dxf>
    <dxf>
      <font>
        <b/>
        <i/>
        <color theme="9" tint="-0.249977111117893"/>
      </font>
      <fill>
        <patternFill patternType="none">
          <fgColor indexed="64"/>
          <bgColor auto="1"/>
        </patternFill>
      </fill>
      <border>
        <left style="thin">
          <color theme="9" tint="-0.249977111117893"/>
        </left>
        <right style="thin">
          <color theme="9" tint="-0.249977111117893"/>
        </right>
        <top style="thin">
          <color theme="9" tint="-0.249977111117893"/>
        </top>
        <bottom style="thin">
          <color theme="9" tint="-0.249977111117893"/>
        </bottom>
      </border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b/>
        <i/>
        <color rgb="FFFF0000"/>
      </font>
      <fill>
        <patternFill patternType="none">
          <fgColor indexed="64"/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/>
        <color rgb="FFC9BD21"/>
      </font>
      <fill>
        <patternFill patternType="none">
          <fgColor indexed="64"/>
          <bgColor auto="1"/>
        </patternFill>
      </fill>
      <border>
        <left style="thin">
          <color rgb="FFC9BD21"/>
        </left>
        <right style="thin">
          <color rgb="FFC9BD21"/>
        </right>
        <top style="thin">
          <color rgb="FFC9BD21"/>
        </top>
        <bottom style="thin">
          <color rgb="FFC9BD21"/>
        </bottom>
      </border>
    </dxf>
    <dxf>
      <font>
        <b/>
        <i/>
        <color theme="9" tint="-0.249977111117893"/>
      </font>
      <fill>
        <patternFill patternType="none">
          <fgColor indexed="64"/>
          <bgColor auto="1"/>
        </patternFill>
      </fill>
      <border>
        <left style="thin">
          <color theme="9" tint="-0.249977111117893"/>
        </left>
        <right style="thin">
          <color theme="9" tint="-0.249977111117893"/>
        </right>
        <top style="thin">
          <color theme="9" tint="-0.249977111117893"/>
        </top>
        <bottom style="thin">
          <color theme="9" tint="-0.249977111117893"/>
        </bottom>
      </border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FFFF"/>
      <color rgb="FF00CCFF"/>
      <color rgb="FFF7F4B3"/>
      <color rgb="FF723F95"/>
      <color rgb="FF008080"/>
    </mru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7272727272727"/>
          <c:y val="0.0667779632721202"/>
          <c:w val="0.731818181818182"/>
          <c:h val="0.66539667874372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Poor!$A$6</c:f>
              <c:strCache>
                <c:ptCount val="1"/>
                <c:pt idx="0">
                  <c:v>Cows' milk - season 1</c:v>
                </c:pt>
              </c:strCache>
            </c:strRef>
          </c:tx>
          <c:spPr>
            <a:solidFill>
              <a:srgbClr val="9999FF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Poor!$K$6:$M$6</c:f>
              <c:numCache>
                <c:formatCode>0%</c:formatCode>
                <c:ptCount val="3"/>
                <c:pt idx="0">
                  <c:v>0.0491849066002491</c:v>
                </c:pt>
                <c:pt idx="1">
                  <c:v>0.0245924533001245</c:v>
                </c:pt>
                <c:pt idx="2" formatCode="0.0%">
                  <c:v>0.0245924533001245</c:v>
                </c:pt>
              </c:numCache>
            </c:numRef>
          </c:val>
        </c:ser>
        <c:ser>
          <c:idx val="1"/>
          <c:order val="1"/>
          <c:tx>
            <c:strRef>
              <c:f>Poor!$A$7</c:f>
              <c:strCache>
                <c:ptCount val="1"/>
                <c:pt idx="0">
                  <c:v>Cows' milk - season 2</c:v>
                </c:pt>
              </c:strCache>
            </c:strRef>
          </c:tx>
          <c:spPr>
            <a:solidFill>
              <a:srgbClr val="00B05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Poor!$K$7:$M$7</c:f>
              <c:numCache>
                <c:formatCode>0%</c:formatCode>
                <c:ptCount val="3"/>
                <c:pt idx="0">
                  <c:v>0.00312836861768369</c:v>
                </c:pt>
                <c:pt idx="1">
                  <c:v>0.00156418430884184</c:v>
                </c:pt>
                <c:pt idx="2" formatCode="0.0%">
                  <c:v>0.00156418430884184</c:v>
                </c:pt>
              </c:numCache>
            </c:numRef>
          </c:val>
        </c:ser>
        <c:ser>
          <c:idx val="2"/>
          <c:order val="2"/>
          <c:tx>
            <c:strRef>
              <c:f>Poor!$A$8</c:f>
              <c:strCache>
                <c:ptCount val="1"/>
                <c:pt idx="0">
                  <c:v>Own meat</c:v>
                </c:pt>
              </c:strCache>
            </c:strRef>
          </c:tx>
          <c:spPr>
            <a:solidFill>
              <a:srgbClr val="D99694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Poor!$K$8:$M$8</c:f>
              <c:numCache>
                <c:formatCode>0%</c:formatCode>
                <c:ptCount val="3"/>
                <c:pt idx="0">
                  <c:v>0.022267901618929</c:v>
                </c:pt>
                <c:pt idx="1">
                  <c:v>0.0111339508094645</c:v>
                </c:pt>
                <c:pt idx="2" formatCode="0.0%">
                  <c:v>0.0111339508094645</c:v>
                </c:pt>
              </c:numCache>
            </c:numRef>
          </c:val>
        </c:ser>
        <c:ser>
          <c:idx val="3"/>
          <c:order val="3"/>
          <c:tx>
            <c:strRef>
              <c:f>Poor!$A$9</c:f>
              <c:strCache>
                <c:ptCount val="1"/>
                <c:pt idx="0">
                  <c:v>Green cons - Season 1: no of months</c:v>
                </c:pt>
              </c:strCache>
            </c:strRef>
          </c:tx>
          <c:spPr>
            <a:solidFill>
              <a:srgbClr val="CCFFCC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Poor!$K$9:$M$9</c:f>
              <c:numCache>
                <c:formatCode>0%</c:formatCode>
                <c:ptCount val="3"/>
                <c:pt idx="0">
                  <c:v>0.0177777777777778</c:v>
                </c:pt>
                <c:pt idx="1">
                  <c:v>0.0177777777777778</c:v>
                </c:pt>
                <c:pt idx="2" formatCode="0.0%">
                  <c:v>0.0177777777777778</c:v>
                </c:pt>
              </c:numCache>
            </c:numRef>
          </c:val>
        </c:ser>
        <c:ser>
          <c:idx val="4"/>
          <c:order val="4"/>
          <c:tx>
            <c:strRef>
              <c:f>Poor!$A$10</c:f>
              <c:strCache>
                <c:ptCount val="1"/>
                <c:pt idx="0">
                  <c:v>Green beans </c:v>
                </c:pt>
              </c:strCache>
            </c:strRef>
          </c:tx>
          <c:spPr>
            <a:solidFill>
              <a:srgbClr val="FF990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Poor!$K$10:$M$10</c:f>
              <c:numCache>
                <c:formatCode>0%</c:formatCode>
                <c:ptCount val="3"/>
                <c:pt idx="0">
                  <c:v>0.00944444444444444</c:v>
                </c:pt>
                <c:pt idx="1">
                  <c:v>0.00944444444444444</c:v>
                </c:pt>
                <c:pt idx="2" formatCode="0.0%">
                  <c:v>0.00944444444444444</c:v>
                </c:pt>
              </c:numCache>
            </c:numRef>
          </c:val>
        </c:ser>
        <c:ser>
          <c:idx val="5"/>
          <c:order val="5"/>
          <c:tx>
            <c:strRef>
              <c:f>Poor!$A$11</c:f>
              <c:strCache>
                <c:ptCount val="1"/>
                <c:pt idx="0">
                  <c:v>Maize: kg produced</c:v>
                </c:pt>
              </c:strCache>
            </c:strRef>
          </c:tx>
          <c:spPr>
            <a:solidFill>
              <a:srgbClr val="F2DCDB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Poor!$K$11:$M$11</c:f>
              <c:numCache>
                <c:formatCode>0%</c:formatCode>
                <c:ptCount val="3"/>
                <c:pt idx="0">
                  <c:v>0.239540162671233</c:v>
                </c:pt>
                <c:pt idx="1">
                  <c:v>0.261098777311644</c:v>
                </c:pt>
                <c:pt idx="2" formatCode="0.0%">
                  <c:v>0.297392343065068</c:v>
                </c:pt>
              </c:numCache>
            </c:numRef>
          </c:val>
        </c:ser>
        <c:ser>
          <c:idx val="6"/>
          <c:order val="6"/>
          <c:tx>
            <c:strRef>
              <c:f>Poor!$A$12</c:f>
              <c:strCache>
                <c:ptCount val="1"/>
                <c:pt idx="0">
                  <c:v>Maize (irrigated): kg produced</c:v>
                </c:pt>
              </c:strCache>
            </c:strRef>
          </c:tx>
          <c:spPr>
            <a:solidFill>
              <a:srgbClr val="FCD5B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Poor!$K$12:$M$12</c:f>
              <c:numCache>
                <c:formatCode>0%</c:formatCode>
                <c:ptCount val="3"/>
                <c:pt idx="0">
                  <c:v>0.0147864297945205</c:v>
                </c:pt>
                <c:pt idx="1">
                  <c:v>0.0161172084760274</c:v>
                </c:pt>
                <c:pt idx="2" formatCode="0.0%">
                  <c:v>0.0333088975171233</c:v>
                </c:pt>
              </c:numCache>
            </c:numRef>
          </c:val>
        </c:ser>
        <c:ser>
          <c:idx val="7"/>
          <c:order val="7"/>
          <c:tx>
            <c:strRef>
              <c:f>Poor!$A$13</c:f>
              <c:strCache>
                <c:ptCount val="1"/>
                <c:pt idx="0">
                  <c:v>Beans: kg produced</c:v>
                </c:pt>
              </c:strCache>
            </c:strRef>
          </c:tx>
          <c:spPr>
            <a:solidFill>
              <a:srgbClr val="95373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Poor!$K$13:$M$13</c:f>
              <c:numCache>
                <c:formatCode>0%</c:formatCode>
                <c:ptCount val="3"/>
                <c:pt idx="0">
                  <c:v>0.0371712831569116</c:v>
                </c:pt>
                <c:pt idx="1">
                  <c:v>0.0371712831569116</c:v>
                </c:pt>
                <c:pt idx="2" formatCode="0.0%">
                  <c:v>0.0371712831569116</c:v>
                </c:pt>
              </c:numCache>
            </c:numRef>
          </c:val>
        </c:ser>
        <c:ser>
          <c:idx val="9"/>
          <c:order val="8"/>
          <c:tx>
            <c:strRef>
              <c:f>Poor!$A$14</c:f>
              <c:strCache>
                <c:ptCount val="1"/>
                <c:pt idx="0">
                  <c:v>Cowpeas: kg produced</c:v>
                </c:pt>
              </c:strCache>
            </c:strRef>
          </c:tx>
          <c:spPr>
            <a:solidFill>
              <a:srgbClr val="E46C0A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Poor!$K$14:$M$14</c:f>
              <c:numCache>
                <c:formatCode>0%</c:formatCode>
                <c:ptCount val="3"/>
                <c:pt idx="0">
                  <c:v>0.000738642590286426</c:v>
                </c:pt>
                <c:pt idx="1">
                  <c:v>0.000738642590286426</c:v>
                </c:pt>
                <c:pt idx="2" formatCode="0.0%">
                  <c:v>0.000738642590286426</c:v>
                </c:pt>
              </c:numCache>
            </c:numRef>
          </c:val>
        </c:ser>
        <c:ser>
          <c:idx val="10"/>
          <c:order val="9"/>
          <c:tx>
            <c:strRef>
              <c:f>Poor!$A$15</c:f>
              <c:strCache>
                <c:ptCount val="1"/>
                <c:pt idx="0">
                  <c:v>Potato: kg produced</c:v>
                </c:pt>
              </c:strCache>
            </c:strRef>
          </c:tx>
          <c:spPr>
            <a:solidFill>
              <a:srgbClr val="604A7B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Poor!$K$15:$M$15</c:f>
              <c:numCache>
                <c:formatCode>0%</c:formatCode>
                <c:ptCount val="3"/>
                <c:pt idx="0">
                  <c:v>0.00181034085143674</c:v>
                </c:pt>
                <c:pt idx="1">
                  <c:v>0.00181034085143674</c:v>
                </c:pt>
                <c:pt idx="2" formatCode="0.0%">
                  <c:v>0.00181034085143674</c:v>
                </c:pt>
              </c:numCache>
            </c:numRef>
          </c:val>
        </c:ser>
        <c:ser>
          <c:idx val="11"/>
          <c:order val="10"/>
          <c:tx>
            <c:strRef>
              <c:f>Poor!$A$16</c:f>
              <c:strCache>
                <c:ptCount val="1"/>
                <c:pt idx="0">
                  <c:v>Sweet potato: no. local meas</c:v>
                </c:pt>
              </c:strCache>
            </c:strRef>
          </c:tx>
          <c:spPr>
            <a:solidFill>
              <a:srgbClr val="CCCC0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Poor!$K$16:$M$16</c:f>
              <c:numCache>
                <c:formatCode>0%</c:formatCode>
                <c:ptCount val="3"/>
                <c:pt idx="0">
                  <c:v>0.0178111342880863</c:v>
                </c:pt>
                <c:pt idx="1">
                  <c:v>0.0178111342880863</c:v>
                </c:pt>
                <c:pt idx="2" formatCode="0.0%">
                  <c:v>0.0442904566210046</c:v>
                </c:pt>
              </c:numCache>
            </c:numRef>
          </c:val>
        </c:ser>
        <c:ser>
          <c:idx val="12"/>
          <c:order val="11"/>
          <c:tx>
            <c:strRef>
              <c:f>Poor!$A$17</c:f>
              <c:strCache>
                <c:ptCount val="1"/>
                <c:pt idx="0">
                  <c:v>Water melon: no. local meas</c:v>
                </c:pt>
              </c:strCache>
            </c:strRef>
          </c:tx>
          <c:spPr>
            <a:solidFill>
              <a:srgbClr val="93CDDD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Poor!$K$17:$M$17</c:f>
              <c:numCache>
                <c:formatCode>0%</c:formatCode>
                <c:ptCount val="3"/>
                <c:pt idx="0">
                  <c:v>0.00905269302615193</c:v>
                </c:pt>
                <c:pt idx="1">
                  <c:v>0.00905269302615193</c:v>
                </c:pt>
                <c:pt idx="2" formatCode="0.0%">
                  <c:v>0.010385196139477</c:v>
                </c:pt>
              </c:numCache>
            </c:numRef>
          </c:val>
        </c:ser>
        <c:ser>
          <c:idx val="13"/>
          <c:order val="12"/>
          <c:tx>
            <c:strRef>
              <c:f>Poor!$A$18</c:f>
              <c:strCache>
                <c:ptCount val="1"/>
                <c:pt idx="0">
                  <c:v>Groundnuts (dry): no. local meas</c:v>
                </c:pt>
              </c:strCache>
            </c:strRef>
          </c:tx>
          <c:spPr>
            <a:solidFill>
              <a:srgbClr val="CCFFCC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Poor!$K$18:$M$18</c:f>
              <c:numCache>
                <c:formatCode>0%</c:formatCode>
                <c:ptCount val="3"/>
                <c:pt idx="0">
                  <c:v>0.00931351183063512</c:v>
                </c:pt>
                <c:pt idx="1">
                  <c:v>0.00931351183063512</c:v>
                </c:pt>
                <c:pt idx="2" formatCode="0.0%">
                  <c:v>0.0220587311888629</c:v>
                </c:pt>
              </c:numCache>
            </c:numRef>
          </c:val>
        </c:ser>
        <c:ser>
          <c:idx val="14"/>
          <c:order val="13"/>
          <c:tx>
            <c:strRef>
              <c:f>Poor!$A$19</c:f>
              <c:strCache>
                <c:ptCount val="1"/>
                <c:pt idx="0">
                  <c:v>Other crop: Rape</c:v>
                </c:pt>
              </c:strCache>
            </c:strRef>
          </c:tx>
          <c:spPr>
            <a:solidFill>
              <a:srgbClr val="00808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Poor!$K$19:$M$19</c:f>
              <c:numCache>
                <c:formatCode>0%</c:formatCode>
                <c:ptCount val="3"/>
                <c:pt idx="0">
                  <c:v>0.00690963574097135</c:v>
                </c:pt>
                <c:pt idx="1">
                  <c:v>0.00690963574097135</c:v>
                </c:pt>
                <c:pt idx="2" formatCode="0.0%">
                  <c:v>0.00794202052145648</c:v>
                </c:pt>
              </c:numCache>
            </c:numRef>
          </c:val>
        </c:ser>
        <c:ser>
          <c:idx val="15"/>
          <c:order val="14"/>
          <c:tx>
            <c:strRef>
              <c:f>Poor!$A$20</c:f>
              <c:strCache>
                <c:ptCount val="1"/>
                <c:pt idx="0">
                  <c:v>Other crop: pumpkin</c:v>
                </c:pt>
              </c:strCache>
            </c:strRef>
          </c:tx>
          <c:spPr>
            <a:solidFill>
              <a:srgbClr val="558ED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Poor!$K$20:$M$20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6"/>
          <c:order val="15"/>
          <c:tx>
            <c:strRef>
              <c:f>Poor!$A$21</c:f>
              <c:strCache>
                <c:ptCount val="1"/>
                <c:pt idx="0">
                  <c:v>WILD FOODS -- see worksheet Data 3</c:v>
                </c:pt>
              </c:strCache>
            </c:strRef>
          </c:tx>
          <c:spPr>
            <a:solidFill>
              <a:srgbClr val="996633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Poor!$K$21:$M$21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8"/>
          <c:order val="16"/>
          <c:tx>
            <c:strRef>
              <c:f>Poor!$A$22</c:f>
              <c:strCache>
                <c:ptCount val="1"/>
                <c:pt idx="0">
                  <c:v>Labour: Weeding, ploughing</c:v>
                </c:pt>
              </c:strCache>
            </c:strRef>
          </c:tx>
          <c:spPr>
            <a:solidFill>
              <a:srgbClr val="FFFF99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Poor!$K$22:$M$22</c:f>
              <c:numCache>
                <c:formatCode>0%</c:formatCode>
                <c:ptCount val="3"/>
                <c:pt idx="0">
                  <c:v>0.0529025599315068</c:v>
                </c:pt>
                <c:pt idx="1">
                  <c:v>0.0529025599315068</c:v>
                </c:pt>
                <c:pt idx="2" formatCode="0.0%">
                  <c:v>0.0302677077903584</c:v>
                </c:pt>
              </c:numCache>
            </c:numRef>
          </c:val>
        </c:ser>
        <c:ser>
          <c:idx val="17"/>
          <c:order val="17"/>
          <c:tx>
            <c:strRef>
              <c:f>Poor!$A$23</c:f>
              <c:strCache>
                <c:ptCount val="1"/>
                <c:pt idx="0">
                  <c:v>Labour: Weeding</c:v>
                </c:pt>
              </c:strCache>
            </c:strRef>
          </c:tx>
          <c:spPr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Poor!$K$23:$M$23</c:f>
              <c:numCache>
                <c:formatCode>0%</c:formatCode>
                <c:ptCount val="3"/>
                <c:pt idx="0">
                  <c:v>0.0157721917808219</c:v>
                </c:pt>
                <c:pt idx="1">
                  <c:v>0.0157721917808219</c:v>
                </c:pt>
                <c:pt idx="2" formatCode="0.0%">
                  <c:v>0.00219128049613286</c:v>
                </c:pt>
              </c:numCache>
            </c:numRef>
          </c:val>
        </c:ser>
        <c:ser>
          <c:idx val="18"/>
          <c:order val="18"/>
          <c:tx>
            <c:strRef>
              <c:f>Poor!$A$24</c:f>
              <c:strCache>
                <c:ptCount val="1"/>
                <c:pt idx="0">
                  <c:v>Gifts/remittances: cereal</c:v>
                </c:pt>
              </c:strCache>
            </c:strRef>
          </c:tx>
          <c:spPr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Poor!$K$24:$M$24</c:f>
              <c:numCache>
                <c:formatCode>0%</c:formatCode>
                <c:ptCount val="3"/>
                <c:pt idx="0">
                  <c:v>0.0055050597758406</c:v>
                </c:pt>
                <c:pt idx="1">
                  <c:v>0.0055050597758406</c:v>
                </c:pt>
                <c:pt idx="2" formatCode="0.0%">
                  <c:v>0.0055050597758406</c:v>
                </c:pt>
              </c:numCache>
            </c:numRef>
          </c:val>
        </c:ser>
        <c:ser>
          <c:idx val="19"/>
          <c:order val="19"/>
          <c:tx>
            <c:strRef>
              <c:f>Poor!$A$25</c:f>
              <c:strCache>
                <c:ptCount val="1"/>
                <c:pt idx="0">
                  <c:v>Gifts/remittances: sugar</c:v>
                </c:pt>
              </c:strCache>
            </c:strRef>
          </c:tx>
          <c:spPr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Poor!$K$25:$M$25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20"/>
          <c:order val="20"/>
          <c:tx>
            <c:strRef>
              <c:f>Poor!$A$26</c:f>
              <c:strCache>
                <c:ptCount val="1"/>
                <c:pt idx="0">
                  <c:v>Food aid</c:v>
                </c:pt>
              </c:strCache>
            </c:strRef>
          </c:tx>
          <c:spPr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Poor!$K$26:$M$26</c:f>
              <c:numCache>
                <c:formatCode>0%</c:formatCode>
                <c:ptCount val="3"/>
                <c:pt idx="0">
                  <c:v>0.10415628411754</c:v>
                </c:pt>
                <c:pt idx="1">
                  <c:v>0.10415628411754</c:v>
                </c:pt>
                <c:pt idx="2" formatCode="0.0%">
                  <c:v>0.10415628411754</c:v>
                </c:pt>
              </c:numCache>
            </c:numRef>
          </c:val>
        </c:ser>
        <c:ser>
          <c:idx val="21"/>
          <c:order val="21"/>
          <c:tx>
            <c:strRef>
              <c:f>Poor!$A$27</c:f>
              <c:strCache>
                <c:ptCount val="1"/>
                <c:pt idx="0">
                  <c:v>Purchase - other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Poor!$K$27:$M$27</c:f>
              <c:numCache>
                <c:formatCode>0%</c:formatCode>
                <c:ptCount val="3"/>
                <c:pt idx="0">
                  <c:v>0.0117104156288917</c:v>
                </c:pt>
                <c:pt idx="1">
                  <c:v>0.0117104156288917</c:v>
                </c:pt>
                <c:pt idx="2" formatCode="0.0%">
                  <c:v>0.0</c:v>
                </c:pt>
              </c:numCache>
            </c:numRef>
          </c:val>
        </c:ser>
        <c:ser>
          <c:idx val="22"/>
          <c:order val="22"/>
          <c:tx>
            <c:strRef>
              <c:f>Poor!$A$28</c:f>
              <c:strCache>
                <c:ptCount val="1"/>
                <c:pt idx="0">
                  <c:v>Purchase - desirable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Poor!$K$28:$M$28</c:f>
              <c:numCache>
                <c:formatCode>0%</c:formatCode>
                <c:ptCount val="3"/>
                <c:pt idx="0">
                  <c:v>0.00286767123287671</c:v>
                </c:pt>
                <c:pt idx="1">
                  <c:v>0.00286767123287671</c:v>
                </c:pt>
                <c:pt idx="2" formatCode="0.0%">
                  <c:v>0.0</c:v>
                </c:pt>
              </c:numCache>
            </c:numRef>
          </c:val>
        </c:ser>
        <c:ser>
          <c:idx val="23"/>
          <c:order val="23"/>
          <c:tx>
            <c:strRef>
              <c:f>Poor!$A$29</c:f>
              <c:strCache>
                <c:ptCount val="1"/>
                <c:pt idx="0">
                  <c:v>Purchase - fpl non staple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Poor!$K$29:$M$29</c:f>
              <c:numCache>
                <c:formatCode>0%</c:formatCode>
                <c:ptCount val="3"/>
                <c:pt idx="0">
                  <c:v>0.129301618254462</c:v>
                </c:pt>
                <c:pt idx="1">
                  <c:v>0.129301618254462</c:v>
                </c:pt>
                <c:pt idx="2" formatCode="0.0%">
                  <c:v>0.224636773941997</c:v>
                </c:pt>
              </c:numCache>
            </c:numRef>
          </c:val>
        </c:ser>
        <c:ser>
          <c:idx val="24"/>
          <c:order val="24"/>
          <c:tx>
            <c:strRef>
              <c:f>Poor!$A$30</c:f>
              <c:strCache>
                <c:ptCount val="1"/>
                <c:pt idx="0">
                  <c:v>Purchase - staple</c:v>
                </c:pt>
              </c:strCache>
            </c:strRef>
          </c:tx>
          <c:spPr>
            <a:solidFill>
              <a:srgbClr val="F7F4B3"/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Poor!$K$30:$M$30</c:f>
              <c:numCache>
                <c:formatCode>0%</c:formatCode>
                <c:ptCount val="3"/>
                <c:pt idx="0">
                  <c:v>0.49587104732254</c:v>
                </c:pt>
                <c:pt idx="1">
                  <c:v>0.0633430980507007</c:v>
                </c:pt>
                <c:pt idx="2" formatCode="0.0%">
                  <c:v>0.113632171585851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1768195304"/>
        <c:axId val="-1994145656"/>
      </c:barChart>
      <c:catAx>
        <c:axId val="17681953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-19941456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19941456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Helvetica Light"/>
                    <a:ea typeface="Arial"/>
                    <a:cs typeface="Helvetica Light"/>
                  </a:defRPr>
                </a:pPr>
                <a:r>
                  <a:rPr lang="en-ZA" sz="1000" b="0" i="0">
                    <a:latin typeface="Helvetica Light"/>
                    <a:cs typeface="Helvetica Light"/>
                  </a:rPr>
                  <a:t>% min. food energy needs</a:t>
                </a:r>
              </a:p>
            </c:rich>
          </c:tx>
          <c:layout>
            <c:manualLayout>
              <c:xMode val="edge"/>
              <c:yMode val="edge"/>
              <c:x val="0.0113636576677915"/>
              <c:y val="0.243739543692896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1768195304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8329571106095"/>
          <c:y val="0.0666297947099587"/>
          <c:w val="0.729119638826185"/>
          <c:h val="0.6530667773205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Middle!$A$6</c:f>
              <c:strCache>
                <c:ptCount val="1"/>
                <c:pt idx="0">
                  <c:v>Cows' milk - season 1</c:v>
                </c:pt>
              </c:strCache>
            </c:strRef>
          </c:tx>
          <c:spPr>
            <a:solidFill>
              <a:srgbClr val="FFFFFF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Middle!$K$6:$M$6</c:f>
              <c:numCache>
                <c:formatCode>0%</c:formatCode>
                <c:ptCount val="3"/>
                <c:pt idx="0">
                  <c:v>0.0644443935242839</c:v>
                </c:pt>
                <c:pt idx="1">
                  <c:v>0.032222196762142</c:v>
                </c:pt>
                <c:pt idx="2" formatCode="0.0%">
                  <c:v>0.032222196762142</c:v>
                </c:pt>
              </c:numCache>
            </c:numRef>
          </c:val>
        </c:ser>
        <c:ser>
          <c:idx val="1"/>
          <c:order val="1"/>
          <c:tx>
            <c:strRef>
              <c:f>Middle!$A$7</c:f>
              <c:strCache>
                <c:ptCount val="1"/>
                <c:pt idx="0">
                  <c:v>Cows' milk - season 2</c:v>
                </c:pt>
              </c:strCache>
            </c:strRef>
          </c:tx>
          <c:spPr>
            <a:solidFill>
              <a:srgbClr val="00B05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Middle!$K$7:$M$7</c:f>
              <c:numCache>
                <c:formatCode>0%</c:formatCode>
                <c:ptCount val="3"/>
                <c:pt idx="0">
                  <c:v>0.00625673723536737</c:v>
                </c:pt>
                <c:pt idx="1">
                  <c:v>0.00312836861768369</c:v>
                </c:pt>
                <c:pt idx="2" formatCode="0.0%">
                  <c:v>0.00312836861768369</c:v>
                </c:pt>
              </c:numCache>
            </c:numRef>
          </c:val>
        </c:ser>
        <c:ser>
          <c:idx val="2"/>
          <c:order val="2"/>
          <c:tx>
            <c:strRef>
              <c:f>Middle!$A$8</c:f>
              <c:strCache>
                <c:ptCount val="1"/>
                <c:pt idx="0">
                  <c:v>Own meat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Middle!$K$8:$M$8</c:f>
              <c:numCache>
                <c:formatCode>0%</c:formatCode>
                <c:ptCount val="3"/>
                <c:pt idx="0">
                  <c:v>0.0256367515047738</c:v>
                </c:pt>
                <c:pt idx="1">
                  <c:v>0.0128183757523869</c:v>
                </c:pt>
                <c:pt idx="2" formatCode="0.0%">
                  <c:v>0.0128183757523869</c:v>
                </c:pt>
              </c:numCache>
            </c:numRef>
          </c:val>
        </c:ser>
        <c:ser>
          <c:idx val="3"/>
          <c:order val="3"/>
          <c:tx>
            <c:strRef>
              <c:f>Middle!$A$9</c:f>
              <c:strCache>
                <c:ptCount val="1"/>
                <c:pt idx="0">
                  <c:v>Green cons - Season 1: no of months</c:v>
                </c:pt>
              </c:strCache>
            </c:strRef>
          </c:tx>
          <c:spPr>
            <a:solidFill>
              <a:srgbClr val="D7E4BD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Middle!$K$9:$M$9</c:f>
              <c:numCache>
                <c:formatCode>0%</c:formatCode>
                <c:ptCount val="3"/>
                <c:pt idx="0">
                  <c:v>0.00388888888888889</c:v>
                </c:pt>
                <c:pt idx="1">
                  <c:v>0.00388888888888889</c:v>
                </c:pt>
                <c:pt idx="2" formatCode="0.0%">
                  <c:v>0.00388888888888889</c:v>
                </c:pt>
              </c:numCache>
            </c:numRef>
          </c:val>
        </c:ser>
        <c:ser>
          <c:idx val="4"/>
          <c:order val="4"/>
          <c:tx>
            <c:strRef>
              <c:f>Middle!$A$10</c:f>
              <c:strCache>
                <c:ptCount val="1"/>
                <c:pt idx="0">
                  <c:v>Green beans </c:v>
                </c:pt>
              </c:strCache>
            </c:strRef>
          </c:tx>
          <c:spPr>
            <a:solidFill>
              <a:srgbClr val="66FF33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Middle!$K$10:$M$10</c:f>
              <c:numCache>
                <c:formatCode>0%</c:formatCode>
                <c:ptCount val="3"/>
                <c:pt idx="0">
                  <c:v>0.00944444444444444</c:v>
                </c:pt>
                <c:pt idx="1">
                  <c:v>0.00944444444444444</c:v>
                </c:pt>
                <c:pt idx="2" formatCode="0.0%">
                  <c:v>0.00944444444444444</c:v>
                </c:pt>
              </c:numCache>
            </c:numRef>
          </c:val>
        </c:ser>
        <c:ser>
          <c:idx val="5"/>
          <c:order val="5"/>
          <c:tx>
            <c:strRef>
              <c:f>Middle!$A$11</c:f>
              <c:strCache>
                <c:ptCount val="1"/>
                <c:pt idx="0">
                  <c:v>Maize: kg produced</c:v>
                </c:pt>
              </c:strCache>
            </c:strRef>
          </c:tx>
          <c:spPr>
            <a:solidFill>
              <a:srgbClr val="F2DCDB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Middle!$K$11:$M$11</c:f>
              <c:numCache>
                <c:formatCode>0%</c:formatCode>
                <c:ptCount val="3"/>
                <c:pt idx="0">
                  <c:v>0.269660667808219</c:v>
                </c:pt>
                <c:pt idx="1">
                  <c:v>0.293930127910959</c:v>
                </c:pt>
                <c:pt idx="2" formatCode="0.0%">
                  <c:v>0.391907769253235</c:v>
                </c:pt>
              </c:numCache>
            </c:numRef>
          </c:val>
        </c:ser>
        <c:ser>
          <c:idx val="6"/>
          <c:order val="6"/>
          <c:tx>
            <c:strRef>
              <c:f>Middle!$A$12</c:f>
              <c:strCache>
                <c:ptCount val="1"/>
                <c:pt idx="0">
                  <c:v>Maize (irrigated): kg produced</c:v>
                </c:pt>
              </c:strCache>
            </c:strRef>
          </c:tx>
          <c:spPr>
            <a:solidFill>
              <a:srgbClr val="95373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Middle!$K$12:$M$12</c:f>
              <c:numCache>
                <c:formatCode>0%</c:formatCode>
                <c:ptCount val="3"/>
                <c:pt idx="0">
                  <c:v>0.0147864297945205</c:v>
                </c:pt>
                <c:pt idx="1">
                  <c:v>0.0161172084760274</c:v>
                </c:pt>
                <c:pt idx="2" formatCode="0.0%">
                  <c:v>0.0196303509942763</c:v>
                </c:pt>
              </c:numCache>
            </c:numRef>
          </c:val>
        </c:ser>
        <c:ser>
          <c:idx val="7"/>
          <c:order val="7"/>
          <c:tx>
            <c:strRef>
              <c:f>Middle!$A$13</c:f>
              <c:strCache>
                <c:ptCount val="1"/>
                <c:pt idx="0">
                  <c:v>Beans: kg produced</c:v>
                </c:pt>
              </c:strCache>
            </c:strRef>
          </c:tx>
          <c:spPr>
            <a:solidFill>
              <a:srgbClr val="FCD5B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Middle!$K$13:$M$13</c:f>
              <c:numCache>
                <c:formatCode>0%</c:formatCode>
                <c:ptCount val="3"/>
                <c:pt idx="0">
                  <c:v>0.0355142254047323</c:v>
                </c:pt>
                <c:pt idx="1">
                  <c:v>0.0355142254047323</c:v>
                </c:pt>
                <c:pt idx="2" formatCode="0.0%">
                  <c:v>0.0361914689298401</c:v>
                </c:pt>
              </c:numCache>
            </c:numRef>
          </c:val>
        </c:ser>
        <c:ser>
          <c:idx val="9"/>
          <c:order val="8"/>
          <c:tx>
            <c:strRef>
              <c:f>Middle!$A$14</c:f>
              <c:strCache>
                <c:ptCount val="1"/>
                <c:pt idx="0">
                  <c:v>Cowpeas: kg produced</c:v>
                </c:pt>
              </c:strCache>
            </c:strRef>
          </c:tx>
          <c:spPr>
            <a:solidFill>
              <a:srgbClr val="E46C0A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Middle!$K$14:$M$14</c:f>
              <c:numCache>
                <c:formatCode>0%</c:formatCode>
                <c:ptCount val="3"/>
                <c:pt idx="0">
                  <c:v>0.00332389165628892</c:v>
                </c:pt>
                <c:pt idx="1">
                  <c:v>0.00332389165628892</c:v>
                </c:pt>
                <c:pt idx="2" formatCode="0.0%">
                  <c:v>0.00332389165628892</c:v>
                </c:pt>
              </c:numCache>
            </c:numRef>
          </c:val>
        </c:ser>
        <c:ser>
          <c:idx val="10"/>
          <c:order val="9"/>
          <c:tx>
            <c:strRef>
              <c:f>Middle!$A$15</c:f>
              <c:strCache>
                <c:ptCount val="1"/>
                <c:pt idx="0">
                  <c:v>Potato: kg produced</c:v>
                </c:pt>
              </c:strCache>
            </c:strRef>
          </c:tx>
          <c:spPr>
            <a:solidFill>
              <a:srgbClr val="604A7B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Middle!$K$15:$M$15</c:f>
              <c:numCache>
                <c:formatCode>0%</c:formatCode>
                <c:ptCount val="3"/>
                <c:pt idx="0">
                  <c:v>0.00144827268114939</c:v>
                </c:pt>
                <c:pt idx="1">
                  <c:v>0.00144827268114939</c:v>
                </c:pt>
                <c:pt idx="2" formatCode="0.0%">
                  <c:v>0.00204018524099174</c:v>
                </c:pt>
              </c:numCache>
            </c:numRef>
          </c:val>
        </c:ser>
        <c:ser>
          <c:idx val="11"/>
          <c:order val="10"/>
          <c:tx>
            <c:strRef>
              <c:f>Middle!$A$16</c:f>
              <c:strCache>
                <c:ptCount val="1"/>
                <c:pt idx="0">
                  <c:v>Sweet potato: no. local meas</c:v>
                </c:pt>
              </c:strCache>
            </c:strRef>
          </c:tx>
          <c:spPr>
            <a:solidFill>
              <a:srgbClr val="CCCC0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Middle!$K$16:$M$16</c:f>
              <c:numCache>
                <c:formatCode>0%</c:formatCode>
                <c:ptCount val="3"/>
                <c:pt idx="0">
                  <c:v>0.0171919779991698</c:v>
                </c:pt>
                <c:pt idx="1">
                  <c:v>0.0171919779991698</c:v>
                </c:pt>
                <c:pt idx="2" formatCode="0.0%">
                  <c:v>0.0257661931266467</c:v>
                </c:pt>
              </c:numCache>
            </c:numRef>
          </c:val>
        </c:ser>
        <c:ser>
          <c:idx val="12"/>
          <c:order val="11"/>
          <c:tx>
            <c:strRef>
              <c:f>Middle!$A$17</c:f>
              <c:strCache>
                <c:ptCount val="1"/>
                <c:pt idx="0">
                  <c:v>Water melon: no. local meas</c:v>
                </c:pt>
              </c:strCache>
            </c:strRef>
          </c:tx>
          <c:spPr>
            <a:solidFill>
              <a:srgbClr val="93CDDD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Middle!$K$17:$M$17</c:f>
              <c:numCache>
                <c:formatCode>0%</c:formatCode>
                <c:ptCount val="3"/>
                <c:pt idx="0">
                  <c:v>0.0037226805728518</c:v>
                </c:pt>
                <c:pt idx="1">
                  <c:v>0.0037226805728518</c:v>
                </c:pt>
                <c:pt idx="2" formatCode="0.0%">
                  <c:v>0.0037226805728518</c:v>
                </c:pt>
              </c:numCache>
            </c:numRef>
          </c:val>
        </c:ser>
        <c:ser>
          <c:idx val="13"/>
          <c:order val="12"/>
          <c:tx>
            <c:strRef>
              <c:f>Middle!$A$18</c:f>
              <c:strCache>
                <c:ptCount val="1"/>
                <c:pt idx="0">
                  <c:v>Groundnuts (dry): no. local meas</c:v>
                </c:pt>
              </c:strCache>
            </c:strRef>
          </c:tx>
          <c:spPr>
            <a:solidFill>
              <a:srgbClr val="CCFFCC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Middle!$K$18:$M$18</c:f>
              <c:numCache>
                <c:formatCode>0%</c:formatCode>
                <c:ptCount val="3"/>
                <c:pt idx="0">
                  <c:v>0.0187772415940224</c:v>
                </c:pt>
                <c:pt idx="1">
                  <c:v>0.0187772415940224</c:v>
                </c:pt>
                <c:pt idx="2" formatCode="0.0%">
                  <c:v>0.0210795328579594</c:v>
                </c:pt>
              </c:numCache>
            </c:numRef>
          </c:val>
        </c:ser>
        <c:ser>
          <c:idx val="14"/>
          <c:order val="13"/>
          <c:tx>
            <c:strRef>
              <c:f>Middle!$A$19</c:f>
              <c:strCache>
                <c:ptCount val="1"/>
                <c:pt idx="0">
                  <c:v>Other crop: Rape</c:v>
                </c:pt>
              </c:strCache>
            </c:strRef>
          </c:tx>
          <c:spPr>
            <a:solidFill>
              <a:srgbClr val="00808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Middle!$K$19:$M$19</c:f>
              <c:numCache>
                <c:formatCode>0%</c:formatCode>
                <c:ptCount val="3"/>
                <c:pt idx="0">
                  <c:v>0.00690963574097135</c:v>
                </c:pt>
                <c:pt idx="1">
                  <c:v>0.00690963574097135</c:v>
                </c:pt>
                <c:pt idx="2" formatCode="0.0%">
                  <c:v>0.00709612530967367</c:v>
                </c:pt>
              </c:numCache>
            </c:numRef>
          </c:val>
        </c:ser>
        <c:ser>
          <c:idx val="15"/>
          <c:order val="14"/>
          <c:tx>
            <c:strRef>
              <c:f>Middle!$A$20</c:f>
              <c:strCache>
                <c:ptCount val="1"/>
                <c:pt idx="0">
                  <c:v>Other crop: pumpkin</c:v>
                </c:pt>
              </c:strCache>
            </c:strRef>
          </c:tx>
          <c:spPr>
            <a:solidFill>
              <a:srgbClr val="558ED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Middle!$K$20:$M$20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6"/>
          <c:order val="15"/>
          <c:tx>
            <c:strRef>
              <c:f>Middle!$A$21</c:f>
              <c:strCache>
                <c:ptCount val="1"/>
                <c:pt idx="0">
                  <c:v>WILD FOODS -- see worksheet Data 3</c:v>
                </c:pt>
              </c:strCache>
            </c:strRef>
          </c:tx>
          <c:spPr>
            <a:solidFill>
              <a:srgbClr val="996633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Middle!$K$21:$M$21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8"/>
          <c:order val="16"/>
          <c:tx>
            <c:strRef>
              <c:f>Middle!$A$22</c:f>
              <c:strCache>
                <c:ptCount val="1"/>
                <c:pt idx="0">
                  <c:v>Labour: Weeding, ploughing</c:v>
                </c:pt>
              </c:strCache>
            </c:strRef>
          </c:tx>
          <c:spPr>
            <a:solidFill>
              <a:srgbClr val="FFFF99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Middle!$K$22:$M$22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7"/>
          <c:order val="17"/>
          <c:tx>
            <c:strRef>
              <c:f>Middle!$A$23</c:f>
              <c:strCache>
                <c:ptCount val="1"/>
                <c:pt idx="0">
                  <c:v>Labour: Weeding</c:v>
                </c:pt>
              </c:strCache>
            </c:strRef>
          </c:tx>
          <c:spPr>
            <a:ln w="3175" cmpd="sng">
              <a:solidFill>
                <a:srgbClr val="000000"/>
              </a:solidFill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Middle!$K$23:$M$23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8"/>
          <c:order val="18"/>
          <c:tx>
            <c:strRef>
              <c:f>Middle!$A$24</c:f>
              <c:strCache>
                <c:ptCount val="1"/>
                <c:pt idx="0">
                  <c:v>Gifts/remittances: cereal</c:v>
                </c:pt>
              </c:strCache>
            </c:strRef>
          </c:tx>
          <c:spPr>
            <a:ln w="3175" cmpd="sng">
              <a:solidFill>
                <a:srgbClr val="000000"/>
              </a:solidFill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Middle!$K$24:$M$24</c:f>
              <c:numCache>
                <c:formatCode>0%</c:formatCode>
                <c:ptCount val="3"/>
                <c:pt idx="0">
                  <c:v>0.00314574844333748</c:v>
                </c:pt>
                <c:pt idx="1">
                  <c:v>0.00314574844333748</c:v>
                </c:pt>
                <c:pt idx="2" formatCode="0.0%">
                  <c:v>0.00314574844333748</c:v>
                </c:pt>
              </c:numCache>
            </c:numRef>
          </c:val>
        </c:ser>
        <c:ser>
          <c:idx val="19"/>
          <c:order val="19"/>
          <c:tx>
            <c:strRef>
              <c:f>Middle!$A$25</c:f>
              <c:strCache>
                <c:ptCount val="1"/>
                <c:pt idx="0">
                  <c:v>Gifts/remittances: sugar</c:v>
                </c:pt>
              </c:strCache>
            </c:strRef>
          </c:tx>
          <c:spPr>
            <a:ln w="3175" cmpd="sng">
              <a:solidFill>
                <a:srgbClr val="000000"/>
              </a:solidFill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Middle!$K$25:$M$25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20"/>
          <c:order val="20"/>
          <c:tx>
            <c:strRef>
              <c:f>Middle!$A$26</c:f>
              <c:strCache>
                <c:ptCount val="1"/>
                <c:pt idx="0">
                  <c:v>Food aid</c:v>
                </c:pt>
              </c:strCache>
            </c:strRef>
          </c:tx>
          <c:spPr>
            <a:ln w="3175" cmpd="sng">
              <a:solidFill>
                <a:srgbClr val="000000"/>
              </a:solidFill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Middle!$K$26:$M$26</c:f>
              <c:numCache>
                <c:formatCode>0%</c:formatCode>
                <c:ptCount val="3"/>
                <c:pt idx="0">
                  <c:v>0.0440917107583774</c:v>
                </c:pt>
                <c:pt idx="1">
                  <c:v>0.0440917107583774</c:v>
                </c:pt>
                <c:pt idx="2" formatCode="0.0%">
                  <c:v>0.0440917107583774</c:v>
                </c:pt>
              </c:numCache>
            </c:numRef>
          </c:val>
        </c:ser>
        <c:ser>
          <c:idx val="21"/>
          <c:order val="21"/>
          <c:tx>
            <c:strRef>
              <c:f>Middle!$A$27</c:f>
              <c:strCache>
                <c:ptCount val="1"/>
                <c:pt idx="0">
                  <c:v>Purchase - other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3175" cmpd="sng">
              <a:solidFill>
                <a:srgbClr val="000000"/>
              </a:solidFill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Middle!$K$27:$M$27</c:f>
              <c:numCache>
                <c:formatCode>0%</c:formatCode>
                <c:ptCount val="3"/>
                <c:pt idx="0">
                  <c:v>0.0172322160647572</c:v>
                </c:pt>
                <c:pt idx="1">
                  <c:v>0.0172322160647572</c:v>
                </c:pt>
                <c:pt idx="2" formatCode="0.0%">
                  <c:v>0.0137107918000421</c:v>
                </c:pt>
              </c:numCache>
            </c:numRef>
          </c:val>
        </c:ser>
        <c:ser>
          <c:idx val="22"/>
          <c:order val="22"/>
          <c:tx>
            <c:strRef>
              <c:f>Middle!$A$28</c:f>
              <c:strCache>
                <c:ptCount val="1"/>
                <c:pt idx="0">
                  <c:v>Purchase - desirable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 w="3175" cmpd="sng">
              <a:solidFill>
                <a:srgbClr val="000000"/>
              </a:solidFill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Middle!$K$28:$M$28</c:f>
              <c:numCache>
                <c:formatCode>0%</c:formatCode>
                <c:ptCount val="3"/>
                <c:pt idx="0">
                  <c:v>0.00344120547945205</c:v>
                </c:pt>
                <c:pt idx="1">
                  <c:v>0.00344120547945205</c:v>
                </c:pt>
                <c:pt idx="2" formatCode="0.0%">
                  <c:v>0.00273799096370581</c:v>
                </c:pt>
              </c:numCache>
            </c:numRef>
          </c:val>
        </c:ser>
        <c:ser>
          <c:idx val="23"/>
          <c:order val="23"/>
          <c:tx>
            <c:strRef>
              <c:f>Middle!$A$29</c:f>
              <c:strCache>
                <c:ptCount val="1"/>
                <c:pt idx="0">
                  <c:v>Purchase - fpl non staple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 w="3175" cmpd="sng">
              <a:solidFill>
                <a:srgbClr val="000000"/>
              </a:solidFill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Middle!$K$29:$M$29</c:f>
              <c:numCache>
                <c:formatCode>0%</c:formatCode>
                <c:ptCount val="3"/>
                <c:pt idx="0">
                  <c:v>0.223533994987547</c:v>
                </c:pt>
                <c:pt idx="1">
                  <c:v>0.223533994987547</c:v>
                </c:pt>
                <c:pt idx="2" formatCode="0.0%">
                  <c:v>0.223759349205148</c:v>
                </c:pt>
              </c:numCache>
            </c:numRef>
          </c:val>
        </c:ser>
        <c:ser>
          <c:idx val="24"/>
          <c:order val="24"/>
          <c:tx>
            <c:strRef>
              <c:f>Middle!$A$30</c:f>
              <c:strCache>
                <c:ptCount val="1"/>
                <c:pt idx="0">
                  <c:v>Purchase - staple</c:v>
                </c:pt>
              </c:strCache>
            </c:strRef>
          </c:tx>
          <c:spPr>
            <a:solidFill>
              <a:srgbClr val="F7F4B3"/>
            </a:solidFill>
            <a:ln w="3175" cmpd="sng">
              <a:solidFill>
                <a:srgbClr val="000000"/>
              </a:solidFill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Middle!$K$30:$M$30</c:f>
              <c:numCache>
                <c:formatCode>0%</c:formatCode>
                <c:ptCount val="3"/>
                <c:pt idx="0">
                  <c:v>0.619034050809464</c:v>
                </c:pt>
                <c:pt idx="1">
                  <c:v>0.317553394520625</c:v>
                </c:pt>
                <c:pt idx="2" formatCode="0.0%">
                  <c:v>0.140293936422079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-1995708600"/>
        <c:axId val="-1996430008"/>
      </c:barChart>
      <c:catAx>
        <c:axId val="-19957086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-199643000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19964300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Helvetica Light"/>
                    <a:ea typeface="Arial"/>
                    <a:cs typeface="Helvetica Light"/>
                  </a:defRPr>
                </a:pPr>
                <a:r>
                  <a:rPr lang="en-ZA" sz="1000" b="0" i="0">
                    <a:latin typeface="Helvetica Light"/>
                    <a:cs typeface="Helvetica Light"/>
                  </a:rPr>
                  <a:t>% min. food energy needs</a:t>
                </a:r>
              </a:p>
            </c:rich>
          </c:tx>
          <c:layout>
            <c:manualLayout>
              <c:xMode val="edge"/>
              <c:yMode val="edge"/>
              <c:x val="0.0465806982836893"/>
              <c:y val="0.241086558635033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-1995708600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"/>
          <c:y val="0.770655332963563"/>
          <c:w val="0.993747736609297"/>
          <c:h val="0.216671586771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00" b="0" i="0" u="none" strike="noStrike" baseline="0">
              <a:solidFill>
                <a:srgbClr val="000000"/>
              </a:solidFill>
              <a:latin typeface="Helvetica Light"/>
              <a:ea typeface="Arial"/>
              <a:cs typeface="Helvetica Light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995444191344"/>
          <c:y val="0.0664820663976653"/>
          <c:w val="0.728929384965831"/>
          <c:h val="0.66315861231671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Rich!$A$6</c:f>
              <c:strCache>
                <c:ptCount val="1"/>
                <c:pt idx="0">
                  <c:v>Cows' milk - season 1</c:v>
                </c:pt>
              </c:strCache>
            </c:strRef>
          </c:tx>
          <c:spPr>
            <a:solidFill>
              <a:srgbClr val="FFFFFF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Rich!$K$6:$M$6</c:f>
              <c:numCache>
                <c:formatCode>0%</c:formatCode>
                <c:ptCount val="3"/>
                <c:pt idx="0">
                  <c:v>0.0872367934531222</c:v>
                </c:pt>
                <c:pt idx="1">
                  <c:v>0.0436183967265611</c:v>
                </c:pt>
                <c:pt idx="2" formatCode="0.0%">
                  <c:v>0.0436183967265611</c:v>
                </c:pt>
              </c:numCache>
            </c:numRef>
          </c:val>
        </c:ser>
        <c:ser>
          <c:idx val="1"/>
          <c:order val="1"/>
          <c:tx>
            <c:strRef>
              <c:f>Rich!$A$7</c:f>
              <c:strCache>
                <c:ptCount val="1"/>
                <c:pt idx="0">
                  <c:v>Cows' milk - season 2</c:v>
                </c:pt>
              </c:strCache>
            </c:strRef>
          </c:tx>
          <c:spPr>
            <a:solidFill>
              <a:srgbClr val="00B05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Rich!$K$7:$M$7</c:f>
              <c:numCache>
                <c:formatCode>0%</c:formatCode>
                <c:ptCount val="3"/>
                <c:pt idx="0">
                  <c:v>0.0214516705212596</c:v>
                </c:pt>
                <c:pt idx="1">
                  <c:v>0.0107258352606298</c:v>
                </c:pt>
                <c:pt idx="2" formatCode="0.0%">
                  <c:v>0.0107258352606298</c:v>
                </c:pt>
              </c:numCache>
            </c:numRef>
          </c:val>
        </c:ser>
        <c:ser>
          <c:idx val="2"/>
          <c:order val="2"/>
          <c:tx>
            <c:strRef>
              <c:f>Rich!$A$8</c:f>
              <c:strCache>
                <c:ptCount val="1"/>
                <c:pt idx="0">
                  <c:v>Own meat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Rich!$K$8:$M$8</c:f>
              <c:numCache>
                <c:formatCode>0%</c:formatCode>
                <c:ptCount val="3"/>
                <c:pt idx="0">
                  <c:v>0.0499890683745478</c:v>
                </c:pt>
                <c:pt idx="1">
                  <c:v>0.0249945341872739</c:v>
                </c:pt>
                <c:pt idx="2" formatCode="0.0%">
                  <c:v>0.0249945341872739</c:v>
                </c:pt>
              </c:numCache>
            </c:numRef>
          </c:val>
        </c:ser>
        <c:ser>
          <c:idx val="3"/>
          <c:order val="3"/>
          <c:tx>
            <c:strRef>
              <c:f>Rich!$A$9</c:f>
              <c:strCache>
                <c:ptCount val="1"/>
                <c:pt idx="0">
                  <c:v>Green cons - Season 1: no of months</c:v>
                </c:pt>
              </c:strCache>
            </c:strRef>
          </c:tx>
          <c:spPr>
            <a:solidFill>
              <a:srgbClr val="D7E4BD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Rich!$K$9:$M$9</c:f>
              <c:numCache>
                <c:formatCode>0%</c:formatCode>
                <c:ptCount val="3"/>
                <c:pt idx="0">
                  <c:v>0.00388888888888889</c:v>
                </c:pt>
                <c:pt idx="1">
                  <c:v>0.00388888888888889</c:v>
                </c:pt>
                <c:pt idx="2" formatCode="0.0%">
                  <c:v>0.00388888888888889</c:v>
                </c:pt>
              </c:numCache>
            </c:numRef>
          </c:val>
        </c:ser>
        <c:ser>
          <c:idx val="4"/>
          <c:order val="4"/>
          <c:tx>
            <c:strRef>
              <c:f>Rich!$A$10</c:f>
              <c:strCache>
                <c:ptCount val="1"/>
                <c:pt idx="0">
                  <c:v>Green beans </c:v>
                </c:pt>
              </c:strCache>
            </c:strRef>
          </c:tx>
          <c:spPr>
            <a:solidFill>
              <a:srgbClr val="66FF33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Rich!$K$10:$M$10</c:f>
              <c:numCache>
                <c:formatCode>0%</c:formatCode>
                <c:ptCount val="3"/>
                <c:pt idx="0">
                  <c:v>0.00944444444444444</c:v>
                </c:pt>
                <c:pt idx="1">
                  <c:v>0.00944444444444444</c:v>
                </c:pt>
                <c:pt idx="2" formatCode="0.0%">
                  <c:v>0.00944444444444444</c:v>
                </c:pt>
              </c:numCache>
            </c:numRef>
          </c:val>
        </c:ser>
        <c:ser>
          <c:idx val="5"/>
          <c:order val="5"/>
          <c:tx>
            <c:strRef>
              <c:f>Rich!$A$11</c:f>
              <c:strCache>
                <c:ptCount val="1"/>
                <c:pt idx="0">
                  <c:v>Maize: kg produced</c:v>
                </c:pt>
              </c:strCache>
            </c:strRef>
          </c:tx>
          <c:spPr>
            <a:solidFill>
              <a:srgbClr val="F2DCDB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Rich!$K$11:$M$11</c:f>
              <c:numCache>
                <c:formatCode>0%</c:formatCode>
                <c:ptCount val="3"/>
                <c:pt idx="0">
                  <c:v>0.254758450097847</c:v>
                </c:pt>
                <c:pt idx="1">
                  <c:v>0.277686710606654</c:v>
                </c:pt>
                <c:pt idx="2" formatCode="0.0%">
                  <c:v>0.250492810915219</c:v>
                </c:pt>
              </c:numCache>
            </c:numRef>
          </c:val>
        </c:ser>
        <c:ser>
          <c:idx val="6"/>
          <c:order val="6"/>
          <c:tx>
            <c:strRef>
              <c:f>Rich!$A$12</c:f>
              <c:strCache>
                <c:ptCount val="1"/>
                <c:pt idx="0">
                  <c:v>Maize (irrigated): kg produced</c:v>
                </c:pt>
              </c:strCache>
            </c:strRef>
          </c:tx>
          <c:spPr>
            <a:solidFill>
              <a:srgbClr val="1FB714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Rich!$K$12:$M$12</c:f>
              <c:numCache>
                <c:formatCode>0%</c:formatCode>
                <c:ptCount val="3"/>
                <c:pt idx="0">
                  <c:v>0.0168987769080235</c:v>
                </c:pt>
                <c:pt idx="1">
                  <c:v>0.0184196668297456</c:v>
                </c:pt>
                <c:pt idx="2" formatCode="0.0%">
                  <c:v>0.0179885878386</c:v>
                </c:pt>
              </c:numCache>
            </c:numRef>
          </c:val>
        </c:ser>
        <c:ser>
          <c:idx val="7"/>
          <c:order val="7"/>
          <c:tx>
            <c:strRef>
              <c:f>Rich!$A$13</c:f>
              <c:strCache>
                <c:ptCount val="1"/>
                <c:pt idx="0">
                  <c:v>Beans: kg produced</c:v>
                </c:pt>
              </c:strCache>
            </c:strRef>
          </c:tx>
          <c:spPr>
            <a:solidFill>
              <a:srgbClr val="CCCCFF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Rich!$K$13:$M$13</c:f>
              <c:numCache>
                <c:formatCode>0%</c:formatCode>
                <c:ptCount val="3"/>
                <c:pt idx="0">
                  <c:v>0.031095404732254</c:v>
                </c:pt>
                <c:pt idx="1">
                  <c:v>0.031095404732254</c:v>
                </c:pt>
                <c:pt idx="2" formatCode="0.0%">
                  <c:v>0.0299873921611845</c:v>
                </c:pt>
              </c:numCache>
            </c:numRef>
          </c:val>
        </c:ser>
        <c:ser>
          <c:idx val="9"/>
          <c:order val="8"/>
          <c:tx>
            <c:strRef>
              <c:f>Rich!$A$14</c:f>
              <c:strCache>
                <c:ptCount val="1"/>
                <c:pt idx="0">
                  <c:v>Cowpeas: kg produced</c:v>
                </c:pt>
              </c:strCache>
            </c:strRef>
          </c:tx>
          <c:spPr>
            <a:solidFill>
              <a:srgbClr val="969696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Rich!$K$14:$M$14</c:f>
              <c:numCache>
                <c:formatCode>0%</c:formatCode>
                <c:ptCount val="3"/>
                <c:pt idx="0">
                  <c:v>0.00949683330368262</c:v>
                </c:pt>
                <c:pt idx="1">
                  <c:v>0.00949683330368262</c:v>
                </c:pt>
                <c:pt idx="2" formatCode="0.0%">
                  <c:v>0.00949683330368262</c:v>
                </c:pt>
              </c:numCache>
            </c:numRef>
          </c:val>
        </c:ser>
        <c:ser>
          <c:idx val="10"/>
          <c:order val="9"/>
          <c:tx>
            <c:strRef>
              <c:f>Rich!$A$15</c:f>
              <c:strCache>
                <c:ptCount val="1"/>
                <c:pt idx="0">
                  <c:v>Potato: kg produced</c:v>
                </c:pt>
              </c:strCache>
            </c:strRef>
          </c:tx>
          <c:spPr>
            <a:solidFill>
              <a:srgbClr val="FCF30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Rich!$K$15:$M$15</c:f>
              <c:numCache>
                <c:formatCode>0%</c:formatCode>
                <c:ptCount val="3"/>
                <c:pt idx="0">
                  <c:v>0.00362068170287348</c:v>
                </c:pt>
                <c:pt idx="1">
                  <c:v>0.00362068170287348</c:v>
                </c:pt>
                <c:pt idx="2" formatCode="0.0%">
                  <c:v>0.00330292354996539</c:v>
                </c:pt>
              </c:numCache>
            </c:numRef>
          </c:val>
        </c:ser>
        <c:ser>
          <c:idx val="11"/>
          <c:order val="10"/>
          <c:tx>
            <c:strRef>
              <c:f>Rich!$A$16</c:f>
              <c:strCache>
                <c:ptCount val="1"/>
                <c:pt idx="0">
                  <c:v>Sweet potato: no. local meas</c:v>
                </c:pt>
              </c:strCache>
            </c:strRef>
          </c:tx>
          <c:spPr>
            <a:solidFill>
              <a:srgbClr val="00ABEA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Rich!$K$16:$M$16</c:f>
              <c:numCache>
                <c:formatCode>0%</c:formatCode>
                <c:ptCount val="3"/>
                <c:pt idx="0">
                  <c:v>0.0279026626341695</c:v>
                </c:pt>
                <c:pt idx="1">
                  <c:v>0.0279026626341695</c:v>
                </c:pt>
                <c:pt idx="2" formatCode="0.0%">
                  <c:v>0.0257467513437064</c:v>
                </c:pt>
              </c:numCache>
            </c:numRef>
          </c:val>
        </c:ser>
        <c:ser>
          <c:idx val="12"/>
          <c:order val="11"/>
          <c:tx>
            <c:strRef>
              <c:f>Rich!$A$17</c:f>
              <c:strCache>
                <c:ptCount val="1"/>
                <c:pt idx="0">
                  <c:v>Water melon: no. local meas</c:v>
                </c:pt>
              </c:strCache>
            </c:strRef>
          </c:tx>
          <c:spPr>
            <a:solidFill>
              <a:srgbClr val="93CDDD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Rich!$K$17:$M$17</c:f>
              <c:numCache>
                <c:formatCode>0%</c:formatCode>
                <c:ptCount val="3"/>
                <c:pt idx="0">
                  <c:v>0.00425449208325921</c:v>
                </c:pt>
                <c:pt idx="1">
                  <c:v>0.00425449208325921</c:v>
                </c:pt>
                <c:pt idx="2" formatCode="0.0%">
                  <c:v>0.00425449208325921</c:v>
                </c:pt>
              </c:numCache>
            </c:numRef>
          </c:val>
        </c:ser>
        <c:ser>
          <c:idx val="13"/>
          <c:order val="12"/>
          <c:tx>
            <c:strRef>
              <c:f>Rich!$A$18</c:f>
              <c:strCache>
                <c:ptCount val="1"/>
                <c:pt idx="0">
                  <c:v>Groundnuts (dry): no. local meas</c:v>
                </c:pt>
              </c:strCache>
            </c:strRef>
          </c:tx>
          <c:spPr>
            <a:solidFill>
              <a:srgbClr val="CCFFCC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Rich!$K$18:$M$18</c:f>
              <c:numCache>
                <c:formatCode>0%</c:formatCode>
                <c:ptCount val="3"/>
                <c:pt idx="0">
                  <c:v>0.0171677637431062</c:v>
                </c:pt>
                <c:pt idx="1">
                  <c:v>0.0171677637431062</c:v>
                </c:pt>
                <c:pt idx="2" formatCode="0.0%">
                  <c:v>0.0167910945586649</c:v>
                </c:pt>
              </c:numCache>
            </c:numRef>
          </c:val>
        </c:ser>
        <c:ser>
          <c:idx val="14"/>
          <c:order val="13"/>
          <c:tx>
            <c:strRef>
              <c:f>Rich!$A$19</c:f>
              <c:strCache>
                <c:ptCount val="1"/>
                <c:pt idx="0">
                  <c:v>Other crop: Rape</c:v>
                </c:pt>
              </c:strCache>
            </c:strRef>
          </c:tx>
          <c:spPr>
            <a:solidFill>
              <a:srgbClr val="00808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Rich!$K$19:$M$19</c:f>
              <c:numCache>
                <c:formatCode>0%</c:formatCode>
                <c:ptCount val="3"/>
                <c:pt idx="0">
                  <c:v>0.00789672656111012</c:v>
                </c:pt>
                <c:pt idx="1">
                  <c:v>0.00789672656111012</c:v>
                </c:pt>
                <c:pt idx="2" formatCode="0.0%">
                  <c:v>0.00787384342024186</c:v>
                </c:pt>
              </c:numCache>
            </c:numRef>
          </c:val>
        </c:ser>
        <c:ser>
          <c:idx val="15"/>
          <c:order val="14"/>
          <c:tx>
            <c:strRef>
              <c:f>Rich!$A$20</c:f>
              <c:strCache>
                <c:ptCount val="1"/>
                <c:pt idx="0">
                  <c:v>Other crop: pumpkin</c:v>
                </c:pt>
              </c:strCache>
            </c:strRef>
          </c:tx>
          <c:spPr>
            <a:solidFill>
              <a:srgbClr val="0000D4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Rich!$K$20:$M$20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6"/>
          <c:order val="15"/>
          <c:tx>
            <c:strRef>
              <c:f>Rich!$A$21</c:f>
              <c:strCache>
                <c:ptCount val="1"/>
                <c:pt idx="0">
                  <c:v>WILD FOODS -- see worksheet Data 3</c:v>
                </c:pt>
              </c:strCache>
            </c:strRef>
          </c:tx>
          <c:spPr>
            <a:solidFill>
              <a:srgbClr val="996633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Rich!$K$21:$M$21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8"/>
          <c:order val="16"/>
          <c:tx>
            <c:strRef>
              <c:f>Rich!$A$22</c:f>
              <c:strCache>
                <c:ptCount val="1"/>
                <c:pt idx="0">
                  <c:v>Labour: Weeding, ploughing</c:v>
                </c:pt>
              </c:strCache>
            </c:strRef>
          </c:tx>
          <c:spPr>
            <a:solidFill>
              <a:srgbClr val="FFFF99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Rich!$K$22:$M$22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7"/>
          <c:order val="17"/>
          <c:tx>
            <c:strRef>
              <c:f>Rich!$A$23</c:f>
              <c:strCache>
                <c:ptCount val="1"/>
                <c:pt idx="0">
                  <c:v>Labour: Weeding</c:v>
                </c:pt>
              </c:strCache>
            </c:strRef>
          </c:tx>
          <c:spPr>
            <a:ln w="3175" cmpd="sng">
              <a:solidFill>
                <a:schemeClr val="tx1"/>
              </a:solidFill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Rich!$K$23:$M$23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8"/>
          <c:order val="18"/>
          <c:tx>
            <c:strRef>
              <c:f>Rich!$A$24</c:f>
              <c:strCache>
                <c:ptCount val="1"/>
                <c:pt idx="0">
                  <c:v>Gifts/remittances: cereal</c:v>
                </c:pt>
              </c:strCache>
            </c:strRef>
          </c:tx>
          <c:spPr>
            <a:ln w="3175" cmpd="sng">
              <a:solidFill>
                <a:schemeClr val="tx1"/>
              </a:solidFill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Rich!$K$24:$M$24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9"/>
          <c:order val="19"/>
          <c:tx>
            <c:strRef>
              <c:f>Rich!$A$25</c:f>
              <c:strCache>
                <c:ptCount val="1"/>
                <c:pt idx="0">
                  <c:v>Gifts/remittances: sugar</c:v>
                </c:pt>
              </c:strCache>
            </c:strRef>
          </c:tx>
          <c:spPr>
            <a:ln w="3175" cmpd="sng">
              <a:solidFill>
                <a:schemeClr val="tx1"/>
              </a:solidFill>
            </a:ln>
          </c:spPr>
          <c:invertIfNegative val="0"/>
          <c:val>
            <c:numRef>
              <c:f>Rich!$K$25:$M$25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20"/>
          <c:order val="20"/>
          <c:tx>
            <c:strRef>
              <c:f>Rich!$A$26</c:f>
              <c:strCache>
                <c:ptCount val="1"/>
                <c:pt idx="0">
                  <c:v>Food aid</c:v>
                </c:pt>
              </c:strCache>
            </c:strRef>
          </c:tx>
          <c:spPr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Rich!$K$26:$M$26</c:f>
              <c:numCache>
                <c:formatCode>0%</c:formatCode>
                <c:ptCount val="3"/>
                <c:pt idx="0">
                  <c:v>0.0440917107583774</c:v>
                </c:pt>
                <c:pt idx="1">
                  <c:v>0.0440917107583774</c:v>
                </c:pt>
                <c:pt idx="2" formatCode="0.0%">
                  <c:v>0.0440917107583774</c:v>
                </c:pt>
              </c:numCache>
            </c:numRef>
          </c:val>
        </c:ser>
        <c:ser>
          <c:idx val="21"/>
          <c:order val="21"/>
          <c:tx>
            <c:strRef>
              <c:f>Rich!$A$27</c:f>
              <c:strCache>
                <c:ptCount val="1"/>
                <c:pt idx="0">
                  <c:v>Purchase - other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3175" cmpd="sng">
              <a:solidFill>
                <a:schemeClr val="tx1"/>
              </a:solidFill>
            </a:ln>
          </c:spPr>
          <c:invertIfNegative val="0"/>
          <c:val>
            <c:numRef>
              <c:f>Rich!$K$27:$M$27</c:f>
              <c:numCache>
                <c:formatCode>0%</c:formatCode>
                <c:ptCount val="3"/>
                <c:pt idx="0">
                  <c:v>0.0114890588863192</c:v>
                </c:pt>
                <c:pt idx="1">
                  <c:v>0.0114890588863192</c:v>
                </c:pt>
                <c:pt idx="2" formatCode="0.0%">
                  <c:v>0.011741134491824</c:v>
                </c:pt>
              </c:numCache>
            </c:numRef>
          </c:val>
        </c:ser>
        <c:ser>
          <c:idx val="22"/>
          <c:order val="22"/>
          <c:tx>
            <c:strRef>
              <c:f>Rich!$A$28</c:f>
              <c:strCache>
                <c:ptCount val="1"/>
                <c:pt idx="0">
                  <c:v>Purchase - desirable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Rich!$K$28:$M$28</c:f>
              <c:numCache>
                <c:formatCode>0%</c:formatCode>
                <c:ptCount val="3"/>
                <c:pt idx="0">
                  <c:v>0.00688241095890411</c:v>
                </c:pt>
                <c:pt idx="1">
                  <c:v>0.00688241095890411</c:v>
                </c:pt>
                <c:pt idx="2" formatCode="0.0%">
                  <c:v>0.00703341444204101</c:v>
                </c:pt>
              </c:numCache>
            </c:numRef>
          </c:val>
        </c:ser>
        <c:ser>
          <c:idx val="23"/>
          <c:order val="23"/>
          <c:tx>
            <c:strRef>
              <c:f>Rich!$A$29</c:f>
              <c:strCache>
                <c:ptCount val="1"/>
                <c:pt idx="0">
                  <c:v>Purchase - fpl non staple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Rich!$K$29:$M$29</c:f>
              <c:numCache>
                <c:formatCode>0%</c:formatCode>
                <c:ptCount val="3"/>
                <c:pt idx="0">
                  <c:v>0.267550001779043</c:v>
                </c:pt>
                <c:pt idx="1">
                  <c:v>0.267550001779043</c:v>
                </c:pt>
                <c:pt idx="2" formatCode="0.0%">
                  <c:v>0.26849153911454</c:v>
                </c:pt>
              </c:numCache>
            </c:numRef>
          </c:val>
        </c:ser>
        <c:ser>
          <c:idx val="24"/>
          <c:order val="24"/>
          <c:tx>
            <c:strRef>
              <c:f>Rich!$A$30</c:f>
              <c:strCache>
                <c:ptCount val="1"/>
                <c:pt idx="0">
                  <c:v>Purchase - staple</c:v>
                </c:pt>
              </c:strCache>
            </c:strRef>
          </c:tx>
          <c:spPr>
            <a:solidFill>
              <a:srgbClr val="F7F4B3"/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Rich!$K$30:$M$30</c:f>
              <c:numCache>
                <c:formatCode>0%</c:formatCode>
                <c:ptCount val="3"/>
                <c:pt idx="0">
                  <c:v>0.65368818174702</c:v>
                </c:pt>
                <c:pt idx="1">
                  <c:v>0.366237833549466</c:v>
                </c:pt>
                <c:pt idx="2" formatCode="0.0%">
                  <c:v>0.210035372510895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-1997318072"/>
        <c:axId val="-1997343784"/>
      </c:barChart>
      <c:catAx>
        <c:axId val="-1997318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-199734378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199734378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Helvetica Light"/>
                    <a:ea typeface="Arial"/>
                    <a:cs typeface="Helvetica Light"/>
                  </a:defRPr>
                </a:pPr>
                <a:r>
                  <a:rPr lang="en-ZA" sz="1000" b="0" i="0">
                    <a:latin typeface="Helvetica Light"/>
                    <a:cs typeface="Helvetica Light"/>
                  </a:rPr>
                  <a:t>% min. food energy needs</a:t>
                </a:r>
              </a:p>
            </c:rich>
          </c:tx>
          <c:layout>
            <c:manualLayout>
              <c:xMode val="edge"/>
              <c:yMode val="edge"/>
              <c:x val="0.0113895874955929"/>
              <c:y val="0.244321629973637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-1997318072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6604033909248"/>
          <c:y val="0.0666297947099587"/>
          <c:w val="0.731321832726758"/>
          <c:h val="0.65963496762859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V.Poor!$A$6</c:f>
              <c:strCache>
                <c:ptCount val="1"/>
                <c:pt idx="0">
                  <c:v>Cows' milk - season 1</c:v>
                </c:pt>
              </c:strCache>
            </c:strRef>
          </c:tx>
          <c:spPr>
            <a:solidFill>
              <a:srgbClr val="9999FF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V.Poor!$K$6:$M$6</c:f>
              <c:numCache>
                <c:formatCode>0%</c:formatCode>
                <c:ptCount val="3"/>
                <c:pt idx="0">
                  <c:v>0.0208557907845579</c:v>
                </c:pt>
                <c:pt idx="1">
                  <c:v>0.010427895392279</c:v>
                </c:pt>
                <c:pt idx="2" formatCode="0.0%">
                  <c:v>0.010427895392279</c:v>
                </c:pt>
              </c:numCache>
            </c:numRef>
          </c:val>
        </c:ser>
        <c:ser>
          <c:idx val="1"/>
          <c:order val="1"/>
          <c:tx>
            <c:strRef>
              <c:f>V.Poor!$A$7</c:f>
              <c:strCache>
                <c:ptCount val="1"/>
                <c:pt idx="0">
                  <c:v>Cows' milk - season 2</c:v>
                </c:pt>
              </c:strCache>
            </c:strRef>
          </c:tx>
          <c:spPr>
            <a:solidFill>
              <a:srgbClr val="00B05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V.Poor!$K$7:$M$7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2"/>
          <c:order val="2"/>
          <c:tx>
            <c:strRef>
              <c:f>V.Poor!$A$8</c:f>
              <c:strCache>
                <c:ptCount val="1"/>
                <c:pt idx="0">
                  <c:v>Own meat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V.Poor!$K$8:$M$8</c:f>
              <c:numCache>
                <c:formatCode>0%</c:formatCode>
                <c:ptCount val="3"/>
                <c:pt idx="0">
                  <c:v>0.0170177459526775</c:v>
                </c:pt>
                <c:pt idx="1">
                  <c:v>0.00850887297633873</c:v>
                </c:pt>
                <c:pt idx="2" formatCode="0.0%">
                  <c:v>0.00850887297633873</c:v>
                </c:pt>
              </c:numCache>
            </c:numRef>
          </c:val>
        </c:ser>
        <c:ser>
          <c:idx val="3"/>
          <c:order val="3"/>
          <c:tx>
            <c:strRef>
              <c:f>V.Poor!$A$9</c:f>
              <c:strCache>
                <c:ptCount val="1"/>
                <c:pt idx="0">
                  <c:v>Green cons - Season 1: no of months</c:v>
                </c:pt>
              </c:strCache>
            </c:strRef>
          </c:tx>
          <c:spPr>
            <a:solidFill>
              <a:srgbClr val="CCFFCC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V.Poor!$K$9:$M$9</c:f>
              <c:numCache>
                <c:formatCode>0%</c:formatCode>
                <c:ptCount val="3"/>
                <c:pt idx="0">
                  <c:v>0.0372222222222222</c:v>
                </c:pt>
                <c:pt idx="1">
                  <c:v>0.0372222222222222</c:v>
                </c:pt>
                <c:pt idx="2" formatCode="0.0%">
                  <c:v>0.0372222222222222</c:v>
                </c:pt>
              </c:numCache>
            </c:numRef>
          </c:val>
        </c:ser>
        <c:ser>
          <c:idx val="4"/>
          <c:order val="4"/>
          <c:tx>
            <c:strRef>
              <c:f>V.Poor!$A$10</c:f>
              <c:strCache>
                <c:ptCount val="1"/>
                <c:pt idx="0">
                  <c:v>Green beans </c:v>
                </c:pt>
              </c:strCache>
            </c:strRef>
          </c:tx>
          <c:spPr>
            <a:solidFill>
              <a:srgbClr val="FF990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V.Poor!$K$10:$M$10</c:f>
              <c:numCache>
                <c:formatCode>0%</c:formatCode>
                <c:ptCount val="3"/>
                <c:pt idx="0">
                  <c:v>0.0208333333333333</c:v>
                </c:pt>
                <c:pt idx="1">
                  <c:v>0.0208333333333333</c:v>
                </c:pt>
                <c:pt idx="2" formatCode="0.0%">
                  <c:v>0.0208333333333333</c:v>
                </c:pt>
              </c:numCache>
            </c:numRef>
          </c:val>
        </c:ser>
        <c:ser>
          <c:idx val="5"/>
          <c:order val="5"/>
          <c:tx>
            <c:strRef>
              <c:f>V.Poor!$A$11</c:f>
              <c:strCache>
                <c:ptCount val="1"/>
                <c:pt idx="0">
                  <c:v>Maize: kg produced</c:v>
                </c:pt>
              </c:strCache>
            </c:strRef>
          </c:tx>
          <c:spPr>
            <a:solidFill>
              <a:srgbClr val="F20884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V.Poor!$K$11:$M$11</c:f>
              <c:numCache>
                <c:formatCode>0%</c:formatCode>
                <c:ptCount val="3"/>
                <c:pt idx="0">
                  <c:v>0.125388924657534</c:v>
                </c:pt>
                <c:pt idx="1">
                  <c:v>0.136673927876712</c:v>
                </c:pt>
                <c:pt idx="2" formatCode="0.0%">
                  <c:v>0.136673927876712</c:v>
                </c:pt>
              </c:numCache>
            </c:numRef>
          </c:val>
        </c:ser>
        <c:ser>
          <c:idx val="6"/>
          <c:order val="6"/>
          <c:tx>
            <c:strRef>
              <c:f>V.Poor!$A$12</c:f>
              <c:strCache>
                <c:ptCount val="1"/>
                <c:pt idx="0">
                  <c:v>Maize (irrigated): kg produced</c:v>
                </c:pt>
              </c:strCache>
            </c:strRef>
          </c:tx>
          <c:spPr>
            <a:solidFill>
              <a:srgbClr val="FCD5B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V.Poor!$K$12:$M$12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7"/>
          <c:order val="7"/>
          <c:tx>
            <c:strRef>
              <c:f>V.Poor!$A$13</c:f>
              <c:strCache>
                <c:ptCount val="1"/>
                <c:pt idx="0">
                  <c:v>Beans: kg produced</c:v>
                </c:pt>
              </c:strCache>
            </c:strRef>
          </c:tx>
          <c:spPr>
            <a:solidFill>
              <a:srgbClr val="95373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V.Poor!$K$13:$M$13</c:f>
              <c:numCache>
                <c:formatCode>0%</c:formatCode>
                <c:ptCount val="3"/>
                <c:pt idx="0">
                  <c:v>0.00965594146948941</c:v>
                </c:pt>
                <c:pt idx="1">
                  <c:v>0.00965594146948941</c:v>
                </c:pt>
                <c:pt idx="2" formatCode="0.0%">
                  <c:v>0.00965594146948941</c:v>
                </c:pt>
              </c:numCache>
            </c:numRef>
          </c:val>
        </c:ser>
        <c:ser>
          <c:idx val="9"/>
          <c:order val="8"/>
          <c:tx>
            <c:strRef>
              <c:f>V.Poor!$A$14</c:f>
              <c:strCache>
                <c:ptCount val="1"/>
                <c:pt idx="0">
                  <c:v>Cowpeas: kg produced</c:v>
                </c:pt>
              </c:strCache>
            </c:strRef>
          </c:tx>
          <c:spPr>
            <a:solidFill>
              <a:srgbClr val="E46C0A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V.Poor!$K$14:$M$14</c:f>
              <c:numCache>
                <c:formatCode>0%</c:formatCode>
                <c:ptCount val="3"/>
                <c:pt idx="0">
                  <c:v>0.000553981942714819</c:v>
                </c:pt>
                <c:pt idx="1">
                  <c:v>0.000553981942714819</c:v>
                </c:pt>
                <c:pt idx="2" formatCode="0.0%">
                  <c:v>0.000553981942714819</c:v>
                </c:pt>
              </c:numCache>
            </c:numRef>
          </c:val>
        </c:ser>
        <c:ser>
          <c:idx val="10"/>
          <c:order val="9"/>
          <c:tx>
            <c:strRef>
              <c:f>V.Poor!$A$15</c:f>
              <c:strCache>
                <c:ptCount val="1"/>
                <c:pt idx="0">
                  <c:v>Potato: kg produced</c:v>
                </c:pt>
              </c:strCache>
            </c:strRef>
          </c:tx>
          <c:spPr>
            <a:solidFill>
              <a:srgbClr val="604A7B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V.Poor!$K$15:$M$15</c:f>
              <c:numCache>
                <c:formatCode>0%</c:formatCode>
                <c:ptCount val="3"/>
                <c:pt idx="0">
                  <c:v>0.00181034085143674</c:v>
                </c:pt>
                <c:pt idx="1">
                  <c:v>0.00181034085143674</c:v>
                </c:pt>
                <c:pt idx="2" formatCode="0.0%">
                  <c:v>0.00181034085143674</c:v>
                </c:pt>
              </c:numCache>
            </c:numRef>
          </c:val>
        </c:ser>
        <c:ser>
          <c:idx val="11"/>
          <c:order val="10"/>
          <c:tx>
            <c:strRef>
              <c:f>V.Poor!$A$16</c:f>
              <c:strCache>
                <c:ptCount val="1"/>
                <c:pt idx="0">
                  <c:v>Sweet potato: no. local meas</c:v>
                </c:pt>
              </c:strCache>
            </c:strRef>
          </c:tx>
          <c:spPr>
            <a:solidFill>
              <a:srgbClr val="CCCC0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V.Poor!$K$16:$M$16</c:f>
              <c:numCache>
                <c:formatCode>0%</c:formatCode>
                <c:ptCount val="3"/>
                <c:pt idx="0">
                  <c:v>0.00398841635533416</c:v>
                </c:pt>
                <c:pt idx="1">
                  <c:v>0.00398841635533416</c:v>
                </c:pt>
                <c:pt idx="2" formatCode="0.0%">
                  <c:v>0.0332178424657534</c:v>
                </c:pt>
              </c:numCache>
            </c:numRef>
          </c:val>
        </c:ser>
        <c:ser>
          <c:idx val="12"/>
          <c:order val="11"/>
          <c:tx>
            <c:strRef>
              <c:f>V.Poor!$A$17</c:f>
              <c:strCache>
                <c:ptCount val="1"/>
                <c:pt idx="0">
                  <c:v>Water melon: no. local meas</c:v>
                </c:pt>
              </c:strCache>
            </c:strRef>
          </c:tx>
          <c:spPr>
            <a:solidFill>
              <a:srgbClr val="93CDDD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V.Poor!$K$17:$M$17</c:f>
              <c:numCache>
                <c:formatCode>0%</c:formatCode>
                <c:ptCount val="3"/>
                <c:pt idx="0">
                  <c:v>0.0037226805728518</c:v>
                </c:pt>
                <c:pt idx="1">
                  <c:v>0.0037226805728518</c:v>
                </c:pt>
                <c:pt idx="2" formatCode="0.0%">
                  <c:v>0.0037226805728518</c:v>
                </c:pt>
              </c:numCache>
            </c:numRef>
          </c:val>
        </c:ser>
        <c:ser>
          <c:idx val="13"/>
          <c:order val="12"/>
          <c:tx>
            <c:strRef>
              <c:f>V.Poor!$A$18</c:f>
              <c:strCache>
                <c:ptCount val="1"/>
                <c:pt idx="0">
                  <c:v>Groundnuts (dry): no. local meas</c:v>
                </c:pt>
              </c:strCache>
            </c:strRef>
          </c:tx>
          <c:spPr>
            <a:solidFill>
              <a:srgbClr val="CCFFCC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V.Poor!$K$18:$M$18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0.00172750622665006</c:v>
                </c:pt>
              </c:numCache>
            </c:numRef>
          </c:val>
        </c:ser>
        <c:ser>
          <c:idx val="14"/>
          <c:order val="13"/>
          <c:tx>
            <c:strRef>
              <c:f>V.Poor!$A$19</c:f>
              <c:strCache>
                <c:ptCount val="1"/>
                <c:pt idx="0">
                  <c:v>Other crop: Rape</c:v>
                </c:pt>
              </c:strCache>
            </c:strRef>
          </c:tx>
          <c:spPr>
            <a:solidFill>
              <a:srgbClr val="00808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V.Poor!$K$19:$M$19</c:f>
              <c:numCache>
                <c:formatCode>0%</c:formatCode>
                <c:ptCount val="3"/>
                <c:pt idx="0">
                  <c:v>0.00156444582814446</c:v>
                </c:pt>
                <c:pt idx="1">
                  <c:v>0.00156444582814446</c:v>
                </c:pt>
                <c:pt idx="2" formatCode="0.0%">
                  <c:v>0.00156444582814446</c:v>
                </c:pt>
              </c:numCache>
            </c:numRef>
          </c:val>
        </c:ser>
        <c:ser>
          <c:idx val="15"/>
          <c:order val="14"/>
          <c:tx>
            <c:strRef>
              <c:f>V.Poor!$A$20</c:f>
              <c:strCache>
                <c:ptCount val="1"/>
                <c:pt idx="0">
                  <c:v>Other crop: pumpkin</c:v>
                </c:pt>
              </c:strCache>
            </c:strRef>
          </c:tx>
          <c:spPr>
            <a:solidFill>
              <a:srgbClr val="558ED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V.Poor!$K$20:$M$20</c:f>
              <c:numCache>
                <c:formatCode>0%</c:formatCode>
                <c:ptCount val="3"/>
                <c:pt idx="0">
                  <c:v>0.019552303860523</c:v>
                </c:pt>
                <c:pt idx="1">
                  <c:v>0.019552303860523</c:v>
                </c:pt>
                <c:pt idx="2" formatCode="0.0%">
                  <c:v>0.019552303860523</c:v>
                </c:pt>
              </c:numCache>
            </c:numRef>
          </c:val>
        </c:ser>
        <c:ser>
          <c:idx val="16"/>
          <c:order val="15"/>
          <c:tx>
            <c:strRef>
              <c:f>V.Poor!$A$21</c:f>
              <c:strCache>
                <c:ptCount val="1"/>
                <c:pt idx="0">
                  <c:v>WILD FOODS -- see worksheet Data 3</c:v>
                </c:pt>
              </c:strCache>
            </c:strRef>
          </c:tx>
          <c:spPr>
            <a:solidFill>
              <a:srgbClr val="996633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V.Poor!$K$21:$M$21</c:f>
              <c:numCache>
                <c:formatCode>0%</c:formatCode>
                <c:ptCount val="3"/>
                <c:pt idx="0">
                  <c:v>0.00386428497301785</c:v>
                </c:pt>
                <c:pt idx="1">
                  <c:v>0.00386428497301785</c:v>
                </c:pt>
                <c:pt idx="2" formatCode="0.0%">
                  <c:v>0.0</c:v>
                </c:pt>
              </c:numCache>
            </c:numRef>
          </c:val>
        </c:ser>
        <c:ser>
          <c:idx val="8"/>
          <c:order val="16"/>
          <c:tx>
            <c:strRef>
              <c:f>V.Poor!$A$22</c:f>
              <c:strCache>
                <c:ptCount val="1"/>
                <c:pt idx="0">
                  <c:v>Labour: Weeding, ploughing</c:v>
                </c:pt>
              </c:strCache>
            </c:strRef>
          </c:tx>
          <c:spPr>
            <a:solidFill>
              <a:srgbClr val="FFFF99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V.Poor!$K$22:$M$22</c:f>
              <c:numCache>
                <c:formatCode>0%</c:formatCode>
                <c:ptCount val="3"/>
                <c:pt idx="0">
                  <c:v>0.0512596232876712</c:v>
                </c:pt>
                <c:pt idx="1">
                  <c:v>0.0512596232876712</c:v>
                </c:pt>
                <c:pt idx="2" formatCode="0.0%">
                  <c:v>0.0512596232876712</c:v>
                </c:pt>
              </c:numCache>
            </c:numRef>
          </c:val>
        </c:ser>
        <c:ser>
          <c:idx val="17"/>
          <c:order val="17"/>
          <c:tx>
            <c:strRef>
              <c:f>V.Poor!$A$23</c:f>
              <c:strCache>
                <c:ptCount val="1"/>
                <c:pt idx="0">
                  <c:v>Labour: Weeding</c:v>
                </c:pt>
              </c:strCache>
            </c:strRef>
          </c:tx>
          <c:spPr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V.Poor!$K$23:$M$23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8"/>
          <c:order val="18"/>
          <c:tx>
            <c:strRef>
              <c:f>V.Poor!$A$24</c:f>
              <c:strCache>
                <c:ptCount val="1"/>
                <c:pt idx="0">
                  <c:v>Gifts/remittances: cereal</c:v>
                </c:pt>
              </c:strCache>
            </c:strRef>
          </c:tx>
          <c:spPr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V.Poor!$K$24:$M$24</c:f>
              <c:numCache>
                <c:formatCode>0%</c:formatCode>
                <c:ptCount val="3"/>
                <c:pt idx="0">
                  <c:v>0.0082575896637609</c:v>
                </c:pt>
                <c:pt idx="1">
                  <c:v>0.0082575896637609</c:v>
                </c:pt>
                <c:pt idx="2" formatCode="0.0%">
                  <c:v>0.0082575896637609</c:v>
                </c:pt>
              </c:numCache>
            </c:numRef>
          </c:val>
        </c:ser>
        <c:ser>
          <c:idx val="19"/>
          <c:order val="19"/>
          <c:tx>
            <c:strRef>
              <c:f>V.Poor!$A$25</c:f>
              <c:strCache>
                <c:ptCount val="1"/>
                <c:pt idx="0">
                  <c:v>Gifts/remittances: sugar</c:v>
                </c:pt>
              </c:strCache>
            </c:strRef>
          </c:tx>
          <c:spPr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V.Poor!$K$25:$M$25</c:f>
              <c:numCache>
                <c:formatCode>0%</c:formatCode>
                <c:ptCount val="3"/>
                <c:pt idx="0">
                  <c:v>0.00173798256537983</c:v>
                </c:pt>
                <c:pt idx="1">
                  <c:v>0.00173798256537983</c:v>
                </c:pt>
                <c:pt idx="2" formatCode="0.0%">
                  <c:v>0.00173798256537983</c:v>
                </c:pt>
              </c:numCache>
            </c:numRef>
          </c:val>
        </c:ser>
        <c:ser>
          <c:idx val="20"/>
          <c:order val="20"/>
          <c:tx>
            <c:strRef>
              <c:f>V.Poor!$A$26</c:f>
              <c:strCache>
                <c:ptCount val="1"/>
                <c:pt idx="0">
                  <c:v>Food aid</c:v>
                </c:pt>
              </c:strCache>
            </c:strRef>
          </c:tx>
          <c:spPr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V.Poor!$K$26:$M$26</c:f>
              <c:numCache>
                <c:formatCode>0%</c:formatCode>
                <c:ptCount val="3"/>
                <c:pt idx="0">
                  <c:v>0.110579403570385</c:v>
                </c:pt>
                <c:pt idx="1">
                  <c:v>0.110579403570385</c:v>
                </c:pt>
                <c:pt idx="2" formatCode="0.0%">
                  <c:v>0.110579403570385</c:v>
                </c:pt>
              </c:numCache>
            </c:numRef>
          </c:val>
        </c:ser>
        <c:ser>
          <c:idx val="21"/>
          <c:order val="21"/>
          <c:tx>
            <c:strRef>
              <c:f>V.Poor!$A$27</c:f>
              <c:strCache>
                <c:ptCount val="1"/>
                <c:pt idx="0">
                  <c:v>Purchase - other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V.Poor!$K$27:$M$27</c:f>
              <c:numCache>
                <c:formatCode>0%</c:formatCode>
                <c:ptCount val="3"/>
                <c:pt idx="0">
                  <c:v>0.00840492714819427</c:v>
                </c:pt>
                <c:pt idx="1">
                  <c:v>0.00840492714819427</c:v>
                </c:pt>
                <c:pt idx="2" formatCode="0.0%">
                  <c:v>0.0</c:v>
                </c:pt>
              </c:numCache>
            </c:numRef>
          </c:val>
        </c:ser>
        <c:ser>
          <c:idx val="22"/>
          <c:order val="22"/>
          <c:tx>
            <c:strRef>
              <c:f>V.Poor!$A$28</c:f>
              <c:strCache>
                <c:ptCount val="1"/>
                <c:pt idx="0">
                  <c:v>Purchase - desirable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V.Poor!$K$28:$M$28</c:f>
              <c:numCache>
                <c:formatCode>0%</c:formatCode>
                <c:ptCount val="3"/>
                <c:pt idx="0">
                  <c:v>0.00430150684931507</c:v>
                </c:pt>
                <c:pt idx="1">
                  <c:v>0.00430150684931507</c:v>
                </c:pt>
                <c:pt idx="2" formatCode="0.0%">
                  <c:v>0.0</c:v>
                </c:pt>
              </c:numCache>
            </c:numRef>
          </c:val>
        </c:ser>
        <c:ser>
          <c:idx val="23"/>
          <c:order val="23"/>
          <c:tx>
            <c:strRef>
              <c:f>V.Poor!$A$29</c:f>
              <c:strCache>
                <c:ptCount val="1"/>
                <c:pt idx="0">
                  <c:v>Purchase - fpl non staple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V.Poor!$K$29:$M$29</c:f>
              <c:numCache>
                <c:formatCode>0%</c:formatCode>
                <c:ptCount val="3"/>
                <c:pt idx="0">
                  <c:v>0.103759429898298</c:v>
                </c:pt>
                <c:pt idx="1">
                  <c:v>0.103759429898298</c:v>
                </c:pt>
                <c:pt idx="2" formatCode="0.0%">
                  <c:v>0.224636773941997</c:v>
                </c:pt>
              </c:numCache>
            </c:numRef>
          </c:val>
        </c:ser>
        <c:ser>
          <c:idx val="24"/>
          <c:order val="24"/>
          <c:tx>
            <c:strRef>
              <c:f>V.Poor!$A$30</c:f>
              <c:strCache>
                <c:ptCount val="1"/>
                <c:pt idx="0">
                  <c:v>Purchase - staple</c:v>
                </c:pt>
              </c:strCache>
            </c:strRef>
          </c:tx>
          <c:spPr>
            <a:solidFill>
              <a:srgbClr val="F7F4B3"/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V.Poor!$K$30:$M$30</c:f>
              <c:numCache>
                <c:formatCode>0%</c:formatCode>
                <c:ptCount val="3"/>
                <c:pt idx="0">
                  <c:v>0.611190535491905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-2003010888"/>
        <c:axId val="-1996991960"/>
      </c:barChart>
      <c:catAx>
        <c:axId val="-2003010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-19969919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19969919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Helvetica Light"/>
                    <a:ea typeface="Arial"/>
                    <a:cs typeface="Helvetica Light"/>
                  </a:defRPr>
                </a:pPr>
                <a:r>
                  <a:rPr lang="en-ZA" sz="1000" b="0" i="0">
                    <a:latin typeface="Helvetica Light"/>
                    <a:cs typeface="Helvetica Light"/>
                  </a:rPr>
                  <a:t>% min. food energy needs</a:t>
                </a:r>
              </a:p>
            </c:rich>
          </c:tx>
          <c:layout>
            <c:manualLayout>
              <c:xMode val="edge"/>
              <c:yMode val="edge"/>
              <c:x val="0.0113206977446403"/>
              <c:y val="0.243198775153106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-2003010888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ZA"/>
              <a:t>'Poor'</a:t>
            </a:r>
          </a:p>
        </c:rich>
      </c:tx>
      <c:overlay val="1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5048543689321"/>
          <c:y val="0.0888789786232473"/>
          <c:w val="0.447795934716144"/>
          <c:h val="0.81826616805642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Poor!$A$6</c:f>
              <c:strCache>
                <c:ptCount val="1"/>
                <c:pt idx="0">
                  <c:v>Cows' milk - season 1</c:v>
                </c:pt>
              </c:strCache>
            </c:strRef>
          </c:tx>
          <c:spPr>
            <a:solidFill>
              <a:srgbClr val="FFFFFF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(Poor!$AA$6,Poor!$AC$6,Poor!$AE$6,Poor!$AG$6)</c:f>
              <c:numCache>
                <c:formatCode>0.0%</c:formatCode>
                <c:ptCount val="4"/>
                <c:pt idx="0">
                  <c:v>0.0167228682440847</c:v>
                </c:pt>
                <c:pt idx="1">
                  <c:v>0.0167228682440847</c:v>
                </c:pt>
                <c:pt idx="2">
                  <c:v>0.0324620383561644</c:v>
                </c:pt>
                <c:pt idx="3">
                  <c:v>0.0324620383561644</c:v>
                </c:pt>
              </c:numCache>
            </c:numRef>
          </c:val>
        </c:ser>
        <c:ser>
          <c:idx val="12"/>
          <c:order val="1"/>
          <c:tx>
            <c:strRef>
              <c:f>Poor!$A$7</c:f>
              <c:strCache>
                <c:ptCount val="1"/>
                <c:pt idx="0">
                  <c:v>Cows' milk - season 2</c:v>
                </c:pt>
              </c:strCache>
            </c:strRef>
          </c:tx>
          <c:spPr>
            <a:solidFill>
              <a:srgbClr val="00B05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(Poor!$AA$7,Poor!$AC$7,Poor!$AE$7,Poor!$AG$7)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0.00625673723536737</c:v>
                </c:pt>
              </c:numCache>
            </c:numRef>
          </c:val>
        </c:ser>
        <c:ser>
          <c:idx val="2"/>
          <c:order val="2"/>
          <c:tx>
            <c:strRef>
              <c:f>Poor!$A$8</c:f>
              <c:strCache>
                <c:ptCount val="1"/>
                <c:pt idx="0">
                  <c:v>Own meat</c:v>
                </c:pt>
              </c:strCache>
            </c:strRef>
          </c:tx>
          <c:spPr>
            <a:solidFill>
              <a:srgbClr val="92D05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(Poor!$AA$8,Poor!$AC$8,Poor!$AE$8,Poor!$AG$8)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0.044535803237858</c:v>
                </c:pt>
              </c:numCache>
            </c:numRef>
          </c:val>
        </c:ser>
        <c:ser>
          <c:idx val="3"/>
          <c:order val="3"/>
          <c:tx>
            <c:strRef>
              <c:f>Poor!$A$9</c:f>
              <c:strCache>
                <c:ptCount val="1"/>
                <c:pt idx="0">
                  <c:v>Green cons - Season 1: no of months</c:v>
                </c:pt>
              </c:strCache>
            </c:strRef>
          </c:tx>
          <c:spPr>
            <a:solidFill>
              <a:srgbClr val="D7E4BD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(Poor!$AA$9,Poor!$AC$9,Poor!$AE$9,Poor!$AG$9)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0.0711111111111111</c:v>
                </c:pt>
              </c:numCache>
            </c:numRef>
          </c:val>
        </c:ser>
        <c:ser>
          <c:idx val="4"/>
          <c:order val="4"/>
          <c:tx>
            <c:strRef>
              <c:f>Poor!$A$10</c:f>
              <c:strCache>
                <c:ptCount val="1"/>
                <c:pt idx="0">
                  <c:v>Green beans </c:v>
                </c:pt>
              </c:strCache>
            </c:strRef>
          </c:tx>
          <c:spPr>
            <a:solidFill>
              <a:srgbClr val="66FF33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(Poor!$AA$10,Poor!$AC$10,Poor!$AE$10,Poor!$AG$10)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0.0377777777777778</c:v>
                </c:pt>
              </c:numCache>
            </c:numRef>
          </c:val>
        </c:ser>
        <c:ser>
          <c:idx val="5"/>
          <c:order val="5"/>
          <c:tx>
            <c:strRef>
              <c:f>Poor!$A$11</c:f>
              <c:strCache>
                <c:ptCount val="1"/>
                <c:pt idx="0">
                  <c:v>Maize: kg produced</c:v>
                </c:pt>
              </c:strCache>
            </c:strRef>
          </c:tx>
          <c:spPr>
            <a:solidFill>
              <a:srgbClr val="E6B9B8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F2DCDB"/>
              </a:solidFill>
              <a:ln w="3175">
                <a:solidFill>
                  <a:srgbClr val="000000"/>
                </a:solidFill>
                <a:prstDash val="solid"/>
              </a:ln>
            </c:spPr>
          </c:dPt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(Poor!$AA$11,Poor!$AC$11,Poor!$AE$11,Poor!$AG$11)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1.189569372260274</c:v>
                </c:pt>
              </c:numCache>
            </c:numRef>
          </c:val>
        </c:ser>
        <c:ser>
          <c:idx val="6"/>
          <c:order val="6"/>
          <c:tx>
            <c:strRef>
              <c:f>Poor!$A$12</c:f>
              <c:strCache>
                <c:ptCount val="1"/>
                <c:pt idx="0">
                  <c:v>Maize (irrigated): kg produced</c:v>
                </c:pt>
              </c:strCache>
            </c:strRef>
          </c:tx>
          <c:spPr>
            <a:solidFill>
              <a:srgbClr val="FCD5B5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(Poor!$AA$12,Poor!$AC$12,Poor!$AE$12,Poor!$AG$12)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0.0892678453458904</c:v>
                </c:pt>
                <c:pt idx="3">
                  <c:v>0.0439677447226027</c:v>
                </c:pt>
              </c:numCache>
            </c:numRef>
          </c:val>
        </c:ser>
        <c:ser>
          <c:idx val="7"/>
          <c:order val="7"/>
          <c:tx>
            <c:strRef>
              <c:f>Poor!$A$13</c:f>
              <c:strCache>
                <c:ptCount val="1"/>
                <c:pt idx="0">
                  <c:v>Beans: kg produced</c:v>
                </c:pt>
              </c:strCache>
            </c:strRef>
          </c:tx>
          <c:spPr>
            <a:solidFill>
              <a:srgbClr val="953735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(Poor!$AA$13,Poor!$AC$13,Poor!$AE$13,Poor!$AG$13)</c:f>
              <c:numCache>
                <c:formatCode>0.0%</c:formatCode>
                <c:ptCount val="4"/>
                <c:pt idx="0">
                  <c:v>0.148685132627646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6"/>
          <c:order val="8"/>
          <c:tx>
            <c:strRef>
              <c:f>Poor!$A$14</c:f>
              <c:strCache>
                <c:ptCount val="1"/>
                <c:pt idx="0">
                  <c:v>Cowpeas: kg produced</c:v>
                </c:pt>
              </c:strCache>
            </c:strRef>
          </c:tx>
          <c:spPr>
            <a:solidFill>
              <a:srgbClr val="E46C0A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(Poor!$AA$14,Poor!$AC$14,Poor!$AE$14,Poor!$AG$14)</c:f>
              <c:numCache>
                <c:formatCode>0.0%</c:formatCode>
                <c:ptCount val="4"/>
                <c:pt idx="0">
                  <c:v>0.0</c:v>
                </c:pt>
                <c:pt idx="1">
                  <c:v>0.0029545703611457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8"/>
          <c:order val="9"/>
          <c:tx>
            <c:strRef>
              <c:f>Poor!$A$15</c:f>
              <c:strCache>
                <c:ptCount val="1"/>
                <c:pt idx="0">
                  <c:v>Potato: kg produced</c:v>
                </c:pt>
              </c:strCache>
            </c:strRef>
          </c:tx>
          <c:spPr>
            <a:solidFill>
              <a:srgbClr val="604A7B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(Poor!$AA$15,Poor!$AC$15,Poor!$AE$15,Poor!$AG$15)</c:f>
              <c:numCache>
                <c:formatCode>0.0%</c:formatCode>
                <c:ptCount val="4"/>
                <c:pt idx="0">
                  <c:v>0.00181034085143674</c:v>
                </c:pt>
                <c:pt idx="1">
                  <c:v>0.00181034085143674</c:v>
                </c:pt>
                <c:pt idx="2">
                  <c:v>0.00181034085143674</c:v>
                </c:pt>
                <c:pt idx="3">
                  <c:v>0.00181034085143674</c:v>
                </c:pt>
              </c:numCache>
            </c:numRef>
          </c:val>
        </c:ser>
        <c:ser>
          <c:idx val="1"/>
          <c:order val="10"/>
          <c:tx>
            <c:strRef>
              <c:f>Poor!$A$16</c:f>
              <c:strCache>
                <c:ptCount val="1"/>
                <c:pt idx="0">
                  <c:v>Sweet potato: no. local meas</c:v>
                </c:pt>
              </c:strCache>
            </c:strRef>
          </c:tx>
          <c:spPr>
            <a:solidFill>
              <a:srgbClr val="CCCC0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(Poor!$AA$16,Poor!$AC$16,Poor!$AE$16,Poor!$AG$16)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0.177161826484018</c:v>
                </c:pt>
              </c:numCache>
            </c:numRef>
          </c:val>
        </c:ser>
        <c:ser>
          <c:idx val="9"/>
          <c:order val="11"/>
          <c:tx>
            <c:strRef>
              <c:f>Poor!$A$17</c:f>
              <c:strCache>
                <c:ptCount val="1"/>
                <c:pt idx="0">
                  <c:v>Water melon: no. local meas</c:v>
                </c:pt>
              </c:strCache>
            </c:strRef>
          </c:tx>
          <c:spPr>
            <a:solidFill>
              <a:srgbClr val="93CDDD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(Poor!$AA$17,Poor!$AC$17,Poor!$AE$17,Poor!$AG$17)</c:f>
              <c:numCache>
                <c:formatCode>0.0%</c:formatCode>
                <c:ptCount val="4"/>
                <c:pt idx="0">
                  <c:v>0.0122171447384807</c:v>
                </c:pt>
                <c:pt idx="1">
                  <c:v>0.00733194847447073</c:v>
                </c:pt>
                <c:pt idx="2">
                  <c:v>0.00977454660647571</c:v>
                </c:pt>
                <c:pt idx="3">
                  <c:v>0.0122171447384807</c:v>
                </c:pt>
              </c:numCache>
            </c:numRef>
          </c:val>
        </c:ser>
        <c:ser>
          <c:idx val="10"/>
          <c:order val="12"/>
          <c:tx>
            <c:strRef>
              <c:f>Poor!$A$28</c:f>
              <c:strCache>
                <c:ptCount val="1"/>
                <c:pt idx="0">
                  <c:v>Purchase - desirable</c:v>
                </c:pt>
              </c:strCache>
            </c:strRef>
          </c:tx>
          <c:spPr>
            <a:solidFill>
              <a:srgbClr val="558ED5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(Poor!$AA$28,Poor!$AC$28,Poor!$AE$28,Poor!$AG$28)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1"/>
          <c:order val="13"/>
          <c:tx>
            <c:strRef>
              <c:f>Poor!$A$29</c:f>
              <c:strCache>
                <c:ptCount val="1"/>
                <c:pt idx="0">
                  <c:v>Purchase - fpl non staple</c:v>
                </c:pt>
              </c:strCache>
            </c:strRef>
          </c:tx>
          <c:spPr>
            <a:solidFill>
              <a:srgbClr val="996633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(Poor!$AA$29,Poor!$AC$29,Poor!$AE$29,Poor!$AG$29)</c:f>
              <c:numCache>
                <c:formatCode>0.0%</c:formatCode>
                <c:ptCount val="4"/>
                <c:pt idx="0">
                  <c:v>0.224636773941997</c:v>
                </c:pt>
                <c:pt idx="1">
                  <c:v>0.224636773941997</c:v>
                </c:pt>
                <c:pt idx="2">
                  <c:v>0.224636773941997</c:v>
                </c:pt>
                <c:pt idx="3">
                  <c:v>0.224636773941997</c:v>
                </c:pt>
              </c:numCache>
            </c:numRef>
          </c:val>
        </c:ser>
        <c:ser>
          <c:idx val="13"/>
          <c:order val="14"/>
          <c:tx>
            <c:strRef>
              <c:f>Poor!$A$30</c:f>
              <c:strCache>
                <c:ptCount val="1"/>
                <c:pt idx="0">
                  <c:v>Purchase - staple</c:v>
                </c:pt>
              </c:strCache>
            </c:strRef>
          </c:tx>
          <c:spPr>
            <a:solidFill>
              <a:srgbClr val="FFFF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(Poor!$AA$30,Poor!$AC$30,Poor!$AE$30,Poor!$AG$30)</c:f>
              <c:numCache>
                <c:formatCode>0.0%;[Red]"Adjust!"</c:formatCode>
                <c:ptCount val="4"/>
                <c:pt idx="0">
                  <c:v>-0.55203998533873</c:v>
                </c:pt>
                <c:pt idx="1">
                  <c:v>-0.369453584995164</c:v>
                </c:pt>
                <c:pt idx="2">
                  <c:v>-0.489933949130521</c:v>
                </c:pt>
                <c:pt idx="3">
                  <c:v>1.865956205807818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-2005135496"/>
        <c:axId val="-2010117848"/>
      </c:barChart>
      <c:catAx>
        <c:axId val="-2005135496"/>
        <c:scaling>
          <c:orientation val="minMax"/>
        </c:scaling>
        <c:delete val="0"/>
        <c:axPos val="b"/>
        <c:numFmt formatCode="0.0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10117848"/>
        <c:crossesAt val="-0.2"/>
        <c:auto val="1"/>
        <c:lblAlgn val="ctr"/>
        <c:lblOffset val="100"/>
        <c:tickLblSkip val="1"/>
        <c:tickMarkSkip val="1"/>
        <c:noMultiLvlLbl val="0"/>
      </c:catAx>
      <c:valAx>
        <c:axId val="-201011784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ZA"/>
                  <a:t>% min. food energy needs</a:t>
                </a:r>
              </a:p>
            </c:rich>
          </c:tx>
          <c:layout>
            <c:manualLayout>
              <c:xMode val="edge"/>
              <c:yMode val="edge"/>
              <c:x val="0.0106118497482897"/>
              <c:y val="0.331106082212164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05135496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22950819672131"/>
          <c:y val="0.0984251968503937"/>
          <c:w val="0.321311475409836"/>
          <c:h val="0.732282534565069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41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0000000000002" r="0.750000000000002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ZA"/>
              <a:t>'Very Poor'</a:t>
            </a:r>
          </a:p>
        </c:rich>
      </c:tx>
      <c:overlay val="1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5048543689321"/>
          <c:y val="0.0888789786232473"/>
          <c:w val="0.447795934716144"/>
          <c:h val="0.81826616805642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V.Poor!$A$6</c:f>
              <c:strCache>
                <c:ptCount val="1"/>
                <c:pt idx="0">
                  <c:v>Cows' milk - season 1</c:v>
                </c:pt>
              </c:strCache>
            </c:strRef>
          </c:tx>
          <c:spPr>
            <a:solidFill>
              <a:srgbClr val="FFFFFF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(V.Poor!$AA$6,V.Poor!$AC$6,V.Poor!$AE$6,V.Poor!$AG$6)</c:f>
              <c:numCache>
                <c:formatCode>0.0%</c:formatCode>
                <c:ptCount val="4"/>
                <c:pt idx="0">
                  <c:v>0.00709096886674969</c:v>
                </c:pt>
                <c:pt idx="1">
                  <c:v>0.00709096886674969</c:v>
                </c:pt>
                <c:pt idx="2">
                  <c:v>0.0137648219178082</c:v>
                </c:pt>
                <c:pt idx="3">
                  <c:v>0.0137648219178082</c:v>
                </c:pt>
              </c:numCache>
            </c:numRef>
          </c:val>
        </c:ser>
        <c:ser>
          <c:idx val="12"/>
          <c:order val="1"/>
          <c:tx>
            <c:strRef>
              <c:f>V.Poor!$A$7</c:f>
              <c:strCache>
                <c:ptCount val="1"/>
                <c:pt idx="0">
                  <c:v>Cows' milk - season 2</c:v>
                </c:pt>
              </c:strCache>
            </c:strRef>
          </c:tx>
          <c:spPr>
            <a:solidFill>
              <a:srgbClr val="00B05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(V.Poor!$AA$7,V.Poor!$AC$7,V.Poor!$AE$7,V.Poor!$AG$7)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V.Poor!$A$8</c:f>
              <c:strCache>
                <c:ptCount val="1"/>
                <c:pt idx="0">
                  <c:v>Own meat</c:v>
                </c:pt>
              </c:strCache>
            </c:strRef>
          </c:tx>
          <c:spPr>
            <a:solidFill>
              <a:srgbClr val="92D05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(V.Poor!$AA$8,V.Poor!$AC$8,V.Poor!$AE$8,V.Poor!$AG$8)</c:f>
              <c:numCache>
                <c:formatCode>0.0%</c:formatCode>
                <c:ptCount val="4"/>
                <c:pt idx="0">
                  <c:v>0.0257568474726715</c:v>
                </c:pt>
                <c:pt idx="1">
                  <c:v>0.00827864443268338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3"/>
          <c:order val="3"/>
          <c:tx>
            <c:strRef>
              <c:f>V.Poor!$A$9</c:f>
              <c:strCache>
                <c:ptCount val="1"/>
                <c:pt idx="0">
                  <c:v>Green cons - Season 1: no of months</c:v>
                </c:pt>
              </c:strCache>
            </c:strRef>
          </c:tx>
          <c:spPr>
            <a:solidFill>
              <a:srgbClr val="D7E4BD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(V.Poor!$AA$9,V.Poor!$AC$9,V.Poor!$AE$9,V.Poor!$AG$9)</c:f>
              <c:numCache>
                <c:formatCode>0.0%</c:formatCode>
                <c:ptCount val="4"/>
                <c:pt idx="0">
                  <c:v>0.112673805689387</c:v>
                </c:pt>
                <c:pt idx="1">
                  <c:v>0.0362150831995022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4"/>
          <c:order val="4"/>
          <c:tx>
            <c:strRef>
              <c:f>V.Poor!$A$10</c:f>
              <c:strCache>
                <c:ptCount val="1"/>
                <c:pt idx="0">
                  <c:v>Green beans </c:v>
                </c:pt>
              </c:strCache>
            </c:strRef>
          </c:tx>
          <c:spPr>
            <a:solidFill>
              <a:srgbClr val="66FF33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(V.Poor!$AA$10,V.Poor!$AC$10,V.Poor!$AE$10,V.Poor!$AG$10)</c:f>
              <c:numCache>
                <c:formatCode>0.0%</c:formatCode>
                <c:ptCount val="4"/>
                <c:pt idx="0">
                  <c:v>0.0630636972142089</c:v>
                </c:pt>
                <c:pt idx="1">
                  <c:v>0.0202696361191244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5"/>
          <c:order val="5"/>
          <c:tx>
            <c:strRef>
              <c:f>V.Poor!$A$11</c:f>
              <c:strCache>
                <c:ptCount val="1"/>
                <c:pt idx="0">
                  <c:v>Maize: kg produced</c:v>
                </c:pt>
              </c:strCache>
            </c:strRef>
          </c:tx>
          <c:spPr>
            <a:solidFill>
              <a:srgbClr val="F2DCDB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(V.Poor!$AA$11,V.Poor!$AC$11,V.Poor!$AE$11,V.Poor!$AG$11)</c:f>
              <c:numCache>
                <c:formatCode>0.0%</c:formatCode>
                <c:ptCount val="4"/>
                <c:pt idx="0">
                  <c:v>0.413719833825293</c:v>
                </c:pt>
                <c:pt idx="1">
                  <c:v>0.132975877681556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6"/>
          <c:order val="6"/>
          <c:tx>
            <c:strRef>
              <c:f>V.Poor!$A$12</c:f>
              <c:strCache>
                <c:ptCount val="1"/>
                <c:pt idx="0">
                  <c:v>Maize (irrigated): kg produced</c:v>
                </c:pt>
              </c:strCache>
            </c:strRef>
          </c:tx>
          <c:spPr>
            <a:solidFill>
              <a:srgbClr val="FCD5B5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(V.Poor!$AA$12,V.Poor!$AC$12,V.Poor!$AE$12,V.Poor!$AG$12)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7"/>
          <c:order val="7"/>
          <c:tx>
            <c:strRef>
              <c:f>V.Poor!$A$13</c:f>
              <c:strCache>
                <c:ptCount val="1"/>
                <c:pt idx="0">
                  <c:v>Beans: kg produced</c:v>
                </c:pt>
              </c:strCache>
            </c:strRef>
          </c:tx>
          <c:spPr>
            <a:solidFill>
              <a:srgbClr val="953735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(V.Poor!$AA$13,V.Poor!$AC$13,V.Poor!$AE$13,V.Poor!$AG$13)</c:f>
              <c:numCache>
                <c:formatCode>0.0%</c:formatCode>
                <c:ptCount val="4"/>
                <c:pt idx="0">
                  <c:v>0.0386237658779576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6"/>
          <c:order val="8"/>
          <c:tx>
            <c:strRef>
              <c:f>V.Poor!$A$14</c:f>
              <c:strCache>
                <c:ptCount val="1"/>
                <c:pt idx="0">
                  <c:v>Cowpeas: kg produced</c:v>
                </c:pt>
              </c:strCache>
            </c:strRef>
          </c:tx>
          <c:spPr>
            <a:solidFill>
              <a:srgbClr val="E46C0A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(V.Poor!$AA$14,V.Poor!$AC$14,V.Poor!$AE$14,V.Poor!$AG$14)</c:f>
              <c:numCache>
                <c:formatCode>0.0%</c:formatCode>
                <c:ptCount val="4"/>
                <c:pt idx="0">
                  <c:v>0.0</c:v>
                </c:pt>
                <c:pt idx="1">
                  <c:v>0.00221592777085928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8"/>
          <c:order val="9"/>
          <c:tx>
            <c:strRef>
              <c:f>V.Poor!$A$15</c:f>
              <c:strCache>
                <c:ptCount val="1"/>
                <c:pt idx="0">
                  <c:v>Potato: kg produced</c:v>
                </c:pt>
              </c:strCache>
            </c:strRef>
          </c:tx>
          <c:spPr>
            <a:solidFill>
              <a:srgbClr val="604A7B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(V.Poor!$AA$15,V.Poor!$AC$15,V.Poor!$AE$15,V.Poor!$AG$15)</c:f>
              <c:numCache>
                <c:formatCode>0.0%</c:formatCode>
                <c:ptCount val="4"/>
                <c:pt idx="0">
                  <c:v>0.00181034085143674</c:v>
                </c:pt>
                <c:pt idx="1">
                  <c:v>0.00181034085143674</c:v>
                </c:pt>
                <c:pt idx="2">
                  <c:v>0.00181034085143674</c:v>
                </c:pt>
                <c:pt idx="3">
                  <c:v>0.00181034085143674</c:v>
                </c:pt>
              </c:numCache>
            </c:numRef>
          </c:val>
        </c:ser>
        <c:ser>
          <c:idx val="1"/>
          <c:order val="10"/>
          <c:tx>
            <c:strRef>
              <c:f>V.Poor!$A$24</c:f>
              <c:strCache>
                <c:ptCount val="1"/>
                <c:pt idx="0">
                  <c:v>Gifts/remittances: cereal</c:v>
                </c:pt>
              </c:strCache>
            </c:strRef>
          </c:tx>
          <c:spPr>
            <a:solidFill>
              <a:srgbClr val="CCCC0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(V.Poor!$AA$24,V.Poor!$AC$24,V.Poor!$AE$24,V.Poor!$AG$24)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0.0330303586550436</c:v>
                </c:pt>
              </c:numCache>
            </c:numRef>
          </c:val>
        </c:ser>
        <c:ser>
          <c:idx val="9"/>
          <c:order val="11"/>
          <c:tx>
            <c:strRef>
              <c:f>V.Poor!$A$25</c:f>
              <c:strCache>
                <c:ptCount val="1"/>
                <c:pt idx="0">
                  <c:v>Gifts/remittances: sugar</c:v>
                </c:pt>
              </c:strCache>
            </c:strRef>
          </c:tx>
          <c:spPr>
            <a:solidFill>
              <a:srgbClr val="93CDDD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(V.Poor!$AA$25,V.Poor!$AC$25,V.Poor!$AE$25,V.Poor!$AG$25)</c:f>
              <c:numCache>
                <c:formatCode>0.0%</c:formatCode>
                <c:ptCount val="4"/>
                <c:pt idx="0">
                  <c:v>0.00204456268991283</c:v>
                </c:pt>
                <c:pt idx="1">
                  <c:v>0.00122701569115816</c:v>
                </c:pt>
                <c:pt idx="2">
                  <c:v>0.00163578919053549</c:v>
                </c:pt>
                <c:pt idx="3">
                  <c:v>0.00204456268991283</c:v>
                </c:pt>
              </c:numCache>
            </c:numRef>
          </c:val>
        </c:ser>
        <c:ser>
          <c:idx val="10"/>
          <c:order val="12"/>
          <c:tx>
            <c:strRef>
              <c:f>V.Poor!$A$28</c:f>
              <c:strCache>
                <c:ptCount val="1"/>
                <c:pt idx="0">
                  <c:v>Purchase - desirable</c:v>
                </c:pt>
              </c:strCache>
            </c:strRef>
          </c:tx>
          <c:spPr>
            <a:solidFill>
              <a:srgbClr val="558ED5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(V.Poor!$AA$28,V.Poor!$AC$28,V.Poor!$AE$28,V.Poor!$AG$28)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1"/>
          <c:order val="13"/>
          <c:tx>
            <c:strRef>
              <c:f>V.Poor!$A$29</c:f>
              <c:strCache>
                <c:ptCount val="1"/>
                <c:pt idx="0">
                  <c:v>Purchase - fpl non staple</c:v>
                </c:pt>
              </c:strCache>
            </c:strRef>
          </c:tx>
          <c:spPr>
            <a:solidFill>
              <a:srgbClr val="996633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(V.Poor!$AA$29,V.Poor!$AC$29,V.Poor!$AE$29,V.Poor!$AG$29)</c:f>
              <c:numCache>
                <c:formatCode>0.0%</c:formatCode>
                <c:ptCount val="4"/>
                <c:pt idx="0">
                  <c:v>0.224636773941997</c:v>
                </c:pt>
                <c:pt idx="1">
                  <c:v>0.224636773941997</c:v>
                </c:pt>
                <c:pt idx="2">
                  <c:v>0.224636773941997</c:v>
                </c:pt>
                <c:pt idx="3">
                  <c:v>0.224636773941997</c:v>
                </c:pt>
              </c:numCache>
            </c:numRef>
          </c:val>
        </c:ser>
        <c:ser>
          <c:idx val="13"/>
          <c:order val="14"/>
          <c:tx>
            <c:strRef>
              <c:f>V.Poor!$A$30</c:f>
              <c:strCache>
                <c:ptCount val="1"/>
                <c:pt idx="0">
                  <c:v>Purchase - staple</c:v>
                </c:pt>
              </c:strCache>
            </c:strRef>
          </c:tx>
          <c:spPr>
            <a:solidFill>
              <a:srgbClr val="FFFF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(V.Poor!$AA$30,V.Poor!$AC$30,V.Poor!$AE$30,V.Poor!$AG$30)</c:f>
              <c:numCache>
                <c:formatCode>0.0%;[Red]"Adjust!"</c:formatCode>
                <c:ptCount val="4"/>
                <c:pt idx="0">
                  <c:v>-0.371304296325065</c:v>
                </c:pt>
                <c:pt idx="1">
                  <c:v>-0.371304296325065</c:v>
                </c:pt>
                <c:pt idx="2">
                  <c:v>-0.371304296325065</c:v>
                </c:pt>
                <c:pt idx="3">
                  <c:v>-0.371304296325065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-1996360616"/>
        <c:axId val="1768593512"/>
      </c:barChart>
      <c:catAx>
        <c:axId val="-1996360616"/>
        <c:scaling>
          <c:orientation val="minMax"/>
        </c:scaling>
        <c:delete val="0"/>
        <c:axPos val="b"/>
        <c:numFmt formatCode="0.0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68593512"/>
        <c:crossesAt val="-0.2"/>
        <c:auto val="1"/>
        <c:lblAlgn val="ctr"/>
        <c:lblOffset val="100"/>
        <c:tickLblSkip val="1"/>
        <c:tickMarkSkip val="1"/>
        <c:noMultiLvlLbl val="0"/>
      </c:catAx>
      <c:valAx>
        <c:axId val="176859351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ZA"/>
                  <a:t>% min. food energy needs</a:t>
                </a:r>
              </a:p>
            </c:rich>
          </c:tx>
          <c:layout>
            <c:manualLayout>
              <c:xMode val="edge"/>
              <c:yMode val="edge"/>
              <c:x val="0.010611908805517"/>
              <c:y val="0.331106082212164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996360616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241835211775"/>
          <c:y val="0.0984251968503937"/>
          <c:w val="0.320261695229273"/>
          <c:h val="0.732282534565069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41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0000000000002" r="0.750000000000002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ZA"/>
              <a:t>'Middle'</a:t>
            </a:r>
          </a:p>
        </c:rich>
      </c:tx>
      <c:overlay val="1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5048543689321"/>
          <c:y val="0.0888789786232473"/>
          <c:w val="0.447795934716144"/>
          <c:h val="0.81826616805642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Middle!$A$6</c:f>
              <c:strCache>
                <c:ptCount val="1"/>
                <c:pt idx="0">
                  <c:v>Cows' milk - season 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(Middle!$AA$6,Middle!$AC$6,Middle!$AE$6,Middle!$AG$6)</c:f>
              <c:numCache>
                <c:formatCode>0.0%</c:formatCode>
                <c:ptCount val="4"/>
                <c:pt idx="0">
                  <c:v>0.0219110937982565</c:v>
                </c:pt>
                <c:pt idx="1">
                  <c:v>0.0219110937982565</c:v>
                </c:pt>
                <c:pt idx="2">
                  <c:v>0.0425332997260274</c:v>
                </c:pt>
                <c:pt idx="3">
                  <c:v>0.0425332997260274</c:v>
                </c:pt>
              </c:numCache>
            </c:numRef>
          </c:val>
        </c:ser>
        <c:ser>
          <c:idx val="12"/>
          <c:order val="1"/>
          <c:tx>
            <c:strRef>
              <c:f>Middle!$A$7</c:f>
              <c:strCache>
                <c:ptCount val="1"/>
                <c:pt idx="0">
                  <c:v>Cows' milk - season 2</c:v>
                </c:pt>
              </c:strCache>
            </c:strRef>
          </c:tx>
          <c:spPr>
            <a:solidFill>
              <a:srgbClr val="00B05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(Middle!$AA$7,Middle!$AC$7,Middle!$AE$7,Middle!$AG$7)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0.0125134744707347</c:v>
                </c:pt>
              </c:numCache>
            </c:numRef>
          </c:val>
        </c:ser>
        <c:ser>
          <c:idx val="2"/>
          <c:order val="2"/>
          <c:tx>
            <c:strRef>
              <c:f>Middle!$A$8</c:f>
              <c:strCache>
                <c:ptCount val="1"/>
                <c:pt idx="0">
                  <c:v>Own meat</c:v>
                </c:pt>
              </c:strCache>
            </c:strRef>
          </c:tx>
          <c:spPr>
            <a:solidFill>
              <a:srgbClr val="92D05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dPt>
            <c:idx val="3"/>
            <c:invertIfNegative val="0"/>
            <c:bubble3D val="0"/>
            <c:spPr>
              <a:solidFill>
                <a:srgbClr val="66FF33"/>
              </a:solidFill>
              <a:ln w="3175">
                <a:solidFill>
                  <a:srgbClr val="000000"/>
                </a:solidFill>
                <a:prstDash val="solid"/>
              </a:ln>
            </c:spPr>
          </c:dPt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(Middle!$AA$8,Middle!$AC$8,Middle!$AE$8,Middle!$AG$8)</c:f>
              <c:numCache>
                <c:formatCode>0.0%</c:formatCode>
                <c:ptCount val="4"/>
                <c:pt idx="0">
                  <c:v>0.0167210512265763</c:v>
                </c:pt>
                <c:pt idx="1">
                  <c:v>0.0208058353203782</c:v>
                </c:pt>
                <c:pt idx="2">
                  <c:v>0.013746616462593</c:v>
                </c:pt>
                <c:pt idx="3">
                  <c:v>0.0</c:v>
                </c:pt>
              </c:numCache>
            </c:numRef>
          </c:val>
        </c:ser>
        <c:ser>
          <c:idx val="3"/>
          <c:order val="3"/>
          <c:tx>
            <c:strRef>
              <c:f>Middle!$A$9</c:f>
              <c:strCache>
                <c:ptCount val="1"/>
                <c:pt idx="0">
                  <c:v>Green cons - Season 1: no of months</c:v>
                </c:pt>
              </c:strCache>
            </c:strRef>
          </c:tx>
          <c:spPr>
            <a:solidFill>
              <a:srgbClr val="D7E4BD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(Middle!$AA$9,Middle!$AC$9,Middle!$AE$9,Middle!$AG$9)</c:f>
              <c:numCache>
                <c:formatCode>0.0%</c:formatCode>
                <c:ptCount val="4"/>
                <c:pt idx="0">
                  <c:v>0.00507289781339621</c:v>
                </c:pt>
                <c:pt idx="1">
                  <c:v>0.00631215556201842</c:v>
                </c:pt>
                <c:pt idx="2">
                  <c:v>0.00417050218014093</c:v>
                </c:pt>
                <c:pt idx="3">
                  <c:v>0.0</c:v>
                </c:pt>
              </c:numCache>
            </c:numRef>
          </c:val>
        </c:ser>
        <c:ser>
          <c:idx val="4"/>
          <c:order val="4"/>
          <c:tx>
            <c:strRef>
              <c:f>Middle!$A$10</c:f>
              <c:strCache>
                <c:ptCount val="1"/>
                <c:pt idx="0">
                  <c:v>Green beans </c:v>
                </c:pt>
              </c:strCache>
            </c:strRef>
          </c:tx>
          <c:spPr>
            <a:solidFill>
              <a:srgbClr val="66FF33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(Middle!$AA$10,Middle!$AC$10,Middle!$AE$10,Middle!$AG$10)</c:f>
              <c:numCache>
                <c:formatCode>0.0%</c:formatCode>
                <c:ptCount val="4"/>
                <c:pt idx="0">
                  <c:v>0.0123198946896765</c:v>
                </c:pt>
                <c:pt idx="1">
                  <c:v>0.0153295206506162</c:v>
                </c:pt>
                <c:pt idx="2">
                  <c:v>0.0101283624374851</c:v>
                </c:pt>
                <c:pt idx="3">
                  <c:v>0.0</c:v>
                </c:pt>
              </c:numCache>
            </c:numRef>
          </c:val>
        </c:ser>
        <c:ser>
          <c:idx val="5"/>
          <c:order val="5"/>
          <c:tx>
            <c:strRef>
              <c:f>Middle!$A$11</c:f>
              <c:strCache>
                <c:ptCount val="1"/>
                <c:pt idx="0">
                  <c:v>Maize: kg produced</c:v>
                </c:pt>
              </c:strCache>
            </c:strRef>
          </c:tx>
          <c:spPr>
            <a:solidFill>
              <a:srgbClr val="E6B9B8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F2DCDB"/>
              </a:solidFill>
              <a:ln w="3175">
                <a:solidFill>
                  <a:srgbClr val="000000"/>
                </a:solidFill>
                <a:prstDash val="solid"/>
              </a:ln>
            </c:spPr>
          </c:dPt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(Middle!$AA$11,Middle!$AC$11,Middle!$AE$11,Middle!$AG$11)</c:f>
              <c:numCache>
                <c:formatCode>0.0%</c:formatCode>
                <c:ptCount val="4"/>
                <c:pt idx="0">
                  <c:v>0.511227788322271</c:v>
                </c:pt>
                <c:pt idx="1">
                  <c:v>0.636115578554582</c:v>
                </c:pt>
                <c:pt idx="2">
                  <c:v>0.420287710136087</c:v>
                </c:pt>
                <c:pt idx="3">
                  <c:v>0.0</c:v>
                </c:pt>
              </c:numCache>
            </c:numRef>
          </c:val>
        </c:ser>
        <c:ser>
          <c:idx val="6"/>
          <c:order val="6"/>
          <c:tx>
            <c:strRef>
              <c:f>Middle!$A$12</c:f>
              <c:strCache>
                <c:ptCount val="1"/>
                <c:pt idx="0">
                  <c:v>Maize (irrigated): kg produced</c:v>
                </c:pt>
              </c:strCache>
            </c:strRef>
          </c:tx>
          <c:spPr>
            <a:solidFill>
              <a:srgbClr val="FCD5B5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(Middle!$AA$12,Middle!$AC$12,Middle!$AE$12,Middle!$AG$12)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0.0526093406646606</c:v>
                </c:pt>
                <c:pt idx="3">
                  <c:v>0.0259120633124448</c:v>
                </c:pt>
              </c:numCache>
            </c:numRef>
          </c:val>
        </c:ser>
        <c:ser>
          <c:idx val="7"/>
          <c:order val="7"/>
          <c:tx>
            <c:strRef>
              <c:f>Middle!$A$13</c:f>
              <c:strCache>
                <c:ptCount val="1"/>
                <c:pt idx="0">
                  <c:v>Beans: kg produced</c:v>
                </c:pt>
              </c:strCache>
            </c:strRef>
          </c:tx>
          <c:spPr>
            <a:solidFill>
              <a:srgbClr val="953735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(Middle!$AA$13,Middle!$AC$13,Middle!$AE$13,Middle!$AG$13)</c:f>
              <c:numCache>
                <c:formatCode>0.0%</c:formatCode>
                <c:ptCount val="4"/>
                <c:pt idx="0">
                  <c:v>0.144765875719361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6"/>
          <c:order val="8"/>
          <c:tx>
            <c:strRef>
              <c:f>Middle!$A$14</c:f>
              <c:strCache>
                <c:ptCount val="1"/>
                <c:pt idx="0">
                  <c:v>Cowpeas: kg produced</c:v>
                </c:pt>
              </c:strCache>
            </c:strRef>
          </c:tx>
          <c:spPr>
            <a:solidFill>
              <a:srgbClr val="E46C0A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(Middle!$AA$14,Middle!$AC$14,Middle!$AE$14,Middle!$AG$14)</c:f>
              <c:numCache>
                <c:formatCode>0.0%</c:formatCode>
                <c:ptCount val="4"/>
                <c:pt idx="0">
                  <c:v>0.0</c:v>
                </c:pt>
                <c:pt idx="1">
                  <c:v>0.0132955666251557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8"/>
          <c:order val="9"/>
          <c:tx>
            <c:strRef>
              <c:f>Middle!$A$15</c:f>
              <c:strCache>
                <c:ptCount val="1"/>
                <c:pt idx="0">
                  <c:v>Potato: kg produced</c:v>
                </c:pt>
              </c:strCache>
            </c:strRef>
          </c:tx>
          <c:spPr>
            <a:solidFill>
              <a:srgbClr val="604A7B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(Middle!$AA$15,Middle!$AC$15,Middle!$AE$15,Middle!$AG$15)</c:f>
              <c:numCache>
                <c:formatCode>0.0%</c:formatCode>
                <c:ptCount val="4"/>
                <c:pt idx="0">
                  <c:v>0.00204018524099174</c:v>
                </c:pt>
                <c:pt idx="1">
                  <c:v>0.00204018524099174</c:v>
                </c:pt>
                <c:pt idx="2">
                  <c:v>0.00204018524099174</c:v>
                </c:pt>
                <c:pt idx="3">
                  <c:v>0.00204018524099174</c:v>
                </c:pt>
              </c:numCache>
            </c:numRef>
          </c:val>
        </c:ser>
        <c:ser>
          <c:idx val="1"/>
          <c:order val="10"/>
          <c:tx>
            <c:strRef>
              <c:f>Middle!$A$16</c:f>
              <c:strCache>
                <c:ptCount val="1"/>
                <c:pt idx="0">
                  <c:v>Sweet potato: no. local meas</c:v>
                </c:pt>
              </c:strCache>
            </c:strRef>
          </c:tx>
          <c:spPr>
            <a:solidFill>
              <a:srgbClr val="CCCC0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(Middle!$AA$16,Middle!$AC$16,Middle!$AE$16,Middle!$AG$16)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0.103064772506587</c:v>
                </c:pt>
              </c:numCache>
            </c:numRef>
          </c:val>
        </c:ser>
        <c:ser>
          <c:idx val="9"/>
          <c:order val="11"/>
          <c:tx>
            <c:strRef>
              <c:f>Middle!$A$17</c:f>
              <c:strCache>
                <c:ptCount val="1"/>
                <c:pt idx="0">
                  <c:v>Water melon: no. local meas</c:v>
                </c:pt>
              </c:strCache>
            </c:strRef>
          </c:tx>
          <c:spPr>
            <a:solidFill>
              <a:srgbClr val="93CDDD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(Middle!$AA$17,Middle!$AC$17,Middle!$AE$17,Middle!$AG$17)</c:f>
              <c:numCache>
                <c:formatCode>0.0%</c:formatCode>
                <c:ptCount val="4"/>
                <c:pt idx="0">
                  <c:v>0.00437936142590286</c:v>
                </c:pt>
                <c:pt idx="1">
                  <c:v>0.00262821248443337</c:v>
                </c:pt>
                <c:pt idx="2">
                  <c:v>0.00350378695516812</c:v>
                </c:pt>
                <c:pt idx="3">
                  <c:v>0.00437936142590286</c:v>
                </c:pt>
              </c:numCache>
            </c:numRef>
          </c:val>
        </c:ser>
        <c:ser>
          <c:idx val="10"/>
          <c:order val="12"/>
          <c:tx>
            <c:strRef>
              <c:f>Middle!$A$28</c:f>
              <c:strCache>
                <c:ptCount val="1"/>
                <c:pt idx="0">
                  <c:v>Purchase - desirable</c:v>
                </c:pt>
              </c:strCache>
            </c:strRef>
          </c:tx>
          <c:spPr>
            <a:solidFill>
              <a:srgbClr val="558ED5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(Middle!$AA$28,Middle!$AC$28,Middle!$AE$28,Middle!$AG$28)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0.00547598192741162</c:v>
                </c:pt>
                <c:pt idx="3">
                  <c:v>0.00547598192741162</c:v>
                </c:pt>
              </c:numCache>
            </c:numRef>
          </c:val>
        </c:ser>
        <c:ser>
          <c:idx val="11"/>
          <c:order val="13"/>
          <c:tx>
            <c:strRef>
              <c:f>Middle!$A$29</c:f>
              <c:strCache>
                <c:ptCount val="1"/>
                <c:pt idx="0">
                  <c:v>Purchase - fpl non staple</c:v>
                </c:pt>
              </c:strCache>
            </c:strRef>
          </c:tx>
          <c:spPr>
            <a:solidFill>
              <a:srgbClr val="996633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(Middle!$AA$29,Middle!$AC$29,Middle!$AE$29,Middle!$AG$29)</c:f>
              <c:numCache>
                <c:formatCode>0.0%</c:formatCode>
                <c:ptCount val="4"/>
                <c:pt idx="0">
                  <c:v>0.223759349205148</c:v>
                </c:pt>
                <c:pt idx="1">
                  <c:v>0.223759349205148</c:v>
                </c:pt>
                <c:pt idx="2">
                  <c:v>0.223759349205148</c:v>
                </c:pt>
                <c:pt idx="3">
                  <c:v>0.223759349205148</c:v>
                </c:pt>
              </c:numCache>
            </c:numRef>
          </c:val>
        </c:ser>
        <c:ser>
          <c:idx val="13"/>
          <c:order val="14"/>
          <c:tx>
            <c:strRef>
              <c:f>Middle!$A$30</c:f>
              <c:strCache>
                <c:ptCount val="1"/>
                <c:pt idx="0">
                  <c:v>Purchase - staple</c:v>
                </c:pt>
              </c:strCache>
            </c:strRef>
          </c:tx>
          <c:spPr>
            <a:solidFill>
              <a:srgbClr val="FFFF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(Middle!$AA$30,Middle!$AC$30,Middle!$AE$30,Middle!$AG$30)</c:f>
              <c:numCache>
                <c:formatCode>0.0%;[Red]"Adjust!"</c:formatCode>
                <c:ptCount val="4"/>
                <c:pt idx="0">
                  <c:v>0.0</c:v>
                </c:pt>
                <c:pt idx="1">
                  <c:v>1.11022302462516E-16</c:v>
                </c:pt>
                <c:pt idx="2">
                  <c:v>0.163942362505866</c:v>
                </c:pt>
                <c:pt idx="3">
                  <c:v>0.522519009626332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1768133688"/>
        <c:axId val="-1999976968"/>
      </c:barChart>
      <c:catAx>
        <c:axId val="1768133688"/>
        <c:scaling>
          <c:orientation val="minMax"/>
        </c:scaling>
        <c:delete val="0"/>
        <c:axPos val="b"/>
        <c:numFmt formatCode="0.0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999976968"/>
        <c:crossesAt val="-0.2"/>
        <c:auto val="1"/>
        <c:lblAlgn val="ctr"/>
        <c:lblOffset val="100"/>
        <c:tickLblSkip val="1"/>
        <c:tickMarkSkip val="1"/>
        <c:noMultiLvlLbl val="0"/>
      </c:catAx>
      <c:valAx>
        <c:axId val="-19999769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ZA"/>
                  <a:t>% min. food energy needs</a:t>
                </a:r>
              </a:p>
            </c:rich>
          </c:tx>
          <c:layout>
            <c:manualLayout>
              <c:xMode val="edge"/>
              <c:yMode val="edge"/>
              <c:x val="0.010611790302528"/>
              <c:y val="0.331106082212164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68133688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24999481972648"/>
          <c:y val="0.102362204724409"/>
          <c:w val="0.319078688354745"/>
          <c:h val="0.73228253456507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41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0000000000002" r="0.750000000000002" t="1.0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ZA"/>
              <a:t>'Better-off'</a:t>
            </a:r>
          </a:p>
        </c:rich>
      </c:tx>
      <c:overlay val="1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5048543689321"/>
          <c:y val="0.0888789786232473"/>
          <c:w val="0.447795934716144"/>
          <c:h val="0.81826616805642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Rich!$A$6</c:f>
              <c:strCache>
                <c:ptCount val="1"/>
                <c:pt idx="0">
                  <c:v>Cows' milk - season 1</c:v>
                </c:pt>
              </c:strCache>
            </c:strRef>
          </c:tx>
          <c:spPr>
            <a:solidFill>
              <a:srgbClr val="FFFFFF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(Rich!$AA$6,Rich!$AC$6,Rich!$AE$6,Rich!$AG$6)</c:f>
              <c:numCache>
                <c:formatCode>0.0%</c:formatCode>
                <c:ptCount val="4"/>
                <c:pt idx="0">
                  <c:v>0.0296605097740616</c:v>
                </c:pt>
                <c:pt idx="1">
                  <c:v>0.0296605097740616</c:v>
                </c:pt>
                <c:pt idx="2">
                  <c:v>0.0575762836790607</c:v>
                </c:pt>
                <c:pt idx="3">
                  <c:v>0.0575762836790606</c:v>
                </c:pt>
              </c:numCache>
            </c:numRef>
          </c:val>
        </c:ser>
        <c:ser>
          <c:idx val="12"/>
          <c:order val="1"/>
          <c:tx>
            <c:strRef>
              <c:f>Rich!$A$7</c:f>
              <c:strCache>
                <c:ptCount val="1"/>
                <c:pt idx="0">
                  <c:v>Cows' milk - season 2</c:v>
                </c:pt>
              </c:strCache>
            </c:strRef>
          </c:tx>
          <c:spPr>
            <a:solidFill>
              <a:srgbClr val="00B05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(Rich!$AA$7,Rich!$AC$7,Rich!$AE$7,Rich!$AG$7)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0.0429033410425191</c:v>
                </c:pt>
              </c:numCache>
            </c:numRef>
          </c:val>
        </c:ser>
        <c:ser>
          <c:idx val="2"/>
          <c:order val="2"/>
          <c:tx>
            <c:strRef>
              <c:f>Rich!$A$8</c:f>
              <c:strCache>
                <c:ptCount val="1"/>
                <c:pt idx="0">
                  <c:v>Own meat</c:v>
                </c:pt>
              </c:strCache>
            </c:strRef>
          </c:tx>
          <c:spPr>
            <a:solidFill>
              <a:srgbClr val="92D05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(Rich!$AA$8,Rich!$AC$8,Rich!$AE$8,Rich!$AG$8)</c:f>
              <c:numCache>
                <c:formatCode>0.0%</c:formatCode>
                <c:ptCount val="4"/>
                <c:pt idx="0">
                  <c:v>0.0448067320987562</c:v>
                </c:pt>
                <c:pt idx="1">
                  <c:v>0.0520729354571271</c:v>
                </c:pt>
                <c:pt idx="2">
                  <c:v>0.00309846919321237</c:v>
                </c:pt>
                <c:pt idx="3">
                  <c:v>0.0</c:v>
                </c:pt>
              </c:numCache>
            </c:numRef>
          </c:val>
        </c:ser>
        <c:ser>
          <c:idx val="3"/>
          <c:order val="3"/>
          <c:tx>
            <c:strRef>
              <c:f>Rich!$A$9</c:f>
              <c:strCache>
                <c:ptCount val="1"/>
                <c:pt idx="0">
                  <c:v>Green cons - Season 1: no of months</c:v>
                </c:pt>
              </c:strCache>
            </c:strRef>
          </c:tx>
          <c:spPr>
            <a:solidFill>
              <a:srgbClr val="D7E4BD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(Rich!$AA$9,Rich!$AC$9,Rich!$AE$9,Rich!$AG$9)</c:f>
              <c:numCache>
                <c:formatCode>0.0%</c:formatCode>
                <c:ptCount val="4"/>
                <c:pt idx="0">
                  <c:v>0.00697146029210632</c:v>
                </c:pt>
                <c:pt idx="1">
                  <c:v>0.00810200576629096</c:v>
                </c:pt>
                <c:pt idx="2">
                  <c:v>0.000482089497158271</c:v>
                </c:pt>
                <c:pt idx="3">
                  <c:v>0.0</c:v>
                </c:pt>
              </c:numCache>
            </c:numRef>
          </c:val>
        </c:ser>
        <c:ser>
          <c:idx val="4"/>
          <c:order val="4"/>
          <c:tx>
            <c:strRef>
              <c:f>Rich!$A$10</c:f>
              <c:strCache>
                <c:ptCount val="1"/>
                <c:pt idx="0">
                  <c:v>Green beans </c:v>
                </c:pt>
              </c:strCache>
            </c:strRef>
          </c:tx>
          <c:spPr>
            <a:solidFill>
              <a:srgbClr val="66FF33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(Rich!$AA$10,Rich!$AC$10,Rich!$AE$10,Rich!$AG$10)</c:f>
              <c:numCache>
                <c:formatCode>0.0%</c:formatCode>
                <c:ptCount val="4"/>
                <c:pt idx="0">
                  <c:v>0.0169306892808296</c:v>
                </c:pt>
                <c:pt idx="1">
                  <c:v>0.0196762997181352</c:v>
                </c:pt>
                <c:pt idx="2">
                  <c:v>0.00117078877881294</c:v>
                </c:pt>
                <c:pt idx="3">
                  <c:v>0.0</c:v>
                </c:pt>
              </c:numCache>
            </c:numRef>
          </c:val>
        </c:ser>
        <c:ser>
          <c:idx val="5"/>
          <c:order val="5"/>
          <c:tx>
            <c:strRef>
              <c:f>Rich!$A$11</c:f>
              <c:strCache>
                <c:ptCount val="1"/>
                <c:pt idx="0">
                  <c:v>Maize: kg produced</c:v>
                </c:pt>
              </c:strCache>
            </c:strRef>
          </c:tx>
          <c:spPr>
            <a:solidFill>
              <a:srgbClr val="E6B9B8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F2DCDB"/>
              </a:solidFill>
              <a:ln w="3175">
                <a:solidFill>
                  <a:srgbClr val="000000"/>
                </a:solidFill>
                <a:prstDash val="solid"/>
              </a:ln>
            </c:spPr>
          </c:dPt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(Rich!$AA$11,Rich!$AC$11,Rich!$AE$11,Rich!$AG$11)</c:f>
              <c:numCache>
                <c:formatCode>0.0%</c:formatCode>
                <c:ptCount val="4"/>
                <c:pt idx="0">
                  <c:v>0.449048747508055</c:v>
                </c:pt>
                <c:pt idx="1">
                  <c:v>0.521869936744167</c:v>
                </c:pt>
                <c:pt idx="2">
                  <c:v>0.0310525594086548</c:v>
                </c:pt>
                <c:pt idx="3">
                  <c:v>0.0</c:v>
                </c:pt>
              </c:numCache>
            </c:numRef>
          </c:val>
        </c:ser>
        <c:ser>
          <c:idx val="6"/>
          <c:order val="6"/>
          <c:tx>
            <c:strRef>
              <c:f>Rich!$A$12</c:f>
              <c:strCache>
                <c:ptCount val="1"/>
                <c:pt idx="0">
                  <c:v>Maize (irrigated): kg produced</c:v>
                </c:pt>
              </c:strCache>
            </c:strRef>
          </c:tx>
          <c:spPr>
            <a:solidFill>
              <a:srgbClr val="FCD5B5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(Rich!$AA$12,Rich!$AC$12,Rich!$AE$12,Rich!$AG$12)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0.048209415407448</c:v>
                </c:pt>
                <c:pt idx="3">
                  <c:v>0.023744935946952</c:v>
                </c:pt>
              </c:numCache>
            </c:numRef>
          </c:val>
        </c:ser>
        <c:ser>
          <c:idx val="7"/>
          <c:order val="7"/>
          <c:tx>
            <c:strRef>
              <c:f>Rich!$A$13</c:f>
              <c:strCache>
                <c:ptCount val="1"/>
                <c:pt idx="0">
                  <c:v>Beans: kg produced</c:v>
                </c:pt>
              </c:strCache>
            </c:strRef>
          </c:tx>
          <c:spPr>
            <a:solidFill>
              <a:srgbClr val="953735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(Rich!$AA$13,Rich!$AC$13,Rich!$AE$13,Rich!$AG$13)</c:f>
              <c:numCache>
                <c:formatCode>0.0%</c:formatCode>
                <c:ptCount val="4"/>
                <c:pt idx="0">
                  <c:v>0.119949568644738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6"/>
          <c:order val="8"/>
          <c:tx>
            <c:strRef>
              <c:f>Rich!$A$14</c:f>
              <c:strCache>
                <c:ptCount val="1"/>
                <c:pt idx="0">
                  <c:v>Cowpeas: kg produced</c:v>
                </c:pt>
              </c:strCache>
            </c:strRef>
          </c:tx>
          <c:spPr>
            <a:solidFill>
              <a:srgbClr val="E46C0A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(Rich!$AA$14,Rich!$AC$14,Rich!$AE$14,Rich!$AG$14)</c:f>
              <c:numCache>
                <c:formatCode>0.0%</c:formatCode>
                <c:ptCount val="4"/>
                <c:pt idx="0">
                  <c:v>0.0</c:v>
                </c:pt>
                <c:pt idx="1">
                  <c:v>0.0379873332147305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8"/>
          <c:order val="9"/>
          <c:tx>
            <c:strRef>
              <c:f>Rich!$A$15</c:f>
              <c:strCache>
                <c:ptCount val="1"/>
                <c:pt idx="0">
                  <c:v>Potato: kg produced</c:v>
                </c:pt>
              </c:strCache>
            </c:strRef>
          </c:tx>
          <c:spPr>
            <a:solidFill>
              <a:srgbClr val="604A7B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(Rich!$AA$15,Rich!$AC$15,Rich!$AE$15,Rich!$AG$15)</c:f>
              <c:numCache>
                <c:formatCode>0.0%</c:formatCode>
                <c:ptCount val="4"/>
                <c:pt idx="0">
                  <c:v>0.00330292354996539</c:v>
                </c:pt>
                <c:pt idx="1">
                  <c:v>0.00330292354996539</c:v>
                </c:pt>
                <c:pt idx="2">
                  <c:v>0.00330292354996539</c:v>
                </c:pt>
                <c:pt idx="3">
                  <c:v>0.00330292354996539</c:v>
                </c:pt>
              </c:numCache>
            </c:numRef>
          </c:val>
        </c:ser>
        <c:ser>
          <c:idx val="1"/>
          <c:order val="10"/>
          <c:tx>
            <c:strRef>
              <c:f>Rich!$A$16</c:f>
              <c:strCache>
                <c:ptCount val="1"/>
                <c:pt idx="0">
                  <c:v>Sweet potato: no. local meas</c:v>
                </c:pt>
              </c:strCache>
            </c:strRef>
          </c:tx>
          <c:spPr>
            <a:solidFill>
              <a:srgbClr val="CCCC0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(Rich!$AA$16,Rich!$AC$16,Rich!$AE$16,Rich!$AG$16)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0.102987005374825</c:v>
                </c:pt>
              </c:numCache>
            </c:numRef>
          </c:val>
        </c:ser>
        <c:ser>
          <c:idx val="9"/>
          <c:order val="11"/>
          <c:tx>
            <c:strRef>
              <c:f>Rich!$A$17</c:f>
              <c:strCache>
                <c:ptCount val="1"/>
                <c:pt idx="0">
                  <c:v>Water melon: no. local meas</c:v>
                </c:pt>
              </c:strCache>
            </c:strRef>
          </c:tx>
          <c:spPr>
            <a:solidFill>
              <a:srgbClr val="93CDDD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(Rich!$AA$17,Rich!$AC$17,Rich!$AE$17,Rich!$AG$17)</c:f>
              <c:numCache>
                <c:formatCode>0.0%</c:formatCode>
                <c:ptCount val="4"/>
                <c:pt idx="0">
                  <c:v>0.00500498448674613</c:v>
                </c:pt>
                <c:pt idx="1">
                  <c:v>0.003003671410781</c:v>
                </c:pt>
                <c:pt idx="2">
                  <c:v>0.00400432794876357</c:v>
                </c:pt>
                <c:pt idx="3">
                  <c:v>0.00500498448674613</c:v>
                </c:pt>
              </c:numCache>
            </c:numRef>
          </c:val>
        </c:ser>
        <c:ser>
          <c:idx val="10"/>
          <c:order val="12"/>
          <c:tx>
            <c:strRef>
              <c:f>Rich!$A$28</c:f>
              <c:strCache>
                <c:ptCount val="1"/>
                <c:pt idx="0">
                  <c:v>Purchase - desirable</c:v>
                </c:pt>
              </c:strCache>
            </c:strRef>
          </c:tx>
          <c:spPr>
            <a:solidFill>
              <a:srgbClr val="558ED5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(Rich!$AA$28,Rich!$AC$28,Rich!$AE$28,Rich!$AG$28)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0.014066828884082</c:v>
                </c:pt>
                <c:pt idx="3">
                  <c:v>0.014066828884082</c:v>
                </c:pt>
              </c:numCache>
            </c:numRef>
          </c:val>
        </c:ser>
        <c:ser>
          <c:idx val="11"/>
          <c:order val="13"/>
          <c:tx>
            <c:strRef>
              <c:f>Rich!$A$29</c:f>
              <c:strCache>
                <c:ptCount val="1"/>
                <c:pt idx="0">
                  <c:v>Purchase - fpl non staple</c:v>
                </c:pt>
              </c:strCache>
            </c:strRef>
          </c:tx>
          <c:spPr>
            <a:solidFill>
              <a:srgbClr val="996633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(Rich!$AA$29,Rich!$AC$29,Rich!$AE$29,Rich!$AG$29)</c:f>
              <c:numCache>
                <c:formatCode>0.0%</c:formatCode>
                <c:ptCount val="4"/>
                <c:pt idx="0">
                  <c:v>0.26849153911454</c:v>
                </c:pt>
                <c:pt idx="1">
                  <c:v>0.26849153911454</c:v>
                </c:pt>
                <c:pt idx="2">
                  <c:v>0.26849153911454</c:v>
                </c:pt>
                <c:pt idx="3">
                  <c:v>0.26849153911454</c:v>
                </c:pt>
              </c:numCache>
            </c:numRef>
          </c:val>
        </c:ser>
        <c:ser>
          <c:idx val="13"/>
          <c:order val="14"/>
          <c:tx>
            <c:strRef>
              <c:f>Rich!$A$30</c:f>
              <c:strCache>
                <c:ptCount val="1"/>
                <c:pt idx="0">
                  <c:v>Purchase - staple</c:v>
                </c:pt>
              </c:strCache>
            </c:strRef>
          </c:tx>
          <c:spPr>
            <a:solidFill>
              <a:srgbClr val="FFFF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(Rich!$AA$30,Rich!$AC$30,Rich!$AE$30,Rich!$AG$30)</c:f>
              <c:numCache>
                <c:formatCode>0.0%;[Red]"Adjust!"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0.512711929288101</c:v>
                </c:pt>
                <c:pt idx="3">
                  <c:v>0.426089312671108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-2003141464"/>
        <c:axId val="-2003138296"/>
      </c:barChart>
      <c:catAx>
        <c:axId val="-2003141464"/>
        <c:scaling>
          <c:orientation val="minMax"/>
        </c:scaling>
        <c:delete val="0"/>
        <c:axPos val="b"/>
        <c:numFmt formatCode="0.0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03138296"/>
        <c:crossesAt val="-0.2"/>
        <c:auto val="1"/>
        <c:lblAlgn val="ctr"/>
        <c:lblOffset val="100"/>
        <c:tickLblSkip val="1"/>
        <c:tickMarkSkip val="1"/>
        <c:noMultiLvlLbl val="0"/>
      </c:catAx>
      <c:valAx>
        <c:axId val="-20031382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ZA"/>
                  <a:t>% min. food energy needs</a:t>
                </a:r>
              </a:p>
            </c:rich>
          </c:tx>
          <c:layout>
            <c:manualLayout>
              <c:xMode val="edge"/>
              <c:yMode val="edge"/>
              <c:x val="0.010611790302528"/>
              <c:y val="0.3311060676239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03141464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24999481972648"/>
          <c:y val="0.101960784313725"/>
          <c:w val="0.319078688354745"/>
          <c:h val="0.729411455920951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41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0000000000002" r="0.750000000000002" t="1.0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7272727272727"/>
          <c:y val="0.0667779632721202"/>
          <c:w val="0.731818181818182"/>
          <c:h val="0.66110183639399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Poor!$A$37</c:f>
              <c:strCache>
                <c:ptCount val="1"/>
                <c:pt idx="0">
                  <c:v>Pig sales: no sold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Poor!$K$37:$M$37</c:f>
              <c:numCache>
                <c:formatCode>0%</c:formatCode>
                <c:ptCount val="3"/>
                <c:pt idx="0">
                  <c:v>0.0119509651898261</c:v>
                </c:pt>
                <c:pt idx="1">
                  <c:v>0.0112817111391959</c:v>
                </c:pt>
                <c:pt idx="2">
                  <c:v>0.0112817111391959</c:v>
                </c:pt>
              </c:numCache>
            </c:numRef>
          </c:val>
        </c:ser>
        <c:ser>
          <c:idx val="1"/>
          <c:order val="1"/>
          <c:tx>
            <c:strRef>
              <c:f>Poor!$A$38</c:f>
              <c:strCache>
                <c:ptCount val="1"/>
                <c:pt idx="0">
                  <c:v>Cattle sales - local: no. sold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Poor!$K$38:$M$38</c:f>
              <c:numCache>
                <c:formatCode>0%</c:formatCode>
                <c:ptCount val="3"/>
                <c:pt idx="0">
                  <c:v>0.0354794279072964</c:v>
                </c:pt>
                <c:pt idx="1">
                  <c:v>0.0334925799444878</c:v>
                </c:pt>
                <c:pt idx="2">
                  <c:v>0.0334925799444878</c:v>
                </c:pt>
              </c:numCache>
            </c:numRef>
          </c:val>
        </c:ser>
        <c:ser>
          <c:idx val="2"/>
          <c:order val="2"/>
          <c:tx>
            <c:strRef>
              <c:f>Poor!$A$39</c:f>
              <c:strCache>
                <c:ptCount val="1"/>
                <c:pt idx="0">
                  <c:v>Goat sales - local: no. sold</c:v>
                </c:pt>
              </c:strCache>
            </c:strRef>
          </c:tx>
          <c:spPr>
            <a:solidFill>
              <a:srgbClr val="99CC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Poor!$K$39:$M$39</c:f>
              <c:numCache>
                <c:formatCode>0%</c:formatCode>
                <c:ptCount val="3"/>
                <c:pt idx="0">
                  <c:v>0.0228860983385171</c:v>
                </c:pt>
                <c:pt idx="1">
                  <c:v>0.0216044768315601</c:v>
                </c:pt>
                <c:pt idx="2">
                  <c:v>0.00764335929680521</c:v>
                </c:pt>
              </c:numCache>
            </c:numRef>
          </c:val>
        </c:ser>
        <c:ser>
          <c:idx val="3"/>
          <c:order val="3"/>
          <c:tx>
            <c:strRef>
              <c:f>Poor!$A$40</c:f>
              <c:strCache>
                <c:ptCount val="1"/>
                <c:pt idx="0">
                  <c:v>Chicken sales: no. sold</c:v>
                </c:pt>
              </c:strCache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Poor!$K$40:$M$40</c:f>
              <c:numCache>
                <c:formatCode>0%</c:formatCode>
                <c:ptCount val="3"/>
                <c:pt idx="0">
                  <c:v>0.000131460617088088</c:v>
                </c:pt>
                <c:pt idx="1">
                  <c:v>0.000155123528163943</c:v>
                </c:pt>
                <c:pt idx="2">
                  <c:v>0.000155123528163943</c:v>
                </c:pt>
              </c:numCache>
            </c:numRef>
          </c:val>
        </c:ser>
        <c:ser>
          <c:idx val="4"/>
          <c:order val="4"/>
          <c:tx>
            <c:strRef>
              <c:f>Poor!$A$41</c:f>
              <c:strCache>
                <c:ptCount val="1"/>
                <c:pt idx="0">
                  <c:v>Green maize sold: quantity</c:v>
                </c:pt>
              </c:strCache>
            </c:strRef>
          </c:tx>
          <c:spPr>
            <a:solidFill>
              <a:srgbClr val="FF99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Poor!$K$41:$M$41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5"/>
          <c:order val="5"/>
          <c:tx>
            <c:strRef>
              <c:f>Poor!$A$42</c:f>
              <c:strCache>
                <c:ptCount val="1"/>
                <c:pt idx="0">
                  <c:v>Maize: kg produced</c:v>
                </c:pt>
              </c:strCache>
            </c:strRef>
          </c:tx>
          <c:spPr>
            <a:solidFill>
              <a:srgbClr val="F2088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Poor!$K$42:$M$42</c:f>
              <c:numCache>
                <c:formatCode>0%</c:formatCode>
                <c:ptCount val="3"/>
                <c:pt idx="0">
                  <c:v>0.00179264477847392</c:v>
                </c:pt>
                <c:pt idx="1">
                  <c:v>0.0027355759319512</c:v>
                </c:pt>
                <c:pt idx="2">
                  <c:v>0.0</c:v>
                </c:pt>
              </c:numCache>
            </c:numRef>
          </c:val>
        </c:ser>
        <c:ser>
          <c:idx val="6"/>
          <c:order val="6"/>
          <c:tx>
            <c:strRef>
              <c:f>Poor!$A$43</c:f>
              <c:strCache>
                <c:ptCount val="1"/>
                <c:pt idx="0">
                  <c:v>Maize (irrigated): kg produced</c:v>
                </c:pt>
              </c:strCache>
            </c:strRef>
          </c:tx>
          <c:spPr>
            <a:solidFill>
              <a:srgbClr val="1FB71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Poor!$K$43:$M$43</c:f>
              <c:numCache>
                <c:formatCode>0%</c:formatCode>
                <c:ptCount val="3"/>
                <c:pt idx="0">
                  <c:v>0.00478038607593046</c:v>
                </c:pt>
                <c:pt idx="1">
                  <c:v>0.00729486915186988</c:v>
                </c:pt>
                <c:pt idx="2">
                  <c:v>0.0</c:v>
                </c:pt>
              </c:numCache>
            </c:numRef>
          </c:val>
        </c:ser>
        <c:ser>
          <c:idx val="7"/>
          <c:order val="7"/>
          <c:tx>
            <c:strRef>
              <c:f>Poor!$A$44</c:f>
              <c:strCache>
                <c:ptCount val="1"/>
                <c:pt idx="0">
                  <c:v>Beans: kg produced</c:v>
                </c:pt>
              </c:strCache>
            </c:strRef>
          </c:tx>
          <c:spPr>
            <a:solidFill>
              <a:srgbClr val="CC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Poor!$K$44:$M$44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8"/>
          <c:order val="8"/>
          <c:tx>
            <c:strRef>
              <c:f>Poor!$A$45</c:f>
              <c:strCache>
                <c:ptCount val="1"/>
                <c:pt idx="0">
                  <c:v>Potato: kg produced</c:v>
                </c:pt>
              </c:strCache>
            </c:strRef>
          </c:tx>
          <c:spPr>
            <a:solidFill>
              <a:srgbClr val="00009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Poor!$K$45:$M$45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9"/>
          <c:order val="9"/>
          <c:tx>
            <c:strRef>
              <c:f>Poor!$A$46</c:f>
              <c:strCache>
                <c:ptCount val="1"/>
                <c:pt idx="0">
                  <c:v>Sweet potato: no. local meas</c:v>
                </c:pt>
              </c:strCache>
            </c:strRef>
          </c:tx>
          <c:spPr>
            <a:solidFill>
              <a:srgbClr val="96969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Poor!$K$46:$M$46</c:f>
              <c:numCache>
                <c:formatCode>0%</c:formatCode>
                <c:ptCount val="3"/>
                <c:pt idx="0">
                  <c:v>0.00597548259491307</c:v>
                </c:pt>
                <c:pt idx="1">
                  <c:v>0.0083656756328783</c:v>
                </c:pt>
                <c:pt idx="2">
                  <c:v>0.0</c:v>
                </c:pt>
              </c:numCache>
            </c:numRef>
          </c:val>
        </c:ser>
        <c:ser>
          <c:idx val="10"/>
          <c:order val="10"/>
          <c:tx>
            <c:strRef>
              <c:f>Poor!$A$47</c:f>
              <c:strCache>
                <c:ptCount val="1"/>
                <c:pt idx="0">
                  <c:v>Groundnuts (dry): no. local meas</c:v>
                </c:pt>
              </c:strCache>
            </c:strRef>
          </c:tx>
          <c:spPr>
            <a:solidFill>
              <a:srgbClr val="FCF305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Poor!$K$47:$M$47</c:f>
              <c:numCache>
                <c:formatCode>0%</c:formatCode>
                <c:ptCount val="3"/>
                <c:pt idx="0">
                  <c:v>0.00537793433542176</c:v>
                </c:pt>
                <c:pt idx="1">
                  <c:v>0.00752910806959047</c:v>
                </c:pt>
                <c:pt idx="2">
                  <c:v>0.0</c:v>
                </c:pt>
              </c:numCache>
            </c:numRef>
          </c:val>
        </c:ser>
        <c:ser>
          <c:idx val="11"/>
          <c:order val="11"/>
          <c:tx>
            <c:strRef>
              <c:f>Poor!$A$48</c:f>
              <c:strCache>
                <c:ptCount val="1"/>
                <c:pt idx="0">
                  <c:v>Other crop: Rape</c:v>
                </c:pt>
              </c:strCache>
            </c:strRef>
          </c:tx>
          <c:spPr>
            <a:solidFill>
              <a:srgbClr val="00ABEA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Poor!$K$48:$M$48</c:f>
              <c:numCache>
                <c:formatCode>0%</c:formatCode>
                <c:ptCount val="3"/>
                <c:pt idx="0">
                  <c:v>0.00104570945410979</c:v>
                </c:pt>
                <c:pt idx="1">
                  <c:v>0.0014639932357537</c:v>
                </c:pt>
                <c:pt idx="2">
                  <c:v>0.0</c:v>
                </c:pt>
              </c:numCache>
            </c:numRef>
          </c:val>
        </c:ser>
        <c:ser>
          <c:idx val="12"/>
          <c:order val="12"/>
          <c:tx>
            <c:strRef>
              <c:f>Poor!$A$49</c:f>
              <c:strCache>
                <c:ptCount val="1"/>
                <c:pt idx="0">
                  <c:v>Other cashcrop (cabbage): kg produced</c:v>
                </c:pt>
              </c:strCache>
            </c:strRef>
          </c:tx>
          <c:spPr>
            <a:solidFill>
              <a:srgbClr val="4600A5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Poor!$K$49:$M$49</c:f>
              <c:numCache>
                <c:formatCode>0%</c:formatCode>
                <c:ptCount val="3"/>
                <c:pt idx="0">
                  <c:v>0.00597548259491307</c:v>
                </c:pt>
                <c:pt idx="1">
                  <c:v>0.0083656756328783</c:v>
                </c:pt>
                <c:pt idx="2">
                  <c:v>0.0</c:v>
                </c:pt>
              </c:numCache>
            </c:numRef>
          </c:val>
        </c:ser>
        <c:ser>
          <c:idx val="13"/>
          <c:order val="13"/>
          <c:tx>
            <c:strRef>
              <c:f>Poor!$A$50</c:f>
              <c:strCache>
                <c:ptCount val="1"/>
                <c:pt idx="0">
                  <c:v>Other crop: Amadumbe</c:v>
                </c:pt>
              </c:strCache>
            </c:strRef>
          </c:tx>
          <c:spPr>
            <a:solidFill>
              <a:srgbClr val="FFCC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Poor!$K$50:$M$50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4"/>
          <c:order val="14"/>
          <c:tx>
            <c:strRef>
              <c:f>Poor!$A$51</c:f>
              <c:strCache>
                <c:ptCount val="1"/>
                <c:pt idx="0">
                  <c:v>Water melon: no. local meas</c:v>
                </c:pt>
              </c:strCache>
            </c:strRef>
          </c:tx>
          <c:spPr>
            <a:solidFill>
              <a:srgbClr val="00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Poor!$K$51:$M$51</c:f>
              <c:numCache>
                <c:formatCode>0%</c:formatCode>
                <c:ptCount val="3"/>
                <c:pt idx="0">
                  <c:v>0.00239019303796523</c:v>
                </c:pt>
                <c:pt idx="1">
                  <c:v>0.00334627025315132</c:v>
                </c:pt>
                <c:pt idx="2">
                  <c:v>0.0</c:v>
                </c:pt>
              </c:numCache>
            </c:numRef>
          </c:val>
        </c:ser>
        <c:ser>
          <c:idx val="15"/>
          <c:order val="15"/>
          <c:tx>
            <c:strRef>
              <c:f>Poor!$A$52</c:f>
              <c:strCache>
                <c:ptCount val="1"/>
                <c:pt idx="0">
                  <c:v>FISHING -- see worksheet Data 3</c:v>
                </c:pt>
              </c:strCache>
            </c:strRef>
          </c:tx>
          <c:spPr>
            <a:solidFill>
              <a:srgbClr val="0000D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Poor!$K$52:$M$52</c:f>
              <c:numCache>
                <c:formatCode>0%</c:formatCode>
                <c:ptCount val="3"/>
                <c:pt idx="0">
                  <c:v>0.00746935324364134</c:v>
                </c:pt>
                <c:pt idx="1">
                  <c:v>0.00881383682749678</c:v>
                </c:pt>
                <c:pt idx="2">
                  <c:v>0.0224752839101168</c:v>
                </c:pt>
              </c:numCache>
            </c:numRef>
          </c:val>
        </c:ser>
        <c:ser>
          <c:idx val="16"/>
          <c:order val="16"/>
          <c:tx>
            <c:strRef>
              <c:f>Poor!$A$53</c:f>
              <c:strCache>
                <c:ptCount val="1"/>
                <c:pt idx="0">
                  <c:v>WILD FOODS -- see worksheet Data 3</c:v>
                </c:pt>
              </c:strCache>
            </c:strRef>
          </c:tx>
          <c:spPr>
            <a:solidFill>
              <a:srgbClr val="00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Poor!$K$53:$M$53</c:f>
              <c:numCache>
                <c:formatCode>0%</c:formatCode>
                <c:ptCount val="3"/>
                <c:pt idx="0">
                  <c:v>0.00645352120250612</c:v>
                </c:pt>
                <c:pt idx="1">
                  <c:v>0.00761515501895722</c:v>
                </c:pt>
                <c:pt idx="2">
                  <c:v>0.00951894377369652</c:v>
                </c:pt>
              </c:numCache>
            </c:numRef>
          </c:val>
        </c:ser>
        <c:ser>
          <c:idx val="17"/>
          <c:order val="17"/>
          <c:tx>
            <c:strRef>
              <c:f>Poor!$A$54</c:f>
              <c:strCache>
                <c:ptCount val="1"/>
                <c:pt idx="0">
                  <c:v>Agricultural casual work -- see Data2</c:v>
                </c:pt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Poor!$K$54:$M$54</c:f>
              <c:numCache>
                <c:formatCode>0%</c:formatCode>
                <c:ptCount val="3"/>
                <c:pt idx="0">
                  <c:v>0.0326560123811999</c:v>
                </c:pt>
                <c:pt idx="1">
                  <c:v>0.0362481737431319</c:v>
                </c:pt>
                <c:pt idx="2">
                  <c:v>0.0362481737431319</c:v>
                </c:pt>
              </c:numCache>
            </c:numRef>
          </c:val>
        </c:ser>
        <c:ser>
          <c:idx val="18"/>
          <c:order val="18"/>
          <c:tx>
            <c:strRef>
              <c:f>Poor!$A$55</c:f>
              <c:strCache>
                <c:ptCount val="1"/>
                <c:pt idx="0">
                  <c:v>Construction casual work -- see Data2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Poor!$K$55:$M$55</c:f>
              <c:numCache>
                <c:formatCode>0%</c:formatCode>
                <c:ptCount val="3"/>
                <c:pt idx="0">
                  <c:v>0.039318675474528</c:v>
                </c:pt>
                <c:pt idx="1">
                  <c:v>0.0436437297767261</c:v>
                </c:pt>
                <c:pt idx="2">
                  <c:v>0.0436437297767261</c:v>
                </c:pt>
              </c:numCache>
            </c:numRef>
          </c:val>
        </c:ser>
        <c:ser>
          <c:idx val="19"/>
          <c:order val="19"/>
          <c:tx>
            <c:strRef>
              <c:f>Poor!$A$56</c:f>
              <c:strCache>
                <c:ptCount val="1"/>
                <c:pt idx="0">
                  <c:v>Domestic casual work -- see Data2</c:v>
                </c:pt>
              </c:strCache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Poor!$K$56:$M$56</c:f>
              <c:numCache>
                <c:formatCode>0%</c:formatCode>
                <c:ptCount val="3"/>
                <c:pt idx="0">
                  <c:v>0.0893932196198995</c:v>
                </c:pt>
                <c:pt idx="1">
                  <c:v>0.0992264737780885</c:v>
                </c:pt>
                <c:pt idx="2">
                  <c:v>0.0959100809379117</c:v>
                </c:pt>
              </c:numCache>
            </c:numRef>
          </c:val>
        </c:ser>
        <c:ser>
          <c:idx val="20"/>
          <c:order val="20"/>
          <c:tx>
            <c:strRef>
              <c:f>Poor!$A$57</c:f>
              <c:strCache>
                <c:ptCount val="1"/>
                <c:pt idx="0">
                  <c:v>Labour migration(formal employment): no. people per HH</c:v>
                </c:pt>
              </c:strCache>
            </c:strRef>
          </c:tx>
          <c:spPr>
            <a:solidFill>
              <a:srgbClr val="99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Poor!$K$57:$M$57</c:f>
              <c:numCache>
                <c:formatCode>0%</c:formatCode>
                <c:ptCount val="3"/>
                <c:pt idx="0">
                  <c:v>0.157752740505705</c:v>
                </c:pt>
                <c:pt idx="1">
                  <c:v>0.148918587037386</c:v>
                </c:pt>
                <c:pt idx="2">
                  <c:v>0.148918587037386</c:v>
                </c:pt>
              </c:numCache>
            </c:numRef>
          </c:val>
        </c:ser>
        <c:ser>
          <c:idx val="21"/>
          <c:order val="21"/>
          <c:tx>
            <c:strRef>
              <c:f>Poor!$A$58</c:f>
              <c:strCache>
                <c:ptCount val="1"/>
                <c:pt idx="0">
                  <c:v>Formal Employment (e.g. teachers, salaried staff, etc.)</c:v>
                </c:pt>
              </c:strCache>
            </c:strRef>
          </c:tx>
          <c:spPr>
            <a:solidFill>
              <a:srgbClr val="FF99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Poor!$K$58:$M$58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2"/>
          <c:order val="22"/>
          <c:tx>
            <c:strRef>
              <c:f>Poor!$A$59</c:f>
              <c:strCache>
                <c:ptCount val="1"/>
                <c:pt idx="0">
                  <c:v>Self-employment -- see Data2</c:v>
                </c:pt>
              </c:strCache>
            </c:strRef>
          </c:tx>
          <c:spPr>
            <a:solidFill>
              <a:srgbClr val="CC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Poor!$K$59:$M$59</c:f>
              <c:numCache>
                <c:formatCode>0%</c:formatCode>
                <c:ptCount val="3"/>
                <c:pt idx="0">
                  <c:v>0.0759483837813451</c:v>
                </c:pt>
                <c:pt idx="1">
                  <c:v>0.0607587070250761</c:v>
                </c:pt>
                <c:pt idx="2">
                  <c:v>0.0729104484300913</c:v>
                </c:pt>
              </c:numCache>
            </c:numRef>
          </c:val>
        </c:ser>
        <c:ser>
          <c:idx val="23"/>
          <c:order val="23"/>
          <c:tx>
            <c:strRef>
              <c:f>Poor!$A$60</c:f>
              <c:strCache>
                <c:ptCount val="1"/>
                <c:pt idx="0">
                  <c:v>Small business -- see Data2</c:v>
                </c:pt>
              </c:strCache>
            </c:strRef>
          </c:tx>
          <c:invertIfNegative val="0"/>
          <c:val>
            <c:numRef>
              <c:f>Poor!$K$60:$M$60</c:f>
              <c:numCache>
                <c:formatCode>0%</c:formatCode>
                <c:ptCount val="3"/>
                <c:pt idx="0">
                  <c:v>0.0172093898733496</c:v>
                </c:pt>
                <c:pt idx="1">
                  <c:v>0.0162456640404421</c:v>
                </c:pt>
                <c:pt idx="2">
                  <c:v>0.0162456640404421</c:v>
                </c:pt>
              </c:numCache>
            </c:numRef>
          </c:val>
        </c:ser>
        <c:ser>
          <c:idx val="24"/>
          <c:order val="24"/>
          <c:tx>
            <c:strRef>
              <c:f>Poor!$A$61</c:f>
              <c:strCache>
                <c:ptCount val="1"/>
                <c:pt idx="0">
                  <c:v>Social development -- see Data2</c:v>
                </c:pt>
              </c:strCache>
            </c:strRef>
          </c:tx>
          <c:invertIfNegative val="0"/>
          <c:val>
            <c:numRef>
              <c:f>Poor!$K$61:$M$61</c:f>
              <c:numCache>
                <c:formatCode>0%</c:formatCode>
                <c:ptCount val="3"/>
                <c:pt idx="0">
                  <c:v>0.389362445884536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5"/>
          <c:order val="25"/>
          <c:tx>
            <c:strRef>
              <c:f>Poor!$A$62</c:f>
              <c:strCache>
                <c:ptCount val="1"/>
                <c:pt idx="0">
                  <c:v>Public works -- see Data2</c:v>
                </c:pt>
              </c:strCache>
            </c:strRef>
          </c:tx>
          <c:invertIfNegative val="0"/>
          <c:val>
            <c:numRef>
              <c:f>Poor!$K$62:$M$62</c:f>
              <c:numCache>
                <c:formatCode>0%</c:formatCode>
                <c:ptCount val="3"/>
                <c:pt idx="0">
                  <c:v>0.0490049327608821</c:v>
                </c:pt>
                <c:pt idx="1">
                  <c:v>0.0578258206578409</c:v>
                </c:pt>
                <c:pt idx="2">
                  <c:v>0.0578258206578409</c:v>
                </c:pt>
              </c:numCache>
            </c:numRef>
          </c:val>
        </c:ser>
        <c:ser>
          <c:idx val="26"/>
          <c:order val="26"/>
          <c:tx>
            <c:strRef>
              <c:f>Poor!$A$63</c:f>
              <c:strCache>
                <c:ptCount val="1"/>
                <c:pt idx="0">
                  <c:v>Other income: e.g. Credit (cotton loans)</c:v>
                </c:pt>
              </c:strCache>
            </c:strRef>
          </c:tx>
          <c:invertIfNegative val="0"/>
          <c:val>
            <c:numRef>
              <c:f>Poor!$K$63:$M$63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7"/>
          <c:order val="27"/>
          <c:tx>
            <c:strRef>
              <c:f>Poor!$A$64</c:f>
              <c:strCache>
                <c:ptCount val="1"/>
                <c:pt idx="0">
                  <c:v>Remittances: no. times per year</c:v>
                </c:pt>
              </c:strCache>
            </c:strRef>
          </c:tx>
          <c:invertIfNegative val="0"/>
          <c:val>
            <c:numRef>
              <c:f>Poor!$K$64:$M$64</c:f>
              <c:numCache>
                <c:formatCode>0%</c:formatCode>
                <c:ptCount val="3"/>
                <c:pt idx="0">
                  <c:v>0.0376455403479523</c:v>
                </c:pt>
                <c:pt idx="1">
                  <c:v>0.0417865497862271</c:v>
                </c:pt>
                <c:pt idx="2">
                  <c:v>0.0417865497862271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-1999944104"/>
        <c:axId val="-1995840728"/>
      </c:barChart>
      <c:catAx>
        <c:axId val="-19999441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9958407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199584072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% baseline income</a:t>
                </a:r>
              </a:p>
            </c:rich>
          </c:tx>
          <c:layout>
            <c:manualLayout>
              <c:xMode val="edge"/>
              <c:yMode val="edge"/>
              <c:x val="0.0113636576677915"/>
              <c:y val="0.285475860617645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999944104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8329571106095"/>
          <c:y val="0.0666297947099587"/>
          <c:w val="0.729119638826185"/>
          <c:h val="0.5840648806094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Middle!$A$37</c:f>
              <c:strCache>
                <c:ptCount val="1"/>
                <c:pt idx="0">
                  <c:v>Pig sales: no sold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Middle!$K$37:$M$37</c:f>
              <c:numCache>
                <c:formatCode>0%</c:formatCode>
                <c:ptCount val="3"/>
                <c:pt idx="0">
                  <c:v>0.00931148238799617</c:v>
                </c:pt>
                <c:pt idx="1">
                  <c:v>0.00879003937426838</c:v>
                </c:pt>
                <c:pt idx="2">
                  <c:v>0.00879003937426838</c:v>
                </c:pt>
              </c:numCache>
            </c:numRef>
          </c:val>
        </c:ser>
        <c:ser>
          <c:idx val="1"/>
          <c:order val="1"/>
          <c:tx>
            <c:strRef>
              <c:f>Middle!$A$38</c:f>
              <c:strCache>
                <c:ptCount val="1"/>
                <c:pt idx="0">
                  <c:v>Cattle sales - local: no. sold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Middle!$K$38:$M$38</c:f>
              <c:numCache>
                <c:formatCode>0%</c:formatCode>
                <c:ptCount val="3"/>
                <c:pt idx="0">
                  <c:v>0.0731616473342556</c:v>
                </c:pt>
                <c:pt idx="1">
                  <c:v>0.0690645950835373</c:v>
                </c:pt>
                <c:pt idx="2">
                  <c:v>0.073234473256908</c:v>
                </c:pt>
              </c:numCache>
            </c:numRef>
          </c:val>
        </c:ser>
        <c:ser>
          <c:idx val="2"/>
          <c:order val="2"/>
          <c:tx>
            <c:strRef>
              <c:f>Middle!$A$39</c:f>
              <c:strCache>
                <c:ptCount val="1"/>
                <c:pt idx="0">
                  <c:v>Goat sales - local: no. sold</c:v>
                </c:pt>
              </c:strCache>
            </c:strRef>
          </c:tx>
          <c:spPr>
            <a:solidFill>
              <a:srgbClr val="99CC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Middle!$K$39:$M$39</c:f>
              <c:numCache>
                <c:formatCode>0%</c:formatCode>
                <c:ptCount val="3"/>
                <c:pt idx="0">
                  <c:v>0.0196871341917633</c:v>
                </c:pt>
                <c:pt idx="1">
                  <c:v>0.0185846546770246</c:v>
                </c:pt>
                <c:pt idx="2">
                  <c:v>0.0186167306629736</c:v>
                </c:pt>
              </c:numCache>
            </c:numRef>
          </c:val>
        </c:ser>
        <c:ser>
          <c:idx val="3"/>
          <c:order val="3"/>
          <c:tx>
            <c:strRef>
              <c:f>Middle!$A$40</c:f>
              <c:strCache>
                <c:ptCount val="1"/>
                <c:pt idx="0">
                  <c:v>Chicken sales: no. sold</c:v>
                </c:pt>
              </c:strCache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Middle!$K$40:$M$40</c:f>
              <c:numCache>
                <c:formatCode>0%</c:formatCode>
                <c:ptCount val="3"/>
                <c:pt idx="0">
                  <c:v>0.00349180589549856</c:v>
                </c:pt>
                <c:pt idx="1">
                  <c:v>0.0041203309566883</c:v>
                </c:pt>
                <c:pt idx="2">
                  <c:v>0.0041203309566883</c:v>
                </c:pt>
              </c:numCache>
            </c:numRef>
          </c:val>
        </c:ser>
        <c:ser>
          <c:idx val="4"/>
          <c:order val="4"/>
          <c:tx>
            <c:strRef>
              <c:f>Middle!$A$41</c:f>
              <c:strCache>
                <c:ptCount val="1"/>
                <c:pt idx="0">
                  <c:v>Green maize sold: quantity</c:v>
                </c:pt>
              </c:strCache>
            </c:strRef>
          </c:tx>
          <c:spPr>
            <a:solidFill>
              <a:srgbClr val="FF99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Middle!$K$41:$M$41</c:f>
              <c:numCache>
                <c:formatCode>0%</c:formatCode>
                <c:ptCount val="3"/>
                <c:pt idx="0">
                  <c:v>0.0853829679685006</c:v>
                </c:pt>
                <c:pt idx="1">
                  <c:v>0.119536155155901</c:v>
                </c:pt>
                <c:pt idx="2">
                  <c:v>0.119536155155901</c:v>
                </c:pt>
              </c:numCache>
            </c:numRef>
          </c:val>
        </c:ser>
        <c:ser>
          <c:idx val="5"/>
          <c:order val="5"/>
          <c:tx>
            <c:strRef>
              <c:f>Middle!$A$42</c:f>
              <c:strCache>
                <c:ptCount val="1"/>
                <c:pt idx="0">
                  <c:v>Maize: kg produced</c:v>
                </c:pt>
              </c:strCache>
            </c:strRef>
          </c:tx>
          <c:spPr>
            <a:solidFill>
              <a:srgbClr val="F2088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Middle!$K$42:$M$42</c:f>
              <c:numCache>
                <c:formatCode>0%</c:formatCode>
                <c:ptCount val="3"/>
                <c:pt idx="0">
                  <c:v>0.0239571139725444</c:v>
                </c:pt>
                <c:pt idx="1">
                  <c:v>0.0365585559221028</c:v>
                </c:pt>
                <c:pt idx="2">
                  <c:v>0.0290877706543666</c:v>
                </c:pt>
              </c:numCache>
            </c:numRef>
          </c:val>
        </c:ser>
        <c:ser>
          <c:idx val="6"/>
          <c:order val="6"/>
          <c:tx>
            <c:strRef>
              <c:f>Middle!$A$43</c:f>
              <c:strCache>
                <c:ptCount val="1"/>
                <c:pt idx="0">
                  <c:v>Maize (irrigated): kg produced</c:v>
                </c:pt>
              </c:strCache>
            </c:strRef>
          </c:tx>
          <c:spPr>
            <a:solidFill>
              <a:srgbClr val="1FB71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Middle!$K$43:$M$43</c:f>
              <c:numCache>
                <c:formatCode>0%</c:formatCode>
                <c:ptCount val="3"/>
                <c:pt idx="0">
                  <c:v>0.000997658827285304</c:v>
                </c:pt>
                <c:pt idx="1">
                  <c:v>0.00152242737043737</c:v>
                </c:pt>
                <c:pt idx="2">
                  <c:v>0.00121131748977096</c:v>
                </c:pt>
              </c:numCache>
            </c:numRef>
          </c:val>
        </c:ser>
        <c:ser>
          <c:idx val="7"/>
          <c:order val="7"/>
          <c:tx>
            <c:strRef>
              <c:f>Middle!$A$44</c:f>
              <c:strCache>
                <c:ptCount val="1"/>
                <c:pt idx="0">
                  <c:v>Beans: kg produced</c:v>
                </c:pt>
              </c:strCache>
            </c:strRef>
          </c:tx>
          <c:spPr>
            <a:solidFill>
              <a:srgbClr val="CC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Middle!$K$44:$M$44</c:f>
              <c:numCache>
                <c:formatCode>0%</c:formatCode>
                <c:ptCount val="3"/>
                <c:pt idx="0">
                  <c:v>0.00266042353942748</c:v>
                </c:pt>
                <c:pt idx="1">
                  <c:v>0.00372459295519847</c:v>
                </c:pt>
                <c:pt idx="2">
                  <c:v>0.00351052652354726</c:v>
                </c:pt>
              </c:numCache>
            </c:numRef>
          </c:val>
        </c:ser>
        <c:ser>
          <c:idx val="8"/>
          <c:order val="8"/>
          <c:tx>
            <c:strRef>
              <c:f>Middle!$A$45</c:f>
              <c:strCache>
                <c:ptCount val="1"/>
                <c:pt idx="0">
                  <c:v>Potato: kg produced</c:v>
                </c:pt>
              </c:strCache>
            </c:strRef>
          </c:tx>
          <c:spPr>
            <a:solidFill>
              <a:srgbClr val="00009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Middle!$K$45:$M$45</c:f>
              <c:numCache>
                <c:formatCode>0%</c:formatCode>
                <c:ptCount val="3"/>
                <c:pt idx="0">
                  <c:v>0.00239438118548473</c:v>
                </c:pt>
                <c:pt idx="1">
                  <c:v>0.00335213365967862</c:v>
                </c:pt>
                <c:pt idx="2">
                  <c:v>0.00266712107839477</c:v>
                </c:pt>
              </c:numCache>
            </c:numRef>
          </c:val>
        </c:ser>
        <c:ser>
          <c:idx val="9"/>
          <c:order val="9"/>
          <c:tx>
            <c:strRef>
              <c:f>Middle!$A$46</c:f>
              <c:strCache>
                <c:ptCount val="1"/>
                <c:pt idx="0">
                  <c:v>Sweet potato: no. local meas</c:v>
                </c:pt>
              </c:strCache>
            </c:strRef>
          </c:tx>
          <c:spPr>
            <a:solidFill>
              <a:srgbClr val="96969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Middle!$K$46:$M$46</c:f>
              <c:numCache>
                <c:formatCode>0%</c:formatCode>
                <c:ptCount val="3"/>
                <c:pt idx="0">
                  <c:v>0.00997658827285304</c:v>
                </c:pt>
                <c:pt idx="1">
                  <c:v>0.0139672235819942</c:v>
                </c:pt>
                <c:pt idx="2">
                  <c:v>0.0111130044933115</c:v>
                </c:pt>
              </c:numCache>
            </c:numRef>
          </c:val>
        </c:ser>
        <c:ser>
          <c:idx val="10"/>
          <c:order val="10"/>
          <c:tx>
            <c:strRef>
              <c:f>Middle!$A$47</c:f>
              <c:strCache>
                <c:ptCount val="1"/>
                <c:pt idx="0">
                  <c:v>Groundnuts (dry): no. local meas</c:v>
                </c:pt>
              </c:strCache>
            </c:strRef>
          </c:tx>
          <c:spPr>
            <a:solidFill>
              <a:srgbClr val="FCF305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Middle!$K$47:$M$47</c:f>
              <c:numCache>
                <c:formatCode>0%</c:formatCode>
                <c:ptCount val="3"/>
                <c:pt idx="0">
                  <c:v>0.00299297648185591</c:v>
                </c:pt>
                <c:pt idx="1">
                  <c:v>0.00419016707459828</c:v>
                </c:pt>
                <c:pt idx="2">
                  <c:v>0.00333390134799346</c:v>
                </c:pt>
              </c:numCache>
            </c:numRef>
          </c:val>
        </c:ser>
        <c:ser>
          <c:idx val="11"/>
          <c:order val="11"/>
          <c:tx>
            <c:strRef>
              <c:f>Middle!$A$48</c:f>
              <c:strCache>
                <c:ptCount val="1"/>
                <c:pt idx="0">
                  <c:v>Other crop: Rape</c:v>
                </c:pt>
              </c:strCache>
            </c:strRef>
          </c:tx>
          <c:spPr>
            <a:solidFill>
              <a:srgbClr val="00ABEA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Middle!$K$48:$M$48</c:f>
              <c:numCache>
                <c:formatCode>0%</c:formatCode>
                <c:ptCount val="3"/>
                <c:pt idx="0">
                  <c:v>0.000581967649249761</c:v>
                </c:pt>
                <c:pt idx="1">
                  <c:v>0.000814754708949665</c:v>
                </c:pt>
                <c:pt idx="2">
                  <c:v>0.000648258595443173</c:v>
                </c:pt>
              </c:numCache>
            </c:numRef>
          </c:val>
        </c:ser>
        <c:ser>
          <c:idx val="12"/>
          <c:order val="12"/>
          <c:tx>
            <c:strRef>
              <c:f>Middle!$A$49</c:f>
              <c:strCache>
                <c:ptCount val="1"/>
                <c:pt idx="0">
                  <c:v>Other cashcrop (cabbage): kg produced</c:v>
                </c:pt>
              </c:strCache>
            </c:strRef>
          </c:tx>
          <c:spPr>
            <a:solidFill>
              <a:srgbClr val="4600A5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Middle!$K$49:$M$49</c:f>
              <c:numCache>
                <c:formatCode>0%</c:formatCode>
                <c:ptCount val="3"/>
                <c:pt idx="0">
                  <c:v>0.00266042353942748</c:v>
                </c:pt>
                <c:pt idx="1">
                  <c:v>0.00372459295519847</c:v>
                </c:pt>
                <c:pt idx="2">
                  <c:v>0.00372459295519847</c:v>
                </c:pt>
              </c:numCache>
            </c:numRef>
          </c:val>
        </c:ser>
        <c:ser>
          <c:idx val="13"/>
          <c:order val="13"/>
          <c:tx>
            <c:strRef>
              <c:f>Middle!$A$50</c:f>
              <c:strCache>
                <c:ptCount val="1"/>
                <c:pt idx="0">
                  <c:v>Other crop: Amadumbe</c:v>
                </c:pt>
              </c:strCache>
            </c:strRef>
          </c:tx>
          <c:spPr>
            <a:solidFill>
              <a:srgbClr val="FFCC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Middle!$K$50:$M$50</c:f>
              <c:numCache>
                <c:formatCode>0%</c:formatCode>
                <c:ptCount val="3"/>
                <c:pt idx="0">
                  <c:v>0.00166276471214217</c:v>
                </c:pt>
                <c:pt idx="1">
                  <c:v>0.00232787059699904</c:v>
                </c:pt>
                <c:pt idx="2">
                  <c:v>0.00185216741555192</c:v>
                </c:pt>
              </c:numCache>
            </c:numRef>
          </c:val>
        </c:ser>
        <c:ser>
          <c:idx val="14"/>
          <c:order val="14"/>
          <c:tx>
            <c:strRef>
              <c:f>Middle!$A$51</c:f>
              <c:strCache>
                <c:ptCount val="1"/>
                <c:pt idx="0">
                  <c:v>Water melon: no. local meas</c:v>
                </c:pt>
              </c:strCache>
            </c:strRef>
          </c:tx>
          <c:spPr>
            <a:solidFill>
              <a:srgbClr val="00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Middle!$K$51:$M$51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5"/>
          <c:order val="15"/>
          <c:tx>
            <c:strRef>
              <c:f>Middle!$A$52</c:f>
              <c:strCache>
                <c:ptCount val="1"/>
                <c:pt idx="0">
                  <c:v>FISHING -- see worksheet Data 3</c:v>
                </c:pt>
              </c:strCache>
            </c:strRef>
          </c:tx>
          <c:spPr>
            <a:solidFill>
              <a:srgbClr val="0000D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Middle!$K$52:$M$52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6"/>
          <c:order val="16"/>
          <c:tx>
            <c:strRef>
              <c:f>Middle!$A$53</c:f>
              <c:strCache>
                <c:ptCount val="1"/>
                <c:pt idx="0">
                  <c:v>WILD FOODS -- see worksheet Data 3</c:v>
                </c:pt>
              </c:strCache>
            </c:strRef>
          </c:tx>
          <c:spPr>
            <a:solidFill>
              <a:srgbClr val="00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Middle!$K$53:$M$53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7"/>
          <c:order val="17"/>
          <c:tx>
            <c:strRef>
              <c:f>Middle!$A$54</c:f>
              <c:strCache>
                <c:ptCount val="1"/>
                <c:pt idx="0">
                  <c:v>Agricultural casual work -- see Data2</c:v>
                </c:pt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Middle!$K$54:$M$54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8"/>
          <c:order val="18"/>
          <c:tx>
            <c:strRef>
              <c:f>Middle!$A$55</c:f>
              <c:strCache>
                <c:ptCount val="1"/>
                <c:pt idx="0">
                  <c:v>Construction casual work -- see Data2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Middle!$K$55:$M$55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9"/>
          <c:order val="19"/>
          <c:tx>
            <c:strRef>
              <c:f>Middle!$A$56</c:f>
              <c:strCache>
                <c:ptCount val="1"/>
                <c:pt idx="0">
                  <c:v>Domestic casual work -- see Data2</c:v>
                </c:pt>
              </c:strCache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Middle!$K$56:$M$56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0"/>
          <c:order val="20"/>
          <c:tx>
            <c:strRef>
              <c:f>Middle!$A$57</c:f>
              <c:strCache>
                <c:ptCount val="1"/>
                <c:pt idx="0">
                  <c:v>Labour migration(formal employment): no. people per HH</c:v>
                </c:pt>
              </c:strCache>
            </c:strRef>
          </c:tx>
          <c:spPr>
            <a:solidFill>
              <a:srgbClr val="99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Middle!$K$57:$M$57</c:f>
              <c:numCache>
                <c:formatCode>0%</c:formatCode>
                <c:ptCount val="3"/>
                <c:pt idx="0">
                  <c:v>0.144660529956369</c:v>
                </c:pt>
                <c:pt idx="1">
                  <c:v>0.136559540278812</c:v>
                </c:pt>
                <c:pt idx="2">
                  <c:v>0.136559540278812</c:v>
                </c:pt>
              </c:numCache>
            </c:numRef>
          </c:val>
        </c:ser>
        <c:ser>
          <c:idx val="21"/>
          <c:order val="21"/>
          <c:tx>
            <c:strRef>
              <c:f>Middle!$A$58</c:f>
              <c:strCache>
                <c:ptCount val="1"/>
                <c:pt idx="0">
                  <c:v>Formal Employment (e.g. teachers, salaried staff, etc.)</c:v>
                </c:pt>
              </c:strCache>
            </c:strRef>
          </c:tx>
          <c:spPr>
            <a:solidFill>
              <a:srgbClr val="FF99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Middle!$K$58:$M$58</c:f>
              <c:numCache>
                <c:formatCode>0%</c:formatCode>
                <c:ptCount val="3"/>
                <c:pt idx="0">
                  <c:v>0.119719059274236</c:v>
                </c:pt>
                <c:pt idx="1">
                  <c:v>0.113014791954879</c:v>
                </c:pt>
                <c:pt idx="2">
                  <c:v>0.113014791954879</c:v>
                </c:pt>
              </c:numCache>
            </c:numRef>
          </c:val>
        </c:ser>
        <c:ser>
          <c:idx val="22"/>
          <c:order val="22"/>
          <c:tx>
            <c:strRef>
              <c:f>Middle!$A$59</c:f>
              <c:strCache>
                <c:ptCount val="1"/>
                <c:pt idx="0">
                  <c:v>Self-employment -- see Data2</c:v>
                </c:pt>
              </c:strCache>
            </c:strRef>
          </c:tx>
          <c:spPr>
            <a:solidFill>
              <a:srgbClr val="CC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Middle!$K$59:$M$59</c:f>
              <c:numCache>
                <c:formatCode>0%</c:formatCode>
                <c:ptCount val="3"/>
                <c:pt idx="0">
                  <c:v>0.00399063530914121</c:v>
                </c:pt>
                <c:pt idx="1">
                  <c:v>0.00319250824731297</c:v>
                </c:pt>
                <c:pt idx="2">
                  <c:v>0.00332298683422418</c:v>
                </c:pt>
              </c:numCache>
            </c:numRef>
          </c:val>
        </c:ser>
        <c:ser>
          <c:idx val="23"/>
          <c:order val="23"/>
          <c:tx>
            <c:strRef>
              <c:f>Middle!$A$60</c:f>
              <c:strCache>
                <c:ptCount val="1"/>
                <c:pt idx="0">
                  <c:v>Small business -- see Data2</c:v>
                </c:pt>
              </c:strCache>
            </c:strRef>
          </c:tx>
          <c:invertIfNegative val="0"/>
          <c:val>
            <c:numRef>
              <c:f>Middle!$K$60:$M$60</c:f>
              <c:numCache>
                <c:formatCode>0%</c:formatCode>
                <c:ptCount val="3"/>
                <c:pt idx="0">
                  <c:v>0.357826966052996</c:v>
                </c:pt>
                <c:pt idx="1">
                  <c:v>0.337788655954028</c:v>
                </c:pt>
                <c:pt idx="2">
                  <c:v>0.337788655954028</c:v>
                </c:pt>
              </c:numCache>
            </c:numRef>
          </c:val>
        </c:ser>
        <c:ser>
          <c:idx val="24"/>
          <c:order val="24"/>
          <c:tx>
            <c:strRef>
              <c:f>Middle!$A$61</c:f>
              <c:strCache>
                <c:ptCount val="1"/>
                <c:pt idx="0">
                  <c:v>Social development -- see Data2</c:v>
                </c:pt>
              </c:strCache>
            </c:strRef>
          </c:tx>
          <c:invertIfNegative val="0"/>
          <c:val>
            <c:numRef>
              <c:f>Middle!$K$61:$M$61</c:f>
              <c:numCache>
                <c:formatCode>0%</c:formatCode>
                <c:ptCount val="3"/>
                <c:pt idx="0">
                  <c:v>0.0790145791209961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5"/>
          <c:order val="25"/>
          <c:tx>
            <c:strRef>
              <c:f>Middle!$A$62</c:f>
              <c:strCache>
                <c:ptCount val="1"/>
                <c:pt idx="0">
                  <c:v>Public works -- see Data2</c:v>
                </c:pt>
              </c:strCache>
            </c:strRef>
          </c:tx>
          <c:invertIfNegative val="0"/>
          <c:val>
            <c:numRef>
              <c:f>Middle!$K$62:$M$62</c:f>
              <c:numCache>
                <c:formatCode>0%</c:formatCode>
                <c:ptCount val="3"/>
                <c:pt idx="0">
                  <c:v>0.0133021176971374</c:v>
                </c:pt>
                <c:pt idx="1">
                  <c:v>0.0156964988826221</c:v>
                </c:pt>
                <c:pt idx="2">
                  <c:v>0.0156964988826221</c:v>
                </c:pt>
              </c:numCache>
            </c:numRef>
          </c:val>
        </c:ser>
        <c:ser>
          <c:idx val="26"/>
          <c:order val="26"/>
          <c:tx>
            <c:strRef>
              <c:f>Middle!$A$63</c:f>
              <c:strCache>
                <c:ptCount val="1"/>
                <c:pt idx="0">
                  <c:v>Other income: e.g. Credit (cotton loans)</c:v>
                </c:pt>
              </c:strCache>
            </c:strRef>
          </c:tx>
          <c:invertIfNegative val="0"/>
          <c:val>
            <c:numRef>
              <c:f>Middle!$K$63:$M$63</c:f>
              <c:numCache>
                <c:formatCode>0%</c:formatCode>
                <c:ptCount val="3"/>
                <c:pt idx="0">
                  <c:v>0.0279344471639885</c:v>
                </c:pt>
                <c:pt idx="1">
                  <c:v>0.0279344471639885</c:v>
                </c:pt>
                <c:pt idx="2">
                  <c:v>0.0279344471639885</c:v>
                </c:pt>
              </c:numCache>
            </c:numRef>
          </c:val>
        </c:ser>
        <c:ser>
          <c:idx val="27"/>
          <c:order val="27"/>
          <c:tx>
            <c:strRef>
              <c:f>Middle!$A$64</c:f>
              <c:strCache>
                <c:ptCount val="1"/>
                <c:pt idx="0">
                  <c:v>Remittances: no. times per year</c:v>
                </c:pt>
              </c:strCache>
            </c:strRef>
          </c:tx>
          <c:invertIfNegative val="0"/>
          <c:val>
            <c:numRef>
              <c:f>Middle!$K$64:$M$64</c:f>
              <c:numCache>
                <c:formatCode>0%</c:formatCode>
                <c:ptCount val="3"/>
                <c:pt idx="0">
                  <c:v>0.0146323294668511</c:v>
                </c:pt>
                <c:pt idx="1">
                  <c:v>0.0162418857082047</c:v>
                </c:pt>
                <c:pt idx="2">
                  <c:v>0.0162418857082047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-2007494344"/>
        <c:axId val="-2007491352"/>
      </c:barChart>
      <c:catAx>
        <c:axId val="-20074943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0749135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0749135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% baseline income</a:t>
                </a:r>
              </a:p>
            </c:rich>
          </c:tx>
          <c:layout>
            <c:manualLayout>
              <c:xMode val="edge"/>
              <c:yMode val="edge"/>
              <c:x val="0.0112864786560434"/>
              <c:y val="0.284842359644069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07494344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118694362017804"/>
          <c:y val="0.733739837398374"/>
          <c:w val="0.98813056379822"/>
          <c:h val="0.26422764227642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595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995444191344"/>
          <c:y val="0.0664820663976653"/>
          <c:w val="0.728929384965831"/>
          <c:h val="0.66315861231671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Rich!$A$37</c:f>
              <c:strCache>
                <c:ptCount val="1"/>
                <c:pt idx="0">
                  <c:v>Pig sales: no sold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Rich!$K$37:$M$37</c:f>
              <c:numCache>
                <c:formatCode>0%</c:formatCode>
                <c:ptCount val="3"/>
                <c:pt idx="0">
                  <c:v>0.00764404341816661</c:v>
                </c:pt>
                <c:pt idx="1">
                  <c:v>0.00721597698674928</c:v>
                </c:pt>
                <c:pt idx="2">
                  <c:v>0.00721597698674928</c:v>
                </c:pt>
              </c:numCache>
            </c:numRef>
          </c:val>
        </c:ser>
        <c:ser>
          <c:idx val="1"/>
          <c:order val="1"/>
          <c:tx>
            <c:strRef>
              <c:f>Rich!$A$38</c:f>
              <c:strCache>
                <c:ptCount val="1"/>
                <c:pt idx="0">
                  <c:v>Cattle sales - local: no. sold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Rich!$K$38:$M$38</c:f>
              <c:numCache>
                <c:formatCode>0%</c:formatCode>
                <c:ptCount val="3"/>
                <c:pt idx="0">
                  <c:v>0.0592803367123125</c:v>
                </c:pt>
                <c:pt idx="1">
                  <c:v>0.055960637856423</c:v>
                </c:pt>
                <c:pt idx="2">
                  <c:v>0.0558637059670787</c:v>
                </c:pt>
              </c:numCache>
            </c:numRef>
          </c:val>
        </c:ser>
        <c:ser>
          <c:idx val="2"/>
          <c:order val="2"/>
          <c:tx>
            <c:strRef>
              <c:f>Rich!$A$39</c:f>
              <c:strCache>
                <c:ptCount val="1"/>
                <c:pt idx="0">
                  <c:v>Goat sales - local: no. sold</c:v>
                </c:pt>
              </c:strCache>
            </c:strRef>
          </c:tx>
          <c:spPr>
            <a:solidFill>
              <a:srgbClr val="99CC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Rich!$K$39:$M$39</c:f>
              <c:numCache>
                <c:formatCode>0%</c:formatCode>
                <c:ptCount val="3"/>
                <c:pt idx="0">
                  <c:v>0.0156780890515458</c:v>
                </c:pt>
                <c:pt idx="1">
                  <c:v>0.0148001160646592</c:v>
                </c:pt>
                <c:pt idx="2">
                  <c:v>0.0148760460446456</c:v>
                </c:pt>
              </c:numCache>
            </c:numRef>
          </c:val>
        </c:ser>
        <c:ser>
          <c:idx val="3"/>
          <c:order val="3"/>
          <c:tx>
            <c:strRef>
              <c:f>Rich!$A$40</c:f>
              <c:strCache>
                <c:ptCount val="1"/>
                <c:pt idx="0">
                  <c:v>Chicken sales: no. sold</c:v>
                </c:pt>
              </c:strCache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Rich!$K$40:$M$40</c:f>
              <c:numCache>
                <c:formatCode>0%</c:formatCode>
                <c:ptCount val="3"/>
                <c:pt idx="0">
                  <c:v>0.00386102193060456</c:v>
                </c:pt>
                <c:pt idx="1">
                  <c:v>0.00455600587811339</c:v>
                </c:pt>
                <c:pt idx="2">
                  <c:v>0.00455600587811339</c:v>
                </c:pt>
              </c:numCache>
            </c:numRef>
          </c:val>
        </c:ser>
        <c:ser>
          <c:idx val="4"/>
          <c:order val="4"/>
          <c:tx>
            <c:strRef>
              <c:f>Rich!$A$41</c:f>
              <c:strCache>
                <c:ptCount val="1"/>
                <c:pt idx="0">
                  <c:v>Green maize sold: quantity</c:v>
                </c:pt>
              </c:strCache>
            </c:strRef>
          </c:tx>
          <c:spPr>
            <a:solidFill>
              <a:srgbClr val="FF99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Rich!$K$41:$M$41</c:f>
              <c:numCache>
                <c:formatCode>0%</c:formatCode>
                <c:ptCount val="3"/>
                <c:pt idx="0">
                  <c:v>0.0468002658255099</c:v>
                </c:pt>
                <c:pt idx="1">
                  <c:v>0.0655203721557138</c:v>
                </c:pt>
                <c:pt idx="2">
                  <c:v>0.0655203721557138</c:v>
                </c:pt>
              </c:numCache>
            </c:numRef>
          </c:val>
        </c:ser>
        <c:ser>
          <c:idx val="5"/>
          <c:order val="5"/>
          <c:tx>
            <c:strRef>
              <c:f>Rich!$A$42</c:f>
              <c:strCache>
                <c:ptCount val="1"/>
                <c:pt idx="0">
                  <c:v>Maize: kg produced</c:v>
                </c:pt>
              </c:strCache>
            </c:strRef>
          </c:tx>
          <c:spPr>
            <a:solidFill>
              <a:srgbClr val="F2088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Rich!$K$42:$M$42</c:f>
              <c:numCache>
                <c:formatCode>0%</c:formatCode>
                <c:ptCount val="3"/>
                <c:pt idx="0">
                  <c:v>0.0234001329127549</c:v>
                </c:pt>
                <c:pt idx="1">
                  <c:v>0.035708602824864</c:v>
                </c:pt>
                <c:pt idx="2">
                  <c:v>0.03649206714234</c:v>
                </c:pt>
              </c:numCache>
            </c:numRef>
          </c:val>
        </c:ser>
        <c:ser>
          <c:idx val="6"/>
          <c:order val="6"/>
          <c:tx>
            <c:strRef>
              <c:f>Rich!$A$43</c:f>
              <c:strCache>
                <c:ptCount val="1"/>
                <c:pt idx="0">
                  <c:v>Maize (irrigated): kg produced</c:v>
                </c:pt>
              </c:strCache>
            </c:strRef>
          </c:tx>
          <c:spPr>
            <a:solidFill>
              <a:srgbClr val="1FB71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Rich!$K$43:$M$43</c:f>
              <c:numCache>
                <c:formatCode>0%</c:formatCode>
                <c:ptCount val="3"/>
                <c:pt idx="0">
                  <c:v>0.000468002658255099</c:v>
                </c:pt>
                <c:pt idx="1">
                  <c:v>0.000714172056497281</c:v>
                </c:pt>
                <c:pt idx="2">
                  <c:v>0.0007298413428468</c:v>
                </c:pt>
              </c:numCache>
            </c:numRef>
          </c:val>
        </c:ser>
        <c:ser>
          <c:idx val="7"/>
          <c:order val="7"/>
          <c:tx>
            <c:strRef>
              <c:f>Rich!$A$44</c:f>
              <c:strCache>
                <c:ptCount val="1"/>
                <c:pt idx="0">
                  <c:v>Beans: kg produced</c:v>
                </c:pt>
              </c:strCache>
            </c:strRef>
          </c:tx>
          <c:spPr>
            <a:solidFill>
              <a:srgbClr val="CC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Rich!$K$44:$M$44</c:f>
              <c:numCache>
                <c:formatCode>0%</c:formatCode>
                <c:ptCount val="3"/>
                <c:pt idx="0">
                  <c:v>0.00873604962076184</c:v>
                </c:pt>
                <c:pt idx="1">
                  <c:v>0.0122304694690666</c:v>
                </c:pt>
                <c:pt idx="2">
                  <c:v>0.0123454734055768</c:v>
                </c:pt>
              </c:numCache>
            </c:numRef>
          </c:val>
        </c:ser>
        <c:ser>
          <c:idx val="8"/>
          <c:order val="8"/>
          <c:tx>
            <c:strRef>
              <c:f>Rich!$A$45</c:f>
              <c:strCache>
                <c:ptCount val="1"/>
                <c:pt idx="0">
                  <c:v>Potato: kg produced</c:v>
                </c:pt>
              </c:strCache>
            </c:strRef>
          </c:tx>
          <c:spPr>
            <a:solidFill>
              <a:srgbClr val="00009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Rich!$K$45:$M$45</c:f>
              <c:numCache>
                <c:formatCode>0%</c:formatCode>
                <c:ptCount val="3"/>
                <c:pt idx="0">
                  <c:v>0.00561603189906119</c:v>
                </c:pt>
                <c:pt idx="1">
                  <c:v>0.00786244465868566</c:v>
                </c:pt>
                <c:pt idx="2">
                  <c:v>0.008034950563451</c:v>
                </c:pt>
              </c:numCache>
            </c:numRef>
          </c:val>
        </c:ser>
        <c:ser>
          <c:idx val="9"/>
          <c:order val="9"/>
          <c:tx>
            <c:strRef>
              <c:f>Rich!$A$46</c:f>
              <c:strCache>
                <c:ptCount val="1"/>
                <c:pt idx="0">
                  <c:v>Sweet potato: no. local meas</c:v>
                </c:pt>
              </c:strCache>
            </c:strRef>
          </c:tx>
          <c:spPr>
            <a:solidFill>
              <a:srgbClr val="96969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Rich!$K$46:$M$46</c:f>
              <c:numCache>
                <c:formatCode>0%</c:formatCode>
                <c:ptCount val="3"/>
                <c:pt idx="0">
                  <c:v>0.0101400575955271</c:v>
                </c:pt>
                <c:pt idx="1">
                  <c:v>0.014196080633738</c:v>
                </c:pt>
                <c:pt idx="2">
                  <c:v>0.0145075496284532</c:v>
                </c:pt>
              </c:numCache>
            </c:numRef>
          </c:val>
        </c:ser>
        <c:ser>
          <c:idx val="10"/>
          <c:order val="10"/>
          <c:tx>
            <c:strRef>
              <c:f>Rich!$A$47</c:f>
              <c:strCache>
                <c:ptCount val="1"/>
                <c:pt idx="0">
                  <c:v>Groundnuts (dry): no. local meas</c:v>
                </c:pt>
              </c:strCache>
            </c:strRef>
          </c:tx>
          <c:spPr>
            <a:solidFill>
              <a:srgbClr val="FCF305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Rich!$K$47:$M$47</c:f>
              <c:numCache>
                <c:formatCode>0%</c:formatCode>
                <c:ptCount val="3"/>
                <c:pt idx="0">
                  <c:v>0.0018720106330204</c:v>
                </c:pt>
                <c:pt idx="1">
                  <c:v>0.00262081488622855</c:v>
                </c:pt>
                <c:pt idx="2">
                  <c:v>0.00267831685448367</c:v>
                </c:pt>
              </c:numCache>
            </c:numRef>
          </c:val>
        </c:ser>
        <c:ser>
          <c:idx val="11"/>
          <c:order val="11"/>
          <c:tx>
            <c:strRef>
              <c:f>Rich!$A$48</c:f>
              <c:strCache>
                <c:ptCount val="1"/>
                <c:pt idx="0">
                  <c:v>Other crop: Rape</c:v>
                </c:pt>
              </c:strCache>
            </c:strRef>
          </c:tx>
          <c:spPr>
            <a:solidFill>
              <a:srgbClr val="00ABEA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Rich!$K$48:$M$48</c:f>
              <c:numCache>
                <c:formatCode>0%</c:formatCode>
                <c:ptCount val="3"/>
                <c:pt idx="0">
                  <c:v>0.000273001550648808</c:v>
                </c:pt>
                <c:pt idx="1">
                  <c:v>0.000382202170908331</c:v>
                </c:pt>
                <c:pt idx="2">
                  <c:v>0.000390587874612202</c:v>
                </c:pt>
              </c:numCache>
            </c:numRef>
          </c:val>
        </c:ser>
        <c:ser>
          <c:idx val="12"/>
          <c:order val="12"/>
          <c:tx>
            <c:strRef>
              <c:f>Rich!$A$49</c:f>
              <c:strCache>
                <c:ptCount val="1"/>
                <c:pt idx="0">
                  <c:v>Other cashcrop (cabbage): kg produced</c:v>
                </c:pt>
              </c:strCache>
            </c:strRef>
          </c:tx>
          <c:spPr>
            <a:solidFill>
              <a:srgbClr val="4600A5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Rich!$K$49:$M$49</c:f>
              <c:numCache>
                <c:formatCode>0%</c:formatCode>
                <c:ptCount val="3"/>
                <c:pt idx="0">
                  <c:v>0.00124800708868026</c:v>
                </c:pt>
                <c:pt idx="1">
                  <c:v>0.00174720992415237</c:v>
                </c:pt>
                <c:pt idx="2">
                  <c:v>0.00174720992415237</c:v>
                </c:pt>
              </c:numCache>
            </c:numRef>
          </c:val>
        </c:ser>
        <c:ser>
          <c:idx val="13"/>
          <c:order val="13"/>
          <c:tx>
            <c:strRef>
              <c:f>Rich!$A$50</c:f>
              <c:strCache>
                <c:ptCount val="1"/>
                <c:pt idx="0">
                  <c:v>Other crop: Amadumbe</c:v>
                </c:pt>
              </c:strCache>
            </c:strRef>
          </c:tx>
          <c:spPr>
            <a:solidFill>
              <a:srgbClr val="FFCC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Rich!$K$50:$M$50</c:f>
              <c:numCache>
                <c:formatCode>0%</c:formatCode>
                <c:ptCount val="3"/>
                <c:pt idx="0">
                  <c:v>0.00195001107606291</c:v>
                </c:pt>
                <c:pt idx="1">
                  <c:v>0.00273001550648808</c:v>
                </c:pt>
                <c:pt idx="2">
                  <c:v>0.00278991339008715</c:v>
                </c:pt>
              </c:numCache>
            </c:numRef>
          </c:val>
        </c:ser>
        <c:ser>
          <c:idx val="14"/>
          <c:order val="14"/>
          <c:tx>
            <c:strRef>
              <c:f>Rich!$A$51</c:f>
              <c:strCache>
                <c:ptCount val="1"/>
                <c:pt idx="0">
                  <c:v>Water melon: no. local meas</c:v>
                </c:pt>
              </c:strCache>
            </c:strRef>
          </c:tx>
          <c:spPr>
            <a:solidFill>
              <a:srgbClr val="00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Rich!$K$51:$M$51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5"/>
          <c:order val="15"/>
          <c:tx>
            <c:strRef>
              <c:f>Rich!$A$52</c:f>
              <c:strCache>
                <c:ptCount val="1"/>
                <c:pt idx="0">
                  <c:v>FISHING -- see worksheet Data 3</c:v>
                </c:pt>
              </c:strCache>
            </c:strRef>
          </c:tx>
          <c:spPr>
            <a:solidFill>
              <a:srgbClr val="0000D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Rich!$K$52:$M$52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6"/>
          <c:order val="16"/>
          <c:tx>
            <c:strRef>
              <c:f>Rich!$A$53</c:f>
              <c:strCache>
                <c:ptCount val="1"/>
                <c:pt idx="0">
                  <c:v>WILD FOODS -- see worksheet Data 3</c:v>
                </c:pt>
              </c:strCache>
            </c:strRef>
          </c:tx>
          <c:spPr>
            <a:solidFill>
              <a:srgbClr val="00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Rich!$K$53:$M$53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7"/>
          <c:order val="17"/>
          <c:tx>
            <c:strRef>
              <c:f>Rich!$A$54</c:f>
              <c:strCache>
                <c:ptCount val="1"/>
                <c:pt idx="0">
                  <c:v>Agricultural casual work -- see Data2</c:v>
                </c:pt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Rich!$K$54:$M$54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8"/>
          <c:order val="18"/>
          <c:tx>
            <c:strRef>
              <c:f>Rich!$A$55</c:f>
              <c:strCache>
                <c:ptCount val="1"/>
                <c:pt idx="0">
                  <c:v>Construction casual work -- see Data2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Rich!$K$55:$M$55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9"/>
          <c:order val="19"/>
          <c:tx>
            <c:strRef>
              <c:f>Rich!$A$56</c:f>
              <c:strCache>
                <c:ptCount val="1"/>
                <c:pt idx="0">
                  <c:v>Domestic casual work -- see Data2</c:v>
                </c:pt>
              </c:strCache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Rich!$K$56:$M$56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0"/>
          <c:order val="20"/>
          <c:tx>
            <c:strRef>
              <c:f>Rich!$A$57</c:f>
              <c:strCache>
                <c:ptCount val="1"/>
                <c:pt idx="0">
                  <c:v>Labour migration(formal employment): no. people per HH</c:v>
                </c:pt>
              </c:strCache>
            </c:strRef>
          </c:tx>
          <c:spPr>
            <a:solidFill>
              <a:srgbClr val="99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Rich!$K$57:$M$57</c:f>
              <c:numCache>
                <c:formatCode>0%</c:formatCode>
                <c:ptCount val="3"/>
                <c:pt idx="0">
                  <c:v>0.102960584816122</c:v>
                </c:pt>
                <c:pt idx="1">
                  <c:v>0.0971947920664189</c:v>
                </c:pt>
                <c:pt idx="2">
                  <c:v>0.0971947920664189</c:v>
                </c:pt>
              </c:numCache>
            </c:numRef>
          </c:val>
        </c:ser>
        <c:ser>
          <c:idx val="21"/>
          <c:order val="21"/>
          <c:tx>
            <c:strRef>
              <c:f>Rich!$A$58</c:f>
              <c:strCache>
                <c:ptCount val="1"/>
                <c:pt idx="0">
                  <c:v>Formal Employment (e.g. teachers, salaried staff, etc.)</c:v>
                </c:pt>
              </c:strCache>
            </c:strRef>
          </c:tx>
          <c:spPr>
            <a:solidFill>
              <a:srgbClr val="FF99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Rich!$K$58:$M$58</c:f>
              <c:numCache>
                <c:formatCode>0%</c:formatCode>
                <c:ptCount val="3"/>
                <c:pt idx="0">
                  <c:v>0.486722764585303</c:v>
                </c:pt>
                <c:pt idx="1">
                  <c:v>0.459466289768526</c:v>
                </c:pt>
                <c:pt idx="2">
                  <c:v>0.459466289768526</c:v>
                </c:pt>
              </c:numCache>
            </c:numRef>
          </c:val>
        </c:ser>
        <c:ser>
          <c:idx val="22"/>
          <c:order val="22"/>
          <c:tx>
            <c:strRef>
              <c:f>Rich!$A$59</c:f>
              <c:strCache>
                <c:ptCount val="1"/>
                <c:pt idx="0">
                  <c:v>Self-employment -- see Data2</c:v>
                </c:pt>
              </c:strCache>
            </c:strRef>
          </c:tx>
          <c:spPr>
            <a:solidFill>
              <a:srgbClr val="CC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Rich!$K$59:$M$59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3"/>
          <c:order val="23"/>
          <c:tx>
            <c:strRef>
              <c:f>Rich!$A$60</c:f>
              <c:strCache>
                <c:ptCount val="1"/>
                <c:pt idx="0">
                  <c:v>Small business -- see Data2</c:v>
                </c:pt>
              </c:strCache>
            </c:strRef>
          </c:tx>
          <c:invertIfNegative val="0"/>
          <c:val>
            <c:numRef>
              <c:f>Rich!$K$60:$M$60</c:f>
              <c:numCache>
                <c:formatCode>0%</c:formatCode>
                <c:ptCount val="3"/>
                <c:pt idx="0">
                  <c:v>0.157454814343345</c:v>
                </c:pt>
                <c:pt idx="1">
                  <c:v>0.148637344740118</c:v>
                </c:pt>
                <c:pt idx="2">
                  <c:v>0.148637344740118</c:v>
                </c:pt>
              </c:numCache>
            </c:numRef>
          </c:val>
        </c:ser>
        <c:ser>
          <c:idx val="24"/>
          <c:order val="24"/>
          <c:tx>
            <c:strRef>
              <c:f>Rich!$A$61</c:f>
              <c:strCache>
                <c:ptCount val="1"/>
                <c:pt idx="0">
                  <c:v>Social development -- see Data2</c:v>
                </c:pt>
              </c:strCache>
            </c:strRef>
          </c:tx>
          <c:invertIfNegative val="0"/>
          <c:val>
            <c:numRef>
              <c:f>Rich!$K$61:$M$61</c:f>
              <c:numCache>
                <c:formatCode>0%</c:formatCode>
                <c:ptCount val="3"/>
                <c:pt idx="0">
                  <c:v>0.0370658105338038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5"/>
          <c:order val="25"/>
          <c:tx>
            <c:strRef>
              <c:f>Rich!$A$62</c:f>
              <c:strCache>
                <c:ptCount val="1"/>
                <c:pt idx="0">
                  <c:v>Public works -- see Data2</c:v>
                </c:pt>
              </c:strCache>
            </c:strRef>
          </c:tx>
          <c:invertIfNegative val="0"/>
          <c:val>
            <c:numRef>
              <c:f>Rich!$K$62:$M$62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6"/>
          <c:order val="26"/>
          <c:tx>
            <c:strRef>
              <c:f>Rich!$A$63</c:f>
              <c:strCache>
                <c:ptCount val="1"/>
                <c:pt idx="0">
                  <c:v>Other income: e.g. Credit (cotton loans)</c:v>
                </c:pt>
              </c:strCache>
            </c:strRef>
          </c:tx>
          <c:invertIfNegative val="0"/>
          <c:val>
            <c:numRef>
              <c:f>Rich!$K$63:$M$63</c:f>
              <c:numCache>
                <c:formatCode>0%</c:formatCode>
                <c:ptCount val="3"/>
                <c:pt idx="0">
                  <c:v>0.0101088574183101</c:v>
                </c:pt>
                <c:pt idx="1">
                  <c:v>0.0101088574183101</c:v>
                </c:pt>
                <c:pt idx="2">
                  <c:v>0.0101088574183101</c:v>
                </c:pt>
              </c:numCache>
            </c:numRef>
          </c:val>
        </c:ser>
        <c:ser>
          <c:idx val="27"/>
          <c:order val="27"/>
          <c:tx>
            <c:strRef>
              <c:f>Rich!$A$64</c:f>
              <c:strCache>
                <c:ptCount val="1"/>
                <c:pt idx="0">
                  <c:v>Remittances: no. times per year</c:v>
                </c:pt>
              </c:strCache>
            </c:strRef>
          </c:tx>
          <c:invertIfNegative val="0"/>
          <c:val>
            <c:numRef>
              <c:f>Rich!$K$64:$M$64</c:f>
              <c:numCache>
                <c:formatCode>0%</c:formatCode>
                <c:ptCount val="3"/>
                <c:pt idx="0">
                  <c:v>0.018720106330204</c:v>
                </c:pt>
                <c:pt idx="1">
                  <c:v>0.0207793180265264</c:v>
                </c:pt>
                <c:pt idx="2">
                  <c:v>0.0207793180265264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-2009560616"/>
        <c:axId val="-2059302776"/>
      </c:barChart>
      <c:catAx>
        <c:axId val="-20095606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5930277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5930277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% baseline income</a:t>
                </a:r>
              </a:p>
            </c:rich>
          </c:tx>
          <c:layout>
            <c:manualLayout>
              <c:xMode val="edge"/>
              <c:yMode val="edge"/>
              <c:x val="0.0113895874955929"/>
              <c:y val="0.285872863453044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09560616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6604033909248"/>
          <c:y val="0.0666297947099587"/>
          <c:w val="0.731321832726758"/>
          <c:h val="0.65963496762859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V.Poor!$A$37</c:f>
              <c:strCache>
                <c:ptCount val="1"/>
                <c:pt idx="0">
                  <c:v>Pig sales: no sold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V.Poor!$K$37:$M$37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"/>
          <c:order val="1"/>
          <c:tx>
            <c:strRef>
              <c:f>V.Poor!$A$38</c:f>
              <c:strCache>
                <c:ptCount val="1"/>
                <c:pt idx="0">
                  <c:v>Cattle sales - local: no. sold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V.Poor!$K$38:$M$38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"/>
          <c:order val="2"/>
          <c:tx>
            <c:strRef>
              <c:f>V.Poor!$A$39</c:f>
              <c:strCache>
                <c:ptCount val="1"/>
                <c:pt idx="0">
                  <c:v>Goat sales - local: no. sold</c:v>
                </c:pt>
              </c:strCache>
            </c:strRef>
          </c:tx>
          <c:spPr>
            <a:solidFill>
              <a:srgbClr val="99CC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V.Poor!$K$39:$M$39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3"/>
          <c:order val="3"/>
          <c:tx>
            <c:strRef>
              <c:f>V.Poor!$A$40</c:f>
              <c:strCache>
                <c:ptCount val="1"/>
                <c:pt idx="0">
                  <c:v>Chicken sales: no. sold</c:v>
                </c:pt>
              </c:strCache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V.Poor!$K$40:$M$40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4"/>
          <c:order val="4"/>
          <c:tx>
            <c:strRef>
              <c:f>V.Poor!$A$41</c:f>
              <c:strCache>
                <c:ptCount val="1"/>
                <c:pt idx="0">
                  <c:v>Green maize sold: quantity</c:v>
                </c:pt>
              </c:strCache>
            </c:strRef>
          </c:tx>
          <c:spPr>
            <a:solidFill>
              <a:srgbClr val="FF99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V.Poor!$K$41:$M$41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5"/>
          <c:order val="5"/>
          <c:tx>
            <c:strRef>
              <c:f>V.Poor!$A$42</c:f>
              <c:strCache>
                <c:ptCount val="1"/>
                <c:pt idx="0">
                  <c:v>Maize: kg produced</c:v>
                </c:pt>
              </c:strCache>
            </c:strRef>
          </c:tx>
          <c:spPr>
            <a:solidFill>
              <a:srgbClr val="F2088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V.Poor!$K$42:$M$42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6"/>
          <c:order val="6"/>
          <c:tx>
            <c:strRef>
              <c:f>V.Poor!$A$43</c:f>
              <c:strCache>
                <c:ptCount val="1"/>
                <c:pt idx="0">
                  <c:v>Maize (irrigated): kg produced</c:v>
                </c:pt>
              </c:strCache>
            </c:strRef>
          </c:tx>
          <c:spPr>
            <a:solidFill>
              <a:srgbClr val="1FB71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V.Poor!$K$43:$M$43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7"/>
          <c:order val="7"/>
          <c:tx>
            <c:strRef>
              <c:f>V.Poor!$A$44</c:f>
              <c:strCache>
                <c:ptCount val="1"/>
                <c:pt idx="0">
                  <c:v>Beans: kg produced</c:v>
                </c:pt>
              </c:strCache>
            </c:strRef>
          </c:tx>
          <c:spPr>
            <a:solidFill>
              <a:srgbClr val="CC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V.Poor!$K$44:$M$44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8"/>
          <c:order val="8"/>
          <c:tx>
            <c:strRef>
              <c:f>V.Poor!$A$45</c:f>
              <c:strCache>
                <c:ptCount val="1"/>
                <c:pt idx="0">
                  <c:v>Potato: kg produced</c:v>
                </c:pt>
              </c:strCache>
            </c:strRef>
          </c:tx>
          <c:spPr>
            <a:solidFill>
              <a:srgbClr val="00009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V.Poor!$K$45:$M$45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9"/>
          <c:order val="9"/>
          <c:tx>
            <c:strRef>
              <c:f>V.Poor!$A$46</c:f>
              <c:strCache>
                <c:ptCount val="1"/>
                <c:pt idx="0">
                  <c:v>Sweet potato: no. local meas</c:v>
                </c:pt>
              </c:strCache>
            </c:strRef>
          </c:tx>
          <c:spPr>
            <a:solidFill>
              <a:srgbClr val="96969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V.Poor!$K$46:$M$46</c:f>
              <c:numCache>
                <c:formatCode>0%</c:formatCode>
                <c:ptCount val="3"/>
                <c:pt idx="0">
                  <c:v>0.0233693394266722</c:v>
                </c:pt>
                <c:pt idx="1">
                  <c:v>0.0327170751973411</c:v>
                </c:pt>
                <c:pt idx="2">
                  <c:v>0.0</c:v>
                </c:pt>
              </c:numCache>
            </c:numRef>
          </c:val>
        </c:ser>
        <c:ser>
          <c:idx val="10"/>
          <c:order val="10"/>
          <c:tx>
            <c:strRef>
              <c:f>V.Poor!$A$47</c:f>
              <c:strCache>
                <c:ptCount val="1"/>
                <c:pt idx="0">
                  <c:v>Groundnuts (dry): no. local meas</c:v>
                </c:pt>
              </c:strCache>
            </c:strRef>
          </c:tx>
          <c:spPr>
            <a:solidFill>
              <a:srgbClr val="FCF305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V.Poor!$K$47:$M$47</c:f>
              <c:numCache>
                <c:formatCode>0%</c:formatCode>
                <c:ptCount val="3"/>
                <c:pt idx="0">
                  <c:v>0.00143331948483589</c:v>
                </c:pt>
                <c:pt idx="1">
                  <c:v>0.00200664727877025</c:v>
                </c:pt>
                <c:pt idx="2">
                  <c:v>0.0</c:v>
                </c:pt>
              </c:numCache>
            </c:numRef>
          </c:val>
        </c:ser>
        <c:ser>
          <c:idx val="11"/>
          <c:order val="11"/>
          <c:tx>
            <c:strRef>
              <c:f>V.Poor!$A$48</c:f>
              <c:strCache>
                <c:ptCount val="1"/>
                <c:pt idx="0">
                  <c:v>Other crop: Rape</c:v>
                </c:pt>
              </c:strCache>
            </c:strRef>
          </c:tx>
          <c:spPr>
            <a:solidFill>
              <a:srgbClr val="00ABEA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V.Poor!$K$48:$M$48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2"/>
          <c:order val="12"/>
          <c:tx>
            <c:strRef>
              <c:f>V.Poor!$A$49</c:f>
              <c:strCache>
                <c:ptCount val="1"/>
                <c:pt idx="0">
                  <c:v>Other cashcrop (cabbage): kg produced</c:v>
                </c:pt>
              </c:strCache>
            </c:strRef>
          </c:tx>
          <c:spPr>
            <a:solidFill>
              <a:srgbClr val="4600A5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V.Poor!$K$49:$M$49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3"/>
          <c:order val="13"/>
          <c:tx>
            <c:strRef>
              <c:f>V.Poor!$A$50</c:f>
              <c:strCache>
                <c:ptCount val="1"/>
                <c:pt idx="0">
                  <c:v>Other crop: Amadumbe</c:v>
                </c:pt>
              </c:strCache>
            </c:strRef>
          </c:tx>
          <c:spPr>
            <a:solidFill>
              <a:srgbClr val="FFCC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V.Poor!$K$50:$M$50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4"/>
          <c:order val="14"/>
          <c:tx>
            <c:strRef>
              <c:f>V.Poor!$A$51</c:f>
              <c:strCache>
                <c:ptCount val="1"/>
                <c:pt idx="0">
                  <c:v>Water melon: no. local meas</c:v>
                </c:pt>
              </c:strCache>
            </c:strRef>
          </c:tx>
          <c:spPr>
            <a:solidFill>
              <a:srgbClr val="00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V.Poor!$K$51:$M$51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5"/>
          <c:order val="15"/>
          <c:tx>
            <c:strRef>
              <c:f>V.Poor!$A$52</c:f>
              <c:strCache>
                <c:ptCount val="1"/>
                <c:pt idx="0">
                  <c:v>FISHING -- see worksheet Data 3</c:v>
                </c:pt>
              </c:strCache>
            </c:strRef>
          </c:tx>
          <c:spPr>
            <a:solidFill>
              <a:srgbClr val="0000D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V.Poor!$K$52:$M$52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6"/>
          <c:order val="16"/>
          <c:tx>
            <c:strRef>
              <c:f>V.Poor!$A$53</c:f>
              <c:strCache>
                <c:ptCount val="1"/>
                <c:pt idx="0">
                  <c:v>WILD FOODS -- see worksheet Data 3</c:v>
                </c:pt>
              </c:strCache>
            </c:strRef>
          </c:tx>
          <c:spPr>
            <a:solidFill>
              <a:srgbClr val="00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V.Poor!$K$53:$M$53</c:f>
              <c:numCache>
                <c:formatCode>0%</c:formatCode>
                <c:ptCount val="3"/>
                <c:pt idx="0">
                  <c:v>0.0139177399252181</c:v>
                </c:pt>
                <c:pt idx="1">
                  <c:v>0.0164229331117574</c:v>
                </c:pt>
                <c:pt idx="2">
                  <c:v>0.0266566265060241</c:v>
                </c:pt>
              </c:numCache>
            </c:numRef>
          </c:val>
        </c:ser>
        <c:ser>
          <c:idx val="17"/>
          <c:order val="17"/>
          <c:tx>
            <c:strRef>
              <c:f>V.Poor!$A$54</c:f>
              <c:strCache>
                <c:ptCount val="1"/>
                <c:pt idx="0">
                  <c:v>Agricultural casual work -- see Data2</c:v>
                </c:pt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V.Poor!$K$54:$M$54</c:f>
              <c:numCache>
                <c:formatCode>0%</c:formatCode>
                <c:ptCount val="3"/>
                <c:pt idx="0">
                  <c:v>0.0166181969256336</c:v>
                </c:pt>
                <c:pt idx="1">
                  <c:v>0.0184461985874533</c:v>
                </c:pt>
                <c:pt idx="2">
                  <c:v>0.0184461985874533</c:v>
                </c:pt>
              </c:numCache>
            </c:numRef>
          </c:val>
        </c:ser>
        <c:ser>
          <c:idx val="18"/>
          <c:order val="18"/>
          <c:tx>
            <c:strRef>
              <c:f>V.Poor!$A$55</c:f>
              <c:strCache>
                <c:ptCount val="1"/>
                <c:pt idx="0">
                  <c:v>Construction casual work -- see Data2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V.Poor!$K$55:$M$55</c:f>
              <c:numCache>
                <c:formatCode>0%</c:formatCode>
                <c:ptCount val="3"/>
                <c:pt idx="0">
                  <c:v>0.0240963855421687</c:v>
                </c:pt>
                <c:pt idx="1">
                  <c:v>0.0267469879518072</c:v>
                </c:pt>
                <c:pt idx="2">
                  <c:v>0.0267469879518072</c:v>
                </c:pt>
              </c:numCache>
            </c:numRef>
          </c:val>
        </c:ser>
        <c:ser>
          <c:idx val="19"/>
          <c:order val="19"/>
          <c:tx>
            <c:strRef>
              <c:f>V.Poor!$A$56</c:f>
              <c:strCache>
                <c:ptCount val="1"/>
                <c:pt idx="0">
                  <c:v>Domestic casual work -- see Data2</c:v>
                </c:pt>
              </c:strCache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V.Poor!$K$56:$M$56</c:f>
              <c:numCache>
                <c:formatCode>0%</c:formatCode>
                <c:ptCount val="3"/>
                <c:pt idx="0">
                  <c:v>0.112172829248027</c:v>
                </c:pt>
                <c:pt idx="1">
                  <c:v>0.12451184046531</c:v>
                </c:pt>
                <c:pt idx="2">
                  <c:v>0.12451184046531</c:v>
                </c:pt>
              </c:numCache>
            </c:numRef>
          </c:val>
        </c:ser>
        <c:ser>
          <c:idx val="20"/>
          <c:order val="20"/>
          <c:tx>
            <c:strRef>
              <c:f>V.Poor!$A$57</c:f>
              <c:strCache>
                <c:ptCount val="1"/>
                <c:pt idx="0">
                  <c:v>Labour migration(formal employment): no. people per HH</c:v>
                </c:pt>
              </c:strCache>
            </c:strRef>
          </c:tx>
          <c:spPr>
            <a:solidFill>
              <a:srgbClr val="99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V.Poor!$K$57:$M$57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1"/>
          <c:order val="21"/>
          <c:tx>
            <c:strRef>
              <c:f>V.Poor!$A$58</c:f>
              <c:strCache>
                <c:ptCount val="1"/>
                <c:pt idx="0">
                  <c:v>Formal Employment (e.g. teachers, salaried staff, etc.)</c:v>
                </c:pt>
              </c:strCache>
            </c:strRef>
          </c:tx>
          <c:spPr>
            <a:solidFill>
              <a:srgbClr val="FF99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V.Poor!$K$58:$M$58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2"/>
          <c:order val="22"/>
          <c:tx>
            <c:strRef>
              <c:f>V.Poor!$A$59</c:f>
              <c:strCache>
                <c:ptCount val="1"/>
                <c:pt idx="0">
                  <c:v>Self-employment -- see Data2</c:v>
                </c:pt>
              </c:strCache>
            </c:strRef>
          </c:tx>
          <c:spPr>
            <a:solidFill>
              <a:srgbClr val="CC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V.Poor!$K$59:$M$59</c:f>
              <c:numCache>
                <c:formatCode>0%</c:formatCode>
                <c:ptCount val="3"/>
                <c:pt idx="0">
                  <c:v>0.0238055670959701</c:v>
                </c:pt>
                <c:pt idx="1">
                  <c:v>0.0190444536767761</c:v>
                </c:pt>
                <c:pt idx="2">
                  <c:v>0.0228533444121313</c:v>
                </c:pt>
              </c:numCache>
            </c:numRef>
          </c:val>
        </c:ser>
        <c:ser>
          <c:idx val="23"/>
          <c:order val="23"/>
          <c:tx>
            <c:strRef>
              <c:f>V.Poor!$A$60</c:f>
              <c:strCache>
                <c:ptCount val="1"/>
                <c:pt idx="0">
                  <c:v>Small business -- see Data2</c:v>
                </c:pt>
              </c:strCache>
            </c:strRef>
          </c:tx>
          <c:invertIfNegative val="0"/>
          <c:val>
            <c:numRef>
              <c:f>V.Poor!$K$60:$M$60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4"/>
          <c:order val="24"/>
          <c:tx>
            <c:strRef>
              <c:f>V.Poor!$A$61</c:f>
              <c:strCache>
                <c:ptCount val="1"/>
                <c:pt idx="0">
                  <c:v>Social development -- see Data2</c:v>
                </c:pt>
              </c:strCache>
            </c:strRef>
          </c:tx>
          <c:invertIfNegative val="0"/>
          <c:val>
            <c:numRef>
              <c:f>V.Poor!$K$61:$M$61</c:f>
              <c:numCache>
                <c:formatCode>0%</c:formatCode>
                <c:ptCount val="3"/>
                <c:pt idx="0">
                  <c:v>0.676776069796427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5"/>
          <c:order val="25"/>
          <c:tx>
            <c:strRef>
              <c:f>V.Poor!$A$62</c:f>
              <c:strCache>
                <c:ptCount val="1"/>
                <c:pt idx="0">
                  <c:v>Public works -- see Data2</c:v>
                </c:pt>
              </c:strCache>
            </c:strRef>
          </c:tx>
          <c:invertIfNegative val="0"/>
          <c:val>
            <c:numRef>
              <c:f>V.Poor!$K$62:$M$62</c:f>
              <c:numCache>
                <c:formatCode>0%</c:formatCode>
                <c:ptCount val="3"/>
                <c:pt idx="0">
                  <c:v>0.107810552555048</c:v>
                </c:pt>
                <c:pt idx="1">
                  <c:v>0.127216452014956</c:v>
                </c:pt>
                <c:pt idx="2">
                  <c:v>0.127216452014956</c:v>
                </c:pt>
              </c:numCache>
            </c:numRef>
          </c:val>
        </c:ser>
        <c:ser>
          <c:idx val="26"/>
          <c:order val="26"/>
          <c:tx>
            <c:strRef>
              <c:f>V.Poor!$A$63</c:f>
              <c:strCache>
                <c:ptCount val="1"/>
                <c:pt idx="0">
                  <c:v>Other income: e.g. Credit (cotton loans)</c:v>
                </c:pt>
              </c:strCache>
            </c:strRef>
          </c:tx>
          <c:invertIfNegative val="0"/>
          <c:val>
            <c:numRef>
              <c:f>V.Poor!$K$63:$M$63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7"/>
          <c:order val="27"/>
          <c:tx>
            <c:strRef>
              <c:f>V.Poor!$A$64</c:f>
              <c:strCache>
                <c:ptCount val="1"/>
                <c:pt idx="0">
                  <c:v>Remittances: no. times per year</c:v>
                </c:pt>
              </c:strCache>
            </c:strRef>
          </c:tx>
          <c:invertIfNegative val="0"/>
          <c:val>
            <c:numRef>
              <c:f>V.Poor!$K$64:$M$64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-2007157128"/>
        <c:axId val="-2007154136"/>
      </c:barChart>
      <c:catAx>
        <c:axId val="-20071571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071541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071541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% baseline income</a:t>
                </a:r>
              </a:p>
            </c:rich>
          </c:tx>
          <c:layout>
            <c:manualLayout>
              <c:xMode val="edge"/>
              <c:yMode val="edge"/>
              <c:x val="0.0113206951580941"/>
              <c:y val="0.284842344706912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07157128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00" b="0" i="0">
                <a:latin typeface="Helvetica Light"/>
                <a:cs typeface="Helvetica Light"/>
              </a:defRPr>
            </a:pPr>
            <a:r>
              <a:rPr lang="en-US" sz="1300" b="0" i="0">
                <a:latin typeface="Helvetica Light"/>
                <a:cs typeface="Helvetica Light"/>
              </a:rPr>
              <a:t>ZA3XX - Non-Affected Area without Grants</a:t>
            </a:r>
          </a:p>
        </c:rich>
      </c:tx>
      <c:layout>
        <c:manualLayout>
          <c:xMode val="edge"/>
          <c:yMode val="edge"/>
          <c:x val="0.299446643003821"/>
          <c:y val="0.0247163007063141"/>
        </c:manualLayout>
      </c:layout>
      <c:overlay val="1"/>
      <c:spPr>
        <a:solidFill>
          <a:schemeClr val="bg1"/>
        </a:solidFill>
        <a:ln w="3175" cmpd="sng">
          <a:solidFill>
            <a:schemeClr val="tx1"/>
          </a:solidFill>
        </a:ln>
      </c:spPr>
    </c:title>
    <c:autoTitleDeleted val="0"/>
    <c:plotArea>
      <c:layout>
        <c:manualLayout>
          <c:layoutTarget val="inner"/>
          <c:xMode val="edge"/>
          <c:yMode val="edge"/>
          <c:x val="0.0997886663130839"/>
          <c:y val="0.0491059044448712"/>
          <c:w val="0.837439924931663"/>
          <c:h val="0.680472014168961"/>
        </c:manualLayout>
      </c:layout>
      <c:barChart>
        <c:barDir val="col"/>
        <c:grouping val="stacked"/>
        <c:varyColors val="0"/>
        <c:ser>
          <c:idx val="1"/>
          <c:order val="2"/>
          <c:tx>
            <c:strRef>
              <c:f>Income!$A$72</c:f>
              <c:strCache>
                <c:ptCount val="1"/>
                <c:pt idx="0">
                  <c:v>Own crops Consumed</c:v>
                </c:pt>
              </c:strCache>
            </c:strRef>
          </c:tx>
          <c:spPr>
            <a:solidFill>
              <a:srgbClr val="00800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Income!$B$72:$I$72</c:f>
              <c:numCache>
                <c:formatCode>#,##0</c:formatCode>
                <c:ptCount val="8"/>
                <c:pt idx="0">
                  <c:v>3455.879273965561</c:v>
                </c:pt>
                <c:pt idx="1">
                  <c:v>5518.880537716735</c:v>
                </c:pt>
                <c:pt idx="2">
                  <c:v>5826.54980113477</c:v>
                </c:pt>
                <c:pt idx="3">
                  <c:v>5853.159474280447</c:v>
                </c:pt>
                <c:pt idx="4">
                  <c:v>4523.712626325427</c:v>
                </c:pt>
                <c:pt idx="5">
                  <c:v>8186.097714847338</c:v>
                </c:pt>
                <c:pt idx="6">
                  <c:v>8895.055763241327</c:v>
                </c:pt>
                <c:pt idx="7">
                  <c:v>6437.063688123348</c:v>
                </c:pt>
              </c:numCache>
            </c:numRef>
          </c:val>
        </c:ser>
        <c:ser>
          <c:idx val="2"/>
          <c:order val="7"/>
          <c:tx>
            <c:strRef>
              <c:f>Income!$A$73</c:f>
              <c:strCache>
                <c:ptCount val="1"/>
                <c:pt idx="0">
                  <c:v>Own crops sold</c:v>
                </c:pt>
              </c:strCache>
            </c:strRef>
          </c:tx>
          <c:spPr>
            <a:solidFill>
              <a:srgbClr val="C3D69B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Income!$B$73:$I$73</c:f>
              <c:numCache>
                <c:formatCode>#,##0</c:formatCode>
                <c:ptCount val="8"/>
                <c:pt idx="0">
                  <c:v>1172.142680101809</c:v>
                </c:pt>
                <c:pt idx="1">
                  <c:v>2245.625109491531</c:v>
                </c:pt>
                <c:pt idx="2">
                  <c:v>22480.23247781763</c:v>
                </c:pt>
                <c:pt idx="3">
                  <c:v>36140.36475977941</c:v>
                </c:pt>
                <c:pt idx="4">
                  <c:v>0.0</c:v>
                </c:pt>
                <c:pt idx="5">
                  <c:v>0.0</c:v>
                </c:pt>
                <c:pt idx="6">
                  <c:v>20239.93555165835</c:v>
                </c:pt>
                <c:pt idx="7">
                  <c:v>35466.5341488727</c:v>
                </c:pt>
              </c:numCache>
            </c:numRef>
          </c:val>
        </c:ser>
        <c:ser>
          <c:idx val="5"/>
          <c:order val="8"/>
          <c:tx>
            <c:strRef>
              <c:f>Income!$A$74</c:f>
              <c:strCache>
                <c:ptCount val="1"/>
                <c:pt idx="0">
                  <c:v>Animal products consumed</c:v>
                </c:pt>
              </c:strCache>
            </c:strRef>
          </c:tx>
          <c:spPr>
            <a:solidFill>
              <a:srgbClr val="FFFFFF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Income!$B$74:$I$74</c:f>
              <c:numCache>
                <c:formatCode>#,##0</c:formatCode>
                <c:ptCount val="8"/>
                <c:pt idx="0">
                  <c:v>573.6683149701675</c:v>
                </c:pt>
                <c:pt idx="1">
                  <c:v>1129.676859632458</c:v>
                </c:pt>
                <c:pt idx="2">
                  <c:v>1459.224443966237</c:v>
                </c:pt>
                <c:pt idx="3">
                  <c:v>2403.479591509611</c:v>
                </c:pt>
                <c:pt idx="4">
                  <c:v>321.4011304563941</c:v>
                </c:pt>
                <c:pt idx="5">
                  <c:v>632.9082681778971</c:v>
                </c:pt>
                <c:pt idx="6">
                  <c:v>817.53928819433</c:v>
                </c:pt>
                <c:pt idx="7">
                  <c:v>1346.563924800749</c:v>
                </c:pt>
              </c:numCache>
            </c:numRef>
          </c:val>
        </c:ser>
        <c:ser>
          <c:idx val="7"/>
          <c:order val="9"/>
          <c:tx>
            <c:strRef>
              <c:f>Income!$A$76</c:f>
              <c:strCache>
                <c:ptCount val="1"/>
                <c:pt idx="0">
                  <c:v>Animals sold</c:v>
                </c:pt>
              </c:strCache>
            </c:strRef>
          </c:tx>
          <c:spPr>
            <a:solidFill>
              <a:srgbClr val="FAC09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Income!$B$76:$I$76</c:f>
              <c:numCache>
                <c:formatCode>#,##0</c:formatCode>
                <c:ptCount val="8"/>
                <c:pt idx="0">
                  <c:v>0.0</c:v>
                </c:pt>
                <c:pt idx="1">
                  <c:v>5786.8409242296</c:v>
                </c:pt>
                <c:pt idx="2">
                  <c:v>17821.95403055013</c:v>
                </c:pt>
                <c:pt idx="3">
                  <c:v>31091.65256982186</c:v>
                </c:pt>
                <c:pt idx="4">
                  <c:v>0.0</c:v>
                </c:pt>
                <c:pt idx="5">
                  <c:v>2932.693333333333</c:v>
                </c:pt>
                <c:pt idx="6">
                  <c:v>12000.84739943775</c:v>
                </c:pt>
                <c:pt idx="7">
                  <c:v>20149.27135773697</c:v>
                </c:pt>
              </c:numCache>
            </c:numRef>
          </c:val>
        </c:ser>
        <c:ser>
          <c:idx val="8"/>
          <c:order val="10"/>
          <c:tx>
            <c:strRef>
              <c:f>Income!$A$77</c:f>
              <c:strCache>
                <c:ptCount val="1"/>
                <c:pt idx="0">
                  <c:v>Wild foods consumed and sold</c:v>
                </c:pt>
              </c:strCache>
            </c:strRef>
          </c:tx>
          <c:spPr>
            <a:solidFill>
              <a:srgbClr val="B3A2C7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Income!$B$77:$I$77</c:f>
              <c:numCache>
                <c:formatCode>#,##0</c:formatCode>
                <c:ptCount val="8"/>
                <c:pt idx="0">
                  <c:v>657.7350047472464</c:v>
                </c:pt>
                <c:pt idx="1">
                  <c:v>1143.67355303066</c:v>
                </c:pt>
                <c:pt idx="2">
                  <c:v>0.0</c:v>
                </c:pt>
                <c:pt idx="3">
                  <c:v>0.0</c:v>
                </c:pt>
                <c:pt idx="4">
                  <c:v>855.4999999999999</c:v>
                </c:pt>
                <c:pt idx="5">
                  <c:v>1784.75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ser>
          <c:idx val="12"/>
          <c:order val="11"/>
          <c:tx>
            <c:strRef>
              <c:f>Income!$A$78</c:f>
              <c:strCache>
                <c:ptCount val="1"/>
                <c:pt idx="0">
                  <c:v>Labour - casual</c:v>
                </c:pt>
              </c:strCache>
            </c:strRef>
          </c:tx>
          <c:spPr>
            <a:solidFill>
              <a:srgbClr val="D99694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Income!$B$78:$I$78</c:f>
              <c:numCache>
                <c:formatCode>#,##0</c:formatCode>
                <c:ptCount val="8"/>
                <c:pt idx="0">
                  <c:v>8001.6947213181</c:v>
                </c:pt>
                <c:pt idx="1">
                  <c:v>14295.53630667166</c:v>
                </c:pt>
                <c:pt idx="2">
                  <c:v>0.0</c:v>
                </c:pt>
                <c:pt idx="3">
                  <c:v>0.0</c:v>
                </c:pt>
                <c:pt idx="4">
                  <c:v>6316.395373589134</c:v>
                </c:pt>
                <c:pt idx="5">
                  <c:v>10357.75474391807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ser>
          <c:idx val="4"/>
          <c:order val="12"/>
          <c:tx>
            <c:strRef>
              <c:f>Income!$A$79</c:f>
              <c:strCache>
                <c:ptCount val="1"/>
                <c:pt idx="0">
                  <c:v>Labour - formal emp</c:v>
                </c:pt>
              </c:strCache>
            </c:strRef>
          </c:tx>
          <c:spPr>
            <a:solidFill>
              <a:srgbClr val="C0504D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Income!$B$79:$I$79</c:f>
              <c:numCache>
                <c:formatCode>#,##0</c:formatCode>
                <c:ptCount val="8"/>
                <c:pt idx="0">
                  <c:v>0.0</c:v>
                </c:pt>
                <c:pt idx="1">
                  <c:v>12958.36128755769</c:v>
                </c:pt>
                <c:pt idx="2">
                  <c:v>44596.9576779583</c:v>
                </c:pt>
                <c:pt idx="3">
                  <c:v>212045.9119782168</c:v>
                </c:pt>
                <c:pt idx="4">
                  <c:v>0.0</c:v>
                </c:pt>
                <c:pt idx="5">
                  <c:v>8307.199999999999</c:v>
                </c:pt>
                <c:pt idx="6">
                  <c:v>28589.71428571428</c:v>
                </c:pt>
                <c:pt idx="7">
                  <c:v>135936.0</c:v>
                </c:pt>
              </c:numCache>
            </c:numRef>
          </c:val>
        </c:ser>
        <c:ser>
          <c:idx val="0"/>
          <c:order val="13"/>
          <c:tx>
            <c:strRef>
              <c:f>Income!$A$80</c:f>
              <c:strCache>
                <c:ptCount val="1"/>
                <c:pt idx="0">
                  <c:v>Labour - public works</c:v>
                </c:pt>
              </c:strCache>
            </c:strRef>
          </c:tx>
          <c:spPr>
            <a:solidFill>
              <a:srgbClr val="95373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Income!$B$80:$I$80</c:f>
              <c:numCache>
                <c:formatCode>#,##0</c:formatCode>
                <c:ptCount val="8"/>
                <c:pt idx="0">
                  <c:v>5094.99205169882</c:v>
                </c:pt>
                <c:pt idx="1">
                  <c:v>4025.436398456842</c:v>
                </c:pt>
                <c:pt idx="2">
                  <c:v>2243.872084425574</c:v>
                </c:pt>
                <c:pt idx="3">
                  <c:v>0.0</c:v>
                </c:pt>
                <c:pt idx="4">
                  <c:v>4082.8</c:v>
                </c:pt>
                <c:pt idx="5">
                  <c:v>3225.726666666666</c:v>
                </c:pt>
                <c:pt idx="6">
                  <c:v>1798.095238095238</c:v>
                </c:pt>
                <c:pt idx="7">
                  <c:v>0.0</c:v>
                </c:pt>
              </c:numCache>
            </c:numRef>
          </c:val>
        </c:ser>
        <c:ser>
          <c:idx val="6"/>
          <c:order val="14"/>
          <c:tx>
            <c:strRef>
              <c:f>Income!$A$81</c:f>
              <c:strCache>
                <c:ptCount val="1"/>
                <c:pt idx="0">
                  <c:v>Self - employment</c:v>
                </c:pt>
              </c:strCache>
            </c:strRef>
          </c:tx>
          <c:spPr>
            <a:solidFill>
              <a:srgbClr val="D3BBD8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Income!$B$81:$I$81</c:f>
              <c:numCache>
                <c:formatCode>#,##0</c:formatCode>
                <c:ptCount val="8"/>
                <c:pt idx="0">
                  <c:v>1125.021366328872</c:v>
                </c:pt>
                <c:pt idx="1">
                  <c:v>6238.66560472948</c:v>
                </c:pt>
                <c:pt idx="2">
                  <c:v>673.1616253276724</c:v>
                </c:pt>
                <c:pt idx="3">
                  <c:v>0.0</c:v>
                </c:pt>
                <c:pt idx="4">
                  <c:v>733.4399999999999</c:v>
                </c:pt>
                <c:pt idx="5">
                  <c:v>4067.2</c:v>
                </c:pt>
                <c:pt idx="6">
                  <c:v>380.6611173327803</c:v>
                </c:pt>
                <c:pt idx="7">
                  <c:v>0.0</c:v>
                </c:pt>
              </c:numCache>
            </c:numRef>
          </c:val>
        </c:ser>
        <c:ser>
          <c:idx val="3"/>
          <c:order val="15"/>
          <c:tx>
            <c:strRef>
              <c:f>Income!$A$82</c:f>
              <c:strCache>
                <c:ptCount val="1"/>
                <c:pt idx="0">
                  <c:v>Small business/petty trading</c:v>
                </c:pt>
              </c:strCache>
            </c:strRef>
          </c:tx>
          <c:spPr>
            <a:solidFill>
              <a:srgbClr val="CC66FF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Income!$B$82:$I$82</c:f>
              <c:numCache>
                <c:formatCode>#,##0</c:formatCode>
                <c:ptCount val="8"/>
                <c:pt idx="0">
                  <c:v>0.0</c:v>
                </c:pt>
                <c:pt idx="1">
                  <c:v>1413.639413188112</c:v>
                </c:pt>
                <c:pt idx="2">
                  <c:v>60360.15907104795</c:v>
                </c:pt>
                <c:pt idx="3">
                  <c:v>56619.62430631054</c:v>
                </c:pt>
                <c:pt idx="4">
                  <c:v>0.0</c:v>
                </c:pt>
                <c:pt idx="5">
                  <c:v>906.2399999999999</c:v>
                </c:pt>
                <c:pt idx="6">
                  <c:v>38695.00952380952</c:v>
                </c:pt>
                <c:pt idx="7">
                  <c:v>36297.06971428572</c:v>
                </c:pt>
              </c:numCache>
            </c:numRef>
          </c:val>
        </c:ser>
        <c:ser>
          <c:idx val="9"/>
          <c:order val="16"/>
          <c:tx>
            <c:strRef>
              <c:f>Income!$A$83</c:f>
              <c:strCache>
                <c:ptCount val="1"/>
                <c:pt idx="0">
                  <c:v>Food transfer - official</c:v>
                </c:pt>
              </c:strCache>
            </c:strRef>
          </c:tx>
          <c:spPr>
            <a:solidFill>
              <a:srgbClr val="558ED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Income!$B$83:$I$83</c:f>
              <c:numCache>
                <c:formatCode>#,##0</c:formatCode>
                <c:ptCount val="8"/>
                <c:pt idx="0">
                  <c:v>1674.939960235139</c:v>
                </c:pt>
                <c:pt idx="1">
                  <c:v>1577.649333829411</c:v>
                </c:pt>
                <c:pt idx="2">
                  <c:v>667.854644534493</c:v>
                </c:pt>
                <c:pt idx="3">
                  <c:v>667.854644534493</c:v>
                </c:pt>
                <c:pt idx="4">
                  <c:v>1876.790412223328</c:v>
                </c:pt>
                <c:pt idx="5">
                  <c:v>1767.775092765645</c:v>
                </c:pt>
                <c:pt idx="6">
                  <c:v>748.3391783459459</c:v>
                </c:pt>
                <c:pt idx="7">
                  <c:v>748.3391783459459</c:v>
                </c:pt>
              </c:numCache>
            </c:numRef>
          </c:val>
        </c:ser>
        <c:ser>
          <c:idx val="17"/>
          <c:order val="17"/>
          <c:tx>
            <c:strRef>
              <c:f>Income!$A$84</c:f>
              <c:strCache>
                <c:ptCount val="1"/>
                <c:pt idx="0">
                  <c:v>Food transfer - gifts</c:v>
                </c:pt>
              </c:strCache>
            </c:strRef>
          </c:tx>
          <c:spPr>
            <a:solidFill>
              <a:srgbClr val="B9CDE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Income!$B$84:$I$84</c:f>
              <c:numCache>
                <c:formatCode>#,##0</c:formatCode>
                <c:ptCount val="8"/>
                <c:pt idx="0">
                  <c:v>151.4023661861037</c:v>
                </c:pt>
                <c:pt idx="1">
                  <c:v>83.38482849719337</c:v>
                </c:pt>
                <c:pt idx="2">
                  <c:v>47.64847342696765</c:v>
                </c:pt>
                <c:pt idx="3">
                  <c:v>0.0</c:v>
                </c:pt>
                <c:pt idx="4">
                  <c:v>169.6481760493158</c:v>
                </c:pt>
                <c:pt idx="5">
                  <c:v>93.43370530514367</c:v>
                </c:pt>
                <c:pt idx="6">
                  <c:v>53.3906887457964</c:v>
                </c:pt>
                <c:pt idx="7">
                  <c:v>0.0</c:v>
                </c:pt>
              </c:numCache>
            </c:numRef>
          </c:val>
        </c:ser>
        <c:ser>
          <c:idx val="10"/>
          <c:order val="18"/>
          <c:tx>
            <c:strRef>
              <c:f>Income!$A$85</c:f>
              <c:strCache>
                <c:ptCount val="1"/>
                <c:pt idx="0">
                  <c:v>Cash transfer - official</c:v>
                </c:pt>
              </c:strCache>
            </c:strRef>
          </c:tx>
          <c:spPr>
            <a:solidFill>
              <a:srgbClr val="A6A6A6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Income!$B$85:$I$85</c:f>
              <c:numCache>
                <c:formatCode>#,##0</c:formatCode>
                <c:ptCount val="8"/>
                <c:pt idx="0">
                  <c:v>31983.59172338103</c:v>
                </c:pt>
                <c:pt idx="1">
                  <c:v>31983.59172338103</c:v>
                </c:pt>
                <c:pt idx="2">
                  <c:v>13328.60018148791</c:v>
                </c:pt>
                <c:pt idx="3">
                  <c:v>13328.60018148791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ser>
          <c:idx val="11"/>
          <c:order val="19"/>
          <c:tx>
            <c:strRef>
              <c:f>Income!$A$86</c:f>
              <c:strCache>
                <c:ptCount val="1"/>
                <c:pt idx="0">
                  <c:v>Cash transfer - gifts</c:v>
                </c:pt>
              </c:strCache>
            </c:strRef>
          </c:tx>
          <c:spPr>
            <a:solidFill>
              <a:srgbClr val="D9D9D9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Income!$B$86:$I$86</c:f>
              <c:numCache>
                <c:formatCode>#,##0</c:formatCode>
                <c:ptCount val="8"/>
                <c:pt idx="0">
                  <c:v>0.0</c:v>
                </c:pt>
                <c:pt idx="1">
                  <c:v>3092.336216348994</c:v>
                </c:pt>
                <c:pt idx="2">
                  <c:v>2468.259292868132</c:v>
                </c:pt>
                <c:pt idx="3">
                  <c:v>6731.616253276724</c:v>
                </c:pt>
                <c:pt idx="4">
                  <c:v>0.0</c:v>
                </c:pt>
                <c:pt idx="5">
                  <c:v>2331.0</c:v>
                </c:pt>
                <c:pt idx="6">
                  <c:v>1860.571428571429</c:v>
                </c:pt>
                <c:pt idx="7">
                  <c:v>5074.285714285716</c:v>
                </c:pt>
              </c:numCache>
            </c:numRef>
          </c:val>
        </c:ser>
        <c:ser>
          <c:idx val="14"/>
          <c:order val="20"/>
          <c:tx>
            <c:strRef>
              <c:f>Income!$A$87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 w="3175" cmpd="sng">
              <a:solidFill>
                <a:schemeClr val="tx1"/>
              </a:solidFill>
            </a:ln>
          </c:spPr>
          <c:invertIfNegative val="0"/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Income!$B$87:$I$87</c:f>
              <c:numCache>
                <c:formatCode>#,##0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4712.131377293707</c:v>
                </c:pt>
                <c:pt idx="3">
                  <c:v>3635.072776769431</c:v>
                </c:pt>
                <c:pt idx="4">
                  <c:v>0.0</c:v>
                </c:pt>
                <c:pt idx="5">
                  <c:v>0.0</c:v>
                </c:pt>
                <c:pt idx="6">
                  <c:v>3200.0</c:v>
                </c:pt>
                <c:pt idx="7">
                  <c:v>2468.571428571428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2007974072"/>
        <c:axId val="-2007699176"/>
      </c:barChart>
      <c:lineChart>
        <c:grouping val="standard"/>
        <c:varyColors val="0"/>
        <c:ser>
          <c:idx val="13"/>
          <c:order val="0"/>
          <c:tx>
            <c:strRef>
              <c:f>Income!$A$89</c:f>
              <c:strCache>
                <c:ptCount val="1"/>
                <c:pt idx="0">
                  <c:v>Food Poverty line</c:v>
                </c:pt>
              </c:strCache>
            </c:strRef>
          </c:tx>
          <c:spPr>
            <a:ln w="12700">
              <a:solidFill>
                <a:srgbClr val="DD0806"/>
              </a:solidFill>
              <a:prstDash val="solid"/>
            </a:ln>
          </c:spPr>
          <c:marker>
            <c:symbol val="none"/>
          </c:marker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Income!$B$89:$E$89</c:f>
              <c:numCache>
                <c:formatCode>#,##0</c:formatCode>
                <c:ptCount val="4"/>
                <c:pt idx="0">
                  <c:v>40474.95168787119</c:v>
                </c:pt>
                <c:pt idx="1">
                  <c:v>40474.95168787119</c:v>
                </c:pt>
                <c:pt idx="2">
                  <c:v>40474.95168787113</c:v>
                </c:pt>
                <c:pt idx="3">
                  <c:v>40474.95168787113</c:v>
                </c:pt>
              </c:numCache>
            </c:numRef>
          </c:val>
          <c:smooth val="0"/>
        </c:ser>
        <c:ser>
          <c:idx val="15"/>
          <c:order val="1"/>
          <c:tx>
            <c:strRef>
              <c:f>Income!$A$93</c:f>
              <c:strCache>
                <c:ptCount val="1"/>
                <c:pt idx="0">
                  <c:v>Food Poverty line</c:v>
                </c:pt>
              </c:strCache>
            </c:strRef>
          </c:tx>
          <c:spPr>
            <a:ln w="12700">
              <a:solidFill>
                <a:srgbClr val="DD0806"/>
              </a:solidFill>
              <a:prstDash val="solid"/>
            </a:ln>
          </c:spPr>
          <c:marker>
            <c:symbol val="none"/>
          </c:marker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Income!$B$93:$I$93</c:f>
              <c:numCache>
                <c:formatCode>General</c:formatCode>
                <c:ptCount val="8"/>
                <c:pt idx="4" formatCode="#,##0">
                  <c:v>40474.95168787119</c:v>
                </c:pt>
                <c:pt idx="5" formatCode="#,##0">
                  <c:v>40474.95168787119</c:v>
                </c:pt>
                <c:pt idx="6" formatCode="#,##0">
                  <c:v>40474.95168787113</c:v>
                </c:pt>
                <c:pt idx="7" formatCode="#,##0">
                  <c:v>40474.95168787113</c:v>
                </c:pt>
              </c:numCache>
            </c:numRef>
          </c:val>
          <c:smooth val="0"/>
        </c:ser>
        <c:ser>
          <c:idx val="18"/>
          <c:order val="3"/>
          <c:tx>
            <c:strRef>
              <c:f>Income!$A$90</c:f>
              <c:strCache>
                <c:ptCount val="1"/>
                <c:pt idx="0">
                  <c:v>Lower Bound Poverty line</c:v>
                </c:pt>
              </c:strCache>
            </c:strRef>
          </c:tx>
          <c:spPr>
            <a:ln w="12700" cmpd="sng">
              <a:solidFill>
                <a:srgbClr val="FF0000"/>
              </a:solidFill>
              <a:prstDash val="dash"/>
            </a:ln>
          </c:spPr>
          <c:marker>
            <c:symbol val="none"/>
          </c:marker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Income!$B$90:$E$90</c:f>
              <c:numCache>
                <c:formatCode>#,##0</c:formatCode>
                <c:ptCount val="4"/>
                <c:pt idx="0">
                  <c:v>59912.96057676011</c:v>
                </c:pt>
                <c:pt idx="1">
                  <c:v>59912.96057676011</c:v>
                </c:pt>
                <c:pt idx="2">
                  <c:v>59912.96057676002</c:v>
                </c:pt>
                <c:pt idx="3">
                  <c:v>59912.96057676002</c:v>
                </c:pt>
              </c:numCache>
            </c:numRef>
          </c:val>
          <c:smooth val="0"/>
        </c:ser>
        <c:ser>
          <c:idx val="19"/>
          <c:order val="4"/>
          <c:tx>
            <c:strRef>
              <c:f>Income!$A$94</c:f>
              <c:strCache>
                <c:ptCount val="1"/>
                <c:pt idx="0">
                  <c:v>Lower Bound Poverty line</c:v>
                </c:pt>
              </c:strCache>
            </c:strRef>
          </c:tx>
          <c:spPr>
            <a:ln w="12700" cmpd="sng">
              <a:solidFill>
                <a:srgbClr val="FF0000"/>
              </a:solidFill>
              <a:prstDash val="dash"/>
            </a:ln>
          </c:spPr>
          <c:marker>
            <c:symbol val="none"/>
          </c:marker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Income!$B$94:$I$94</c:f>
              <c:numCache>
                <c:formatCode>General</c:formatCode>
                <c:ptCount val="8"/>
                <c:pt idx="4" formatCode="#,##0">
                  <c:v>59912.96057676011</c:v>
                </c:pt>
                <c:pt idx="5" formatCode="#,##0">
                  <c:v>59912.96057676011</c:v>
                </c:pt>
                <c:pt idx="6" formatCode="#,##0">
                  <c:v>59912.96057676002</c:v>
                </c:pt>
                <c:pt idx="7" formatCode="#,##0">
                  <c:v>59912.96057676002</c:v>
                </c:pt>
              </c:numCache>
            </c:numRef>
          </c:val>
          <c:smooth val="0"/>
        </c:ser>
        <c:ser>
          <c:idx val="20"/>
          <c:order val="5"/>
          <c:tx>
            <c:strRef>
              <c:f>Income!$A$91</c:f>
              <c:strCache>
                <c:ptCount val="1"/>
                <c:pt idx="0">
                  <c:v>Upper Bound Poverty line</c:v>
                </c:pt>
              </c:strCache>
            </c:strRef>
          </c:tx>
          <c:spPr>
            <a:ln w="12700" cmpd="sng">
              <a:solidFill>
                <a:srgbClr val="723F95"/>
              </a:solidFill>
              <a:prstDash val="lgDash"/>
            </a:ln>
          </c:spPr>
          <c:marker>
            <c:symbol val="none"/>
          </c:marker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Income!$B$91:$E$91</c:f>
              <c:numCache>
                <c:formatCode>#,##0</c:formatCode>
                <c:ptCount val="4"/>
                <c:pt idx="0">
                  <c:v>94209.82914818868</c:v>
                </c:pt>
                <c:pt idx="1">
                  <c:v>94209.82914818868</c:v>
                </c:pt>
                <c:pt idx="2">
                  <c:v>94209.8291481886</c:v>
                </c:pt>
                <c:pt idx="3">
                  <c:v>94209.8291481886</c:v>
                </c:pt>
              </c:numCache>
            </c:numRef>
          </c:val>
          <c:smooth val="0"/>
        </c:ser>
        <c:ser>
          <c:idx val="21"/>
          <c:order val="6"/>
          <c:tx>
            <c:strRef>
              <c:f>Income!$A$95</c:f>
              <c:strCache>
                <c:ptCount val="1"/>
                <c:pt idx="0">
                  <c:v>Upper Bound Poverty line</c:v>
                </c:pt>
              </c:strCache>
            </c:strRef>
          </c:tx>
          <c:spPr>
            <a:ln w="12700" cmpd="sng">
              <a:solidFill>
                <a:srgbClr val="723F95"/>
              </a:solidFill>
              <a:prstDash val="lgDash"/>
            </a:ln>
          </c:spPr>
          <c:marker>
            <c:symbol val="none"/>
          </c:marker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Income!$B$95:$I$95</c:f>
              <c:numCache>
                <c:formatCode>General</c:formatCode>
                <c:ptCount val="8"/>
                <c:pt idx="4" formatCode="#,##0">
                  <c:v>94209.82914818868</c:v>
                </c:pt>
                <c:pt idx="5" formatCode="#,##0">
                  <c:v>94209.82914818868</c:v>
                </c:pt>
                <c:pt idx="6" formatCode="#,##0">
                  <c:v>94209.8291481886</c:v>
                </c:pt>
                <c:pt idx="7" formatCode="#,##0">
                  <c:v>94209.8291481886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07974072"/>
        <c:axId val="-2007699176"/>
      </c:lineChart>
      <c:catAx>
        <c:axId val="-2007974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6350" cmpd="sng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-200769917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0769917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Helvetica Light"/>
                    <a:ea typeface="Arial"/>
                    <a:cs typeface="Helvetica Light"/>
                  </a:defRPr>
                </a:pPr>
                <a:r>
                  <a:rPr lang="en-US" sz="800" b="0" i="0">
                    <a:latin typeface="Helvetica Light"/>
                    <a:cs typeface="Helvetica Light"/>
                  </a:rPr>
                  <a:t> Cash income today's prices, Hhs size = 'Poor')</a:t>
                </a:r>
              </a:p>
            </c:rich>
          </c:tx>
          <c:layout>
            <c:manualLayout>
              <c:xMode val="edge"/>
              <c:yMode val="edge"/>
              <c:x val="0.0165335291637768"/>
              <c:y val="0.138659070055267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0"/>
        <c:majorTickMark val="out"/>
        <c:minorTickMark val="none"/>
        <c:tickLblPos val="nextTo"/>
        <c:spPr>
          <a:ln w="6350" cmpd="sng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-2007974072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b"/>
      <c:legendEntry>
        <c:idx val="16"/>
        <c:delete val="1"/>
      </c:legendEntry>
      <c:legendEntry>
        <c:idx val="18"/>
        <c:delete val="1"/>
      </c:legendEntry>
      <c:legendEntry>
        <c:idx val="20"/>
        <c:delete val="1"/>
      </c:legendEntry>
      <c:layout>
        <c:manualLayout>
          <c:xMode val="edge"/>
          <c:yMode val="edge"/>
          <c:x val="0.0889954170236492"/>
          <c:y val="0.792363271664213"/>
          <c:w val="0.825463261392844"/>
          <c:h val="0.199506647034974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700" b="0" i="0" u="none" strike="noStrike" baseline="0">
              <a:solidFill>
                <a:srgbClr val="000000"/>
              </a:solidFill>
              <a:latin typeface="Helvetica Light"/>
              <a:ea typeface="Calibri"/>
              <a:cs typeface="Helvetica Light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 cmpd="sng">
      <a:solidFill>
        <a:srgbClr val="000000"/>
      </a:solidFill>
      <a:prstDash val="solid"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0000000000002" r="0.750000000000002" t="1.0" header="0.5" footer="0.5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 i="0">
                <a:latin typeface="Helvetica Light"/>
                <a:cs typeface="Helvetica Light"/>
              </a:defRPr>
            </a:pPr>
            <a:r>
              <a:rPr lang="en-US" sz="1400" b="0" i="0">
                <a:latin typeface="Helvetica Light"/>
                <a:cs typeface="Helvetica Light"/>
              </a:rPr>
              <a:t>ZANCC - Baseline Total Income</a:t>
            </a:r>
          </a:p>
        </c:rich>
      </c:tx>
      <c:layout>
        <c:manualLayout>
          <c:xMode val="edge"/>
          <c:yMode val="edge"/>
          <c:x val="0.246303382138332"/>
          <c:y val="0.0145348837209302"/>
        </c:manualLayout>
      </c:layout>
      <c:overlay val="0"/>
      <c:spPr>
        <a:solidFill>
          <a:srgbClr val="FFFFFF"/>
        </a:solidFill>
        <a:ln w="3175" cmpd="sng">
          <a:solidFill>
            <a:srgbClr val="000000"/>
          </a:solidFill>
        </a:ln>
      </c:spPr>
    </c:title>
    <c:autoTitleDeleted val="0"/>
    <c:plotArea>
      <c:layout>
        <c:manualLayout>
          <c:layoutTarget val="inner"/>
          <c:xMode val="edge"/>
          <c:yMode val="edge"/>
          <c:x val="0.120297191111981"/>
          <c:y val="0.0347394540942928"/>
          <c:w val="0.568554963238291"/>
          <c:h val="0.909511084384142"/>
        </c:manualLayout>
      </c:layout>
      <c:barChart>
        <c:barDir val="col"/>
        <c:grouping val="stacked"/>
        <c:varyColors val="0"/>
        <c:ser>
          <c:idx val="1"/>
          <c:order val="0"/>
          <c:tx>
            <c:strRef>
              <c:f>Income!$A$72</c:f>
              <c:strCache>
                <c:ptCount val="1"/>
                <c:pt idx="0">
                  <c:v>Own crops Consumed</c:v>
                </c:pt>
              </c:strCache>
            </c:strRef>
          </c:tx>
          <c:spPr>
            <a:solidFill>
              <a:srgbClr val="00800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Income!$B$72:$E$72</c:f>
              <c:numCache>
                <c:formatCode>#,##0</c:formatCode>
                <c:ptCount val="4"/>
                <c:pt idx="0">
                  <c:v>3455.879273965561</c:v>
                </c:pt>
                <c:pt idx="1">
                  <c:v>5518.880537716735</c:v>
                </c:pt>
                <c:pt idx="2">
                  <c:v>5826.54980113477</c:v>
                </c:pt>
                <c:pt idx="3">
                  <c:v>5853.159474280447</c:v>
                </c:pt>
              </c:numCache>
            </c:numRef>
          </c:val>
        </c:ser>
        <c:ser>
          <c:idx val="2"/>
          <c:order val="1"/>
          <c:tx>
            <c:strRef>
              <c:f>Income!$A$73</c:f>
              <c:strCache>
                <c:ptCount val="1"/>
                <c:pt idx="0">
                  <c:v>Own crops sold</c:v>
                </c:pt>
              </c:strCache>
            </c:strRef>
          </c:tx>
          <c:spPr>
            <a:solidFill>
              <a:srgbClr val="C3D69B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Income!$B$73:$E$73</c:f>
              <c:numCache>
                <c:formatCode>#,##0</c:formatCode>
                <c:ptCount val="4"/>
                <c:pt idx="0">
                  <c:v>1172.142680101809</c:v>
                </c:pt>
                <c:pt idx="1">
                  <c:v>2245.625109491531</c:v>
                </c:pt>
                <c:pt idx="2">
                  <c:v>22480.23247781763</c:v>
                </c:pt>
                <c:pt idx="3">
                  <c:v>36140.36475977941</c:v>
                </c:pt>
              </c:numCache>
            </c:numRef>
          </c:val>
        </c:ser>
        <c:ser>
          <c:idx val="5"/>
          <c:order val="2"/>
          <c:tx>
            <c:strRef>
              <c:f>Income!$A$74</c:f>
              <c:strCache>
                <c:ptCount val="1"/>
                <c:pt idx="0">
                  <c:v>Animal products consumed</c:v>
                </c:pt>
              </c:strCache>
            </c:strRef>
          </c:tx>
          <c:spPr>
            <a:solidFill>
              <a:srgbClr val="FFFFFF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Income!$B$74:$E$74</c:f>
              <c:numCache>
                <c:formatCode>#,##0</c:formatCode>
                <c:ptCount val="4"/>
                <c:pt idx="0">
                  <c:v>573.6683149701675</c:v>
                </c:pt>
                <c:pt idx="1">
                  <c:v>1129.676859632458</c:v>
                </c:pt>
                <c:pt idx="2">
                  <c:v>1459.224443966237</c:v>
                </c:pt>
                <c:pt idx="3">
                  <c:v>2403.479591509611</c:v>
                </c:pt>
              </c:numCache>
            </c:numRef>
          </c:val>
        </c:ser>
        <c:ser>
          <c:idx val="7"/>
          <c:order val="3"/>
          <c:tx>
            <c:strRef>
              <c:f>Income!$A$76</c:f>
              <c:strCache>
                <c:ptCount val="1"/>
                <c:pt idx="0">
                  <c:v>Animals sold</c:v>
                </c:pt>
              </c:strCache>
            </c:strRef>
          </c:tx>
          <c:spPr>
            <a:solidFill>
              <a:srgbClr val="FAC09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Income!$B$76:$E$76</c:f>
              <c:numCache>
                <c:formatCode>#,##0</c:formatCode>
                <c:ptCount val="4"/>
                <c:pt idx="0">
                  <c:v>0.0</c:v>
                </c:pt>
                <c:pt idx="1">
                  <c:v>5786.8409242296</c:v>
                </c:pt>
                <c:pt idx="2">
                  <c:v>17821.95403055013</c:v>
                </c:pt>
                <c:pt idx="3">
                  <c:v>31091.65256982186</c:v>
                </c:pt>
              </c:numCache>
            </c:numRef>
          </c:val>
        </c:ser>
        <c:ser>
          <c:idx val="8"/>
          <c:order val="4"/>
          <c:tx>
            <c:strRef>
              <c:f>Income!$A$77</c:f>
              <c:strCache>
                <c:ptCount val="1"/>
                <c:pt idx="0">
                  <c:v>Wild foods consumed and sold</c:v>
                </c:pt>
              </c:strCache>
            </c:strRef>
          </c:tx>
          <c:spPr>
            <a:solidFill>
              <a:srgbClr val="B3A2C7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Income!$B$77:$E$77</c:f>
              <c:numCache>
                <c:formatCode>#,##0</c:formatCode>
                <c:ptCount val="4"/>
                <c:pt idx="0">
                  <c:v>657.7350047472464</c:v>
                </c:pt>
                <c:pt idx="1">
                  <c:v>1143.67355303066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9"/>
          <c:order val="5"/>
          <c:tx>
            <c:strRef>
              <c:f>Income!$A$78</c:f>
              <c:strCache>
                <c:ptCount val="1"/>
                <c:pt idx="0">
                  <c:v>Labour - casual</c:v>
                </c:pt>
              </c:strCache>
            </c:strRef>
          </c:tx>
          <c:spPr>
            <a:solidFill>
              <a:srgbClr val="D99694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Income!$B$78:$E$78</c:f>
              <c:numCache>
                <c:formatCode>#,##0</c:formatCode>
                <c:ptCount val="4"/>
                <c:pt idx="0">
                  <c:v>8001.6947213181</c:v>
                </c:pt>
                <c:pt idx="1">
                  <c:v>14295.53630667166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1"/>
          <c:order val="6"/>
          <c:tx>
            <c:strRef>
              <c:f>Income!$A$79</c:f>
              <c:strCache>
                <c:ptCount val="1"/>
                <c:pt idx="0">
                  <c:v>Labour - formal emp</c:v>
                </c:pt>
              </c:strCache>
            </c:strRef>
          </c:tx>
          <c:spPr>
            <a:solidFill>
              <a:srgbClr val="C0504D">
                <a:alpha val="97255"/>
              </a:srgbClr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Income!$B$79:$E$79</c:f>
              <c:numCache>
                <c:formatCode>#,##0</c:formatCode>
                <c:ptCount val="4"/>
                <c:pt idx="0">
                  <c:v>0.0</c:v>
                </c:pt>
                <c:pt idx="1">
                  <c:v>12958.36128755769</c:v>
                </c:pt>
                <c:pt idx="2">
                  <c:v>44596.9576779583</c:v>
                </c:pt>
                <c:pt idx="3">
                  <c:v>212045.9119782168</c:v>
                </c:pt>
              </c:numCache>
            </c:numRef>
          </c:val>
        </c:ser>
        <c:ser>
          <c:idx val="0"/>
          <c:order val="7"/>
          <c:tx>
            <c:strRef>
              <c:f>Income!$A$80</c:f>
              <c:strCache>
                <c:ptCount val="1"/>
                <c:pt idx="0">
                  <c:v>Labour - public works</c:v>
                </c:pt>
              </c:strCache>
            </c:strRef>
          </c:tx>
          <c:spPr>
            <a:solidFill>
              <a:srgbClr val="95373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Income!$B$80:$E$80</c:f>
              <c:numCache>
                <c:formatCode>#,##0</c:formatCode>
                <c:ptCount val="4"/>
                <c:pt idx="0">
                  <c:v>5094.99205169882</c:v>
                </c:pt>
                <c:pt idx="1">
                  <c:v>4025.436398456842</c:v>
                </c:pt>
                <c:pt idx="2">
                  <c:v>2243.872084425574</c:v>
                </c:pt>
                <c:pt idx="3">
                  <c:v>0.0</c:v>
                </c:pt>
              </c:numCache>
            </c:numRef>
          </c:val>
        </c:ser>
        <c:ser>
          <c:idx val="15"/>
          <c:order val="8"/>
          <c:tx>
            <c:strRef>
              <c:f>Income!$A$81</c:f>
              <c:strCache>
                <c:ptCount val="1"/>
                <c:pt idx="0">
                  <c:v>Self - employment</c:v>
                </c:pt>
              </c:strCache>
            </c:strRef>
          </c:tx>
          <c:spPr>
            <a:solidFill>
              <a:srgbClr val="D3BBD8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Income!$B$81:$E$81</c:f>
              <c:numCache>
                <c:formatCode>#,##0</c:formatCode>
                <c:ptCount val="4"/>
                <c:pt idx="0">
                  <c:v>1125.021366328872</c:v>
                </c:pt>
                <c:pt idx="1">
                  <c:v>6238.66560472948</c:v>
                </c:pt>
                <c:pt idx="2">
                  <c:v>673.1616253276724</c:v>
                </c:pt>
                <c:pt idx="3">
                  <c:v>0.0</c:v>
                </c:pt>
              </c:numCache>
            </c:numRef>
          </c:val>
        </c:ser>
        <c:ser>
          <c:idx val="3"/>
          <c:order val="9"/>
          <c:tx>
            <c:strRef>
              <c:f>Income!$A$82</c:f>
              <c:strCache>
                <c:ptCount val="1"/>
                <c:pt idx="0">
                  <c:v>Small business/petty trading</c:v>
                </c:pt>
              </c:strCache>
            </c:strRef>
          </c:tx>
          <c:spPr>
            <a:solidFill>
              <a:srgbClr val="CC66FF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Income!$B$82:$E$82</c:f>
              <c:numCache>
                <c:formatCode>#,##0</c:formatCode>
                <c:ptCount val="4"/>
                <c:pt idx="0">
                  <c:v>0.0</c:v>
                </c:pt>
                <c:pt idx="1">
                  <c:v>1413.639413188112</c:v>
                </c:pt>
                <c:pt idx="2">
                  <c:v>60360.15907104795</c:v>
                </c:pt>
                <c:pt idx="3">
                  <c:v>56619.62430631054</c:v>
                </c:pt>
              </c:numCache>
            </c:numRef>
          </c:val>
        </c:ser>
        <c:ser>
          <c:idx val="4"/>
          <c:order val="10"/>
          <c:tx>
            <c:strRef>
              <c:f>Income!$A$83</c:f>
              <c:strCache>
                <c:ptCount val="1"/>
                <c:pt idx="0">
                  <c:v>Food transfer - official</c:v>
                </c:pt>
              </c:strCache>
            </c:strRef>
          </c:tx>
          <c:spPr>
            <a:solidFill>
              <a:srgbClr val="558ED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Income!$B$83:$E$83</c:f>
              <c:numCache>
                <c:formatCode>#,##0</c:formatCode>
                <c:ptCount val="4"/>
                <c:pt idx="0">
                  <c:v>1674.939960235139</c:v>
                </c:pt>
                <c:pt idx="1">
                  <c:v>1577.649333829411</c:v>
                </c:pt>
                <c:pt idx="2">
                  <c:v>667.854644534493</c:v>
                </c:pt>
                <c:pt idx="3">
                  <c:v>667.854644534493</c:v>
                </c:pt>
              </c:numCache>
            </c:numRef>
          </c:val>
        </c:ser>
        <c:ser>
          <c:idx val="6"/>
          <c:order val="11"/>
          <c:tx>
            <c:strRef>
              <c:f>Income!$A$84</c:f>
              <c:strCache>
                <c:ptCount val="1"/>
                <c:pt idx="0">
                  <c:v>Food transfer - gifts</c:v>
                </c:pt>
              </c:strCache>
            </c:strRef>
          </c:tx>
          <c:spPr>
            <a:solidFill>
              <a:srgbClr val="B9CDE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Income!$B$84:$E$84</c:f>
              <c:numCache>
                <c:formatCode>#,##0</c:formatCode>
                <c:ptCount val="4"/>
                <c:pt idx="0">
                  <c:v>151.4023661861037</c:v>
                </c:pt>
                <c:pt idx="1">
                  <c:v>83.38482849719337</c:v>
                </c:pt>
                <c:pt idx="2">
                  <c:v>47.64847342696765</c:v>
                </c:pt>
                <c:pt idx="3">
                  <c:v>0.0</c:v>
                </c:pt>
              </c:numCache>
            </c:numRef>
          </c:val>
        </c:ser>
        <c:ser>
          <c:idx val="10"/>
          <c:order val="12"/>
          <c:tx>
            <c:strRef>
              <c:f>Income!$A$85</c:f>
              <c:strCache>
                <c:ptCount val="1"/>
                <c:pt idx="0">
                  <c:v>Cash transfer - official</c:v>
                </c:pt>
              </c:strCache>
            </c:strRef>
          </c:tx>
          <c:spPr>
            <a:solidFill>
              <a:srgbClr val="A6A6A6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Income!$B$85:$E$85</c:f>
              <c:numCache>
                <c:formatCode>#,##0</c:formatCode>
                <c:ptCount val="4"/>
                <c:pt idx="0">
                  <c:v>31983.59172338103</c:v>
                </c:pt>
                <c:pt idx="1">
                  <c:v>31983.59172338103</c:v>
                </c:pt>
                <c:pt idx="2">
                  <c:v>13328.60018148791</c:v>
                </c:pt>
                <c:pt idx="3">
                  <c:v>13328.60018148791</c:v>
                </c:pt>
              </c:numCache>
            </c:numRef>
          </c:val>
        </c:ser>
        <c:ser>
          <c:idx val="12"/>
          <c:order val="13"/>
          <c:tx>
            <c:strRef>
              <c:f>Income!$A$86</c:f>
              <c:strCache>
                <c:ptCount val="1"/>
                <c:pt idx="0">
                  <c:v>Cash transfer - gifts</c:v>
                </c:pt>
              </c:strCache>
            </c:strRef>
          </c:tx>
          <c:spPr>
            <a:solidFill>
              <a:srgbClr val="D9D9D9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Income!$B$86:$E$86</c:f>
              <c:numCache>
                <c:formatCode>#,##0</c:formatCode>
                <c:ptCount val="4"/>
                <c:pt idx="0">
                  <c:v>0.0</c:v>
                </c:pt>
                <c:pt idx="1">
                  <c:v>3092.336216348994</c:v>
                </c:pt>
                <c:pt idx="2">
                  <c:v>2468.259292868132</c:v>
                </c:pt>
                <c:pt idx="3">
                  <c:v>6731.616253276724</c:v>
                </c:pt>
              </c:numCache>
            </c:numRef>
          </c:val>
        </c:ser>
        <c:ser>
          <c:idx val="17"/>
          <c:order val="14"/>
          <c:tx>
            <c:strRef>
              <c:f>Income!$A$87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rgbClr val="948A54"/>
            </a:solidFill>
            <a:ln w="3175" cmpd="sng">
              <a:solidFill>
                <a:schemeClr val="tx1"/>
              </a:solidFill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Income!$B$87:$E$87</c:f>
              <c:numCache>
                <c:formatCode>#,##0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4712.131377293707</c:v>
                </c:pt>
                <c:pt idx="3">
                  <c:v>3635.072776769431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31767320"/>
        <c:axId val="-1993151992"/>
      </c:barChart>
      <c:lineChart>
        <c:grouping val="standard"/>
        <c:varyColors val="0"/>
        <c:ser>
          <c:idx val="13"/>
          <c:order val="15"/>
          <c:tx>
            <c:strRef>
              <c:f>Income!$A$89</c:f>
              <c:strCache>
                <c:ptCount val="1"/>
                <c:pt idx="0">
                  <c:v>Food Poverty line</c:v>
                </c:pt>
              </c:strCache>
            </c:strRef>
          </c:tx>
          <c:spPr>
            <a:ln w="19050">
              <a:solidFill>
                <a:srgbClr val="DD0806"/>
              </a:solidFill>
              <a:prstDash val="solid"/>
            </a:ln>
          </c:spPr>
          <c:marker>
            <c:symbol val="none"/>
          </c:marker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Income!$B$89:$E$89</c:f>
              <c:numCache>
                <c:formatCode>#,##0</c:formatCode>
                <c:ptCount val="4"/>
                <c:pt idx="0">
                  <c:v>40474.95168787119</c:v>
                </c:pt>
                <c:pt idx="1">
                  <c:v>40474.95168787119</c:v>
                </c:pt>
                <c:pt idx="2">
                  <c:v>40474.95168787113</c:v>
                </c:pt>
                <c:pt idx="3">
                  <c:v>40474.95168787113</c:v>
                </c:pt>
              </c:numCache>
            </c:numRef>
          </c:val>
          <c:smooth val="0"/>
        </c:ser>
        <c:ser>
          <c:idx val="14"/>
          <c:order val="16"/>
          <c:tx>
            <c:strRef>
              <c:f>Income!$A$90</c:f>
              <c:strCache>
                <c:ptCount val="1"/>
                <c:pt idx="0">
                  <c:v>Lower Bound Poverty line</c:v>
                </c:pt>
              </c:strCache>
            </c:strRef>
          </c:tx>
          <c:spPr>
            <a:ln w="22225">
              <a:solidFill>
                <a:srgbClr val="FF0000"/>
              </a:solidFill>
              <a:prstDash val="dash"/>
            </a:ln>
          </c:spPr>
          <c:marker>
            <c:symbol val="none"/>
          </c:marker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Income!$B$90:$E$90</c:f>
              <c:numCache>
                <c:formatCode>#,##0</c:formatCode>
                <c:ptCount val="4"/>
                <c:pt idx="0">
                  <c:v>59912.96057676011</c:v>
                </c:pt>
                <c:pt idx="1">
                  <c:v>59912.96057676011</c:v>
                </c:pt>
                <c:pt idx="2">
                  <c:v>59912.96057676002</c:v>
                </c:pt>
                <c:pt idx="3">
                  <c:v>59912.96057676002</c:v>
                </c:pt>
              </c:numCache>
            </c:numRef>
          </c:val>
          <c:smooth val="0"/>
        </c:ser>
        <c:ser>
          <c:idx val="16"/>
          <c:order val="17"/>
          <c:tx>
            <c:strRef>
              <c:f>Income!$A$91</c:f>
              <c:strCache>
                <c:ptCount val="1"/>
                <c:pt idx="0">
                  <c:v>Upper Bound Poverty line</c:v>
                </c:pt>
              </c:strCache>
            </c:strRef>
          </c:tx>
          <c:spPr>
            <a:ln w="22225">
              <a:solidFill>
                <a:srgbClr val="723F95"/>
              </a:solidFill>
              <a:prstDash val="dash"/>
            </a:ln>
          </c:spPr>
          <c:marker>
            <c:symbol val="none"/>
          </c:marker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Income!$B$91:$E$91</c:f>
              <c:numCache>
                <c:formatCode>#,##0</c:formatCode>
                <c:ptCount val="4"/>
                <c:pt idx="0">
                  <c:v>94209.82914818868</c:v>
                </c:pt>
                <c:pt idx="1">
                  <c:v>94209.82914818868</c:v>
                </c:pt>
                <c:pt idx="2">
                  <c:v>94209.8291481886</c:v>
                </c:pt>
                <c:pt idx="3">
                  <c:v>94209.8291481886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1767320"/>
        <c:axId val="-1993151992"/>
      </c:lineChart>
      <c:catAx>
        <c:axId val="2131767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6350" cmpd="sng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-19931519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199315199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Helvetica Light"/>
                    <a:ea typeface="Arial"/>
                    <a:cs typeface="Helvetica Light"/>
                  </a:defRPr>
                </a:pPr>
                <a:r>
                  <a:rPr lang="en-US" sz="800" b="0" i="0">
                    <a:latin typeface="Helvetica Light"/>
                    <a:cs typeface="Helvetica Light"/>
                  </a:rPr>
                  <a:t> Annual total income (ZAR)</a:t>
                </a:r>
              </a:p>
            </c:rich>
          </c:tx>
          <c:layout>
            <c:manualLayout>
              <c:xMode val="edge"/>
              <c:yMode val="edge"/>
              <c:x val="0.0113379412094873"/>
              <c:y val="0.285000501529665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0"/>
        <c:majorTickMark val="out"/>
        <c:minorTickMark val="none"/>
        <c:tickLblPos val="nextTo"/>
        <c:spPr>
          <a:ln w="6350" cmpd="sng">
            <a:solidFill>
              <a:schemeClr val="tx1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2131767320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86354859919496"/>
          <c:y val="0.0382165605095541"/>
          <c:w val="0.278513719389964"/>
          <c:h val="0.780701794543124"/>
        </c:manualLayout>
      </c:layout>
      <c:overlay val="0"/>
      <c:spPr>
        <a:noFill/>
        <a:ln w="3175" cmpd="sng">
          <a:noFill/>
        </a:ln>
      </c:spPr>
      <c:txPr>
        <a:bodyPr/>
        <a:lstStyle/>
        <a:p>
          <a:pPr>
            <a:defRPr sz="700" b="0" i="0" u="none" strike="noStrike" baseline="0">
              <a:solidFill>
                <a:srgbClr val="000000"/>
              </a:solidFill>
              <a:latin typeface="Helvetica Light"/>
              <a:ea typeface="Calibri"/>
              <a:cs typeface="Helvetica Light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 cmpd="sng">
      <a:solidFill>
        <a:schemeClr val="tx1"/>
      </a:solidFill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0000000000002" r="0.750000000000002" t="1.0" header="0.5" footer="0.5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6197836166925"/>
          <c:y val="0.0347394540942928"/>
          <c:w val="0.727975270479137"/>
          <c:h val="0.73449131513647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Percentiles!$A$3</c:f>
              <c:strCache>
                <c:ptCount val="1"/>
                <c:pt idx="0">
                  <c:v>Own crops Consumed</c:v>
                </c:pt>
              </c:strCache>
            </c:strRef>
          </c:tx>
          <c:spPr>
            <a:solidFill>
              <a:srgbClr val="1FB71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Percentiles!$F$2:$O$2</c:f>
              <c:numCache>
                <c:formatCode>0%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cat>
          <c:val>
            <c:numRef>
              <c:f>Percentiles!$P$3:$Y$3</c:f>
              <c:numCache>
                <c:formatCode>0</c:formatCode>
                <c:ptCount val="10"/>
                <c:pt idx="0">
                  <c:v>3455.879273965561</c:v>
                </c:pt>
                <c:pt idx="1">
                  <c:v>3455.879273965561</c:v>
                </c:pt>
                <c:pt idx="2">
                  <c:v>3455.879273965561</c:v>
                </c:pt>
                <c:pt idx="3">
                  <c:v>3455.879273965561</c:v>
                </c:pt>
                <c:pt idx="4">
                  <c:v>3455.879273965561</c:v>
                </c:pt>
                <c:pt idx="5">
                  <c:v>3455.879273965561</c:v>
                </c:pt>
                <c:pt idx="6">
                  <c:v>3455.879273965561</c:v>
                </c:pt>
                <c:pt idx="7">
                  <c:v>3455.879273965561</c:v>
                </c:pt>
                <c:pt idx="8">
                  <c:v>3455.879273965561</c:v>
                </c:pt>
                <c:pt idx="9">
                  <c:v>3455.879273965561</c:v>
                </c:pt>
              </c:numCache>
            </c:numRef>
          </c:val>
        </c:ser>
        <c:ser>
          <c:idx val="2"/>
          <c:order val="1"/>
          <c:tx>
            <c:strRef>
              <c:f>Percentiles!$A$4</c:f>
              <c:strCache>
                <c:ptCount val="1"/>
                <c:pt idx="0">
                  <c:v>Own crops sold</c:v>
                </c:pt>
              </c:strCache>
            </c:strRef>
          </c:tx>
          <c:spPr>
            <a:solidFill>
              <a:srgbClr val="D7E4BD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Percentiles!$F$2:$O$2</c:f>
              <c:numCache>
                <c:formatCode>0%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cat>
          <c:val>
            <c:numRef>
              <c:f>Percentiles!$P$4:$Y$4</c:f>
              <c:numCache>
                <c:formatCode>0</c:formatCode>
                <c:ptCount val="10"/>
                <c:pt idx="0">
                  <c:v>1172.142680101809</c:v>
                </c:pt>
                <c:pt idx="1">
                  <c:v>1172.142680101809</c:v>
                </c:pt>
                <c:pt idx="2">
                  <c:v>1172.142680101809</c:v>
                </c:pt>
                <c:pt idx="3">
                  <c:v>1172.142680101809</c:v>
                </c:pt>
                <c:pt idx="4">
                  <c:v>1172.142680101809</c:v>
                </c:pt>
                <c:pt idx="5">
                  <c:v>1172.142680101809</c:v>
                </c:pt>
                <c:pt idx="6">
                  <c:v>1172.142680101809</c:v>
                </c:pt>
                <c:pt idx="7">
                  <c:v>1172.142680101809</c:v>
                </c:pt>
                <c:pt idx="8">
                  <c:v>1172.142680101809</c:v>
                </c:pt>
                <c:pt idx="9">
                  <c:v>1172.142680101809</c:v>
                </c:pt>
              </c:numCache>
            </c:numRef>
          </c:val>
        </c:ser>
        <c:ser>
          <c:idx val="5"/>
          <c:order val="2"/>
          <c:tx>
            <c:strRef>
              <c:f>Percentiles!$A$5</c:f>
              <c:strCache>
                <c:ptCount val="1"/>
                <c:pt idx="0">
                  <c:v>Animal products consumed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Percentiles!$F$2:$O$2</c:f>
              <c:numCache>
                <c:formatCode>0%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cat>
          <c:val>
            <c:numRef>
              <c:f>Percentiles!$P$5:$Y$5</c:f>
              <c:numCache>
                <c:formatCode>0</c:formatCode>
                <c:ptCount val="10"/>
                <c:pt idx="0">
                  <c:v>573.6683149701675</c:v>
                </c:pt>
                <c:pt idx="1">
                  <c:v>573.6683149701675</c:v>
                </c:pt>
                <c:pt idx="2">
                  <c:v>573.6683149701675</c:v>
                </c:pt>
                <c:pt idx="3">
                  <c:v>573.6683149701675</c:v>
                </c:pt>
                <c:pt idx="4">
                  <c:v>573.6683149701675</c:v>
                </c:pt>
                <c:pt idx="5">
                  <c:v>573.6683149701675</c:v>
                </c:pt>
                <c:pt idx="6">
                  <c:v>573.6683149701675</c:v>
                </c:pt>
                <c:pt idx="7">
                  <c:v>573.6683149701675</c:v>
                </c:pt>
                <c:pt idx="8">
                  <c:v>573.6683149701675</c:v>
                </c:pt>
                <c:pt idx="9">
                  <c:v>573.6683149701675</c:v>
                </c:pt>
              </c:numCache>
            </c:numRef>
          </c:val>
        </c:ser>
        <c:ser>
          <c:idx val="6"/>
          <c:order val="3"/>
          <c:tx>
            <c:strRef>
              <c:f>Percentiles!$A$6</c:f>
              <c:strCache>
                <c:ptCount val="1"/>
                <c:pt idx="0">
                  <c:v>Animal products sold</c:v>
                </c:pt>
              </c:strCache>
            </c:strRef>
          </c:tx>
          <c:spPr>
            <a:solidFill>
              <a:srgbClr val="E6B9B8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Percentiles!$F$2:$O$2</c:f>
              <c:numCache>
                <c:formatCode>0%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cat>
          <c:val>
            <c:numRef>
              <c:f>Percentiles!$P$6:$Y$6</c:f>
              <c:numCache>
                <c:formatCode>0</c:formatCode>
                <c:ptCount val="1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</c:numCache>
            </c:numRef>
          </c:val>
        </c:ser>
        <c:ser>
          <c:idx val="7"/>
          <c:order val="4"/>
          <c:tx>
            <c:strRef>
              <c:f>Percentiles!$A$7</c:f>
              <c:strCache>
                <c:ptCount val="1"/>
                <c:pt idx="0">
                  <c:v>Animals sold</c:v>
                </c:pt>
              </c:strCache>
            </c:strRef>
          </c:tx>
          <c:spPr>
            <a:solidFill>
              <a:srgbClr val="CC66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Percentiles!$F$2:$O$2</c:f>
              <c:numCache>
                <c:formatCode>0%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cat>
          <c:val>
            <c:numRef>
              <c:f>Percentiles!$P$7:$Y$7</c:f>
              <c:numCache>
                <c:formatCode>0</c:formatCode>
                <c:ptCount val="1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</c:numCache>
            </c:numRef>
          </c:val>
        </c:ser>
        <c:ser>
          <c:idx val="8"/>
          <c:order val="5"/>
          <c:tx>
            <c:strRef>
              <c:f>Percentiles!$A$8</c:f>
              <c:strCache>
                <c:ptCount val="1"/>
                <c:pt idx="0">
                  <c:v>Wild foods consumed and sold</c:v>
                </c:pt>
              </c:strCache>
            </c:strRef>
          </c:tx>
          <c:spPr>
            <a:solidFill>
              <a:srgbClr val="9900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Percentiles!$F$2:$O$2</c:f>
              <c:numCache>
                <c:formatCode>0%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cat>
          <c:val>
            <c:numRef>
              <c:f>Percentiles!$F$8:$O$8</c:f>
              <c:numCache>
                <c:formatCode>0</c:formatCode>
                <c:ptCount val="10"/>
                <c:pt idx="0">
                  <c:v>657.7350047472464</c:v>
                </c:pt>
                <c:pt idx="1">
                  <c:v>657.7350047472464</c:v>
                </c:pt>
                <c:pt idx="2">
                  <c:v>657.7350047472464</c:v>
                </c:pt>
                <c:pt idx="3">
                  <c:v>657.7350047472464</c:v>
                </c:pt>
                <c:pt idx="4">
                  <c:v>657.7350047472464</c:v>
                </c:pt>
                <c:pt idx="5">
                  <c:v>657.7350047472464</c:v>
                </c:pt>
                <c:pt idx="6">
                  <c:v>657.7350047472464</c:v>
                </c:pt>
                <c:pt idx="7">
                  <c:v>657.7350047472464</c:v>
                </c:pt>
                <c:pt idx="8">
                  <c:v>657.7350047472464</c:v>
                </c:pt>
                <c:pt idx="9">
                  <c:v>657.7350047472464</c:v>
                </c:pt>
              </c:numCache>
            </c:numRef>
          </c:val>
        </c:ser>
        <c:ser>
          <c:idx val="9"/>
          <c:order val="6"/>
          <c:tx>
            <c:strRef>
              <c:f>Percentiles!$A$9</c:f>
              <c:strCache>
                <c:ptCount val="1"/>
                <c:pt idx="0">
                  <c:v>Labour - casual</c:v>
                </c:pt>
              </c:strCache>
            </c:strRef>
          </c:tx>
          <c:spPr>
            <a:solidFill>
              <a:srgbClr val="FF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Percentiles!$F$2:$O$2</c:f>
              <c:numCache>
                <c:formatCode>0%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cat>
          <c:val>
            <c:numRef>
              <c:f>Percentiles!$F$9:$O$9</c:f>
              <c:numCache>
                <c:formatCode>0</c:formatCode>
                <c:ptCount val="10"/>
                <c:pt idx="0">
                  <c:v>8001.6947213181</c:v>
                </c:pt>
                <c:pt idx="1">
                  <c:v>8001.6947213181</c:v>
                </c:pt>
                <c:pt idx="2">
                  <c:v>8001.6947213181</c:v>
                </c:pt>
                <c:pt idx="3">
                  <c:v>8001.6947213181</c:v>
                </c:pt>
                <c:pt idx="4">
                  <c:v>8001.6947213181</c:v>
                </c:pt>
                <c:pt idx="5">
                  <c:v>8001.6947213181</c:v>
                </c:pt>
                <c:pt idx="6">
                  <c:v>8001.6947213181</c:v>
                </c:pt>
                <c:pt idx="7">
                  <c:v>8001.6947213181</c:v>
                </c:pt>
                <c:pt idx="8">
                  <c:v>8001.6947213181</c:v>
                </c:pt>
                <c:pt idx="9">
                  <c:v>8001.6947213181</c:v>
                </c:pt>
              </c:numCache>
            </c:numRef>
          </c:val>
        </c:ser>
        <c:ser>
          <c:idx val="11"/>
          <c:order val="7"/>
          <c:tx>
            <c:strRef>
              <c:f>Percentiles!$A$10</c:f>
              <c:strCache>
                <c:ptCount val="1"/>
                <c:pt idx="0">
                  <c:v>Labour - formal emp</c:v>
                </c:pt>
              </c:strCache>
            </c:strRef>
          </c:tx>
          <c:spPr>
            <a:solidFill>
              <a:srgbClr val="FFC000">
                <a:alpha val="98431"/>
              </a:srgbClr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Percentiles!$F$2:$O$2</c:f>
              <c:numCache>
                <c:formatCode>0%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cat>
          <c:val>
            <c:numRef>
              <c:f>Percentiles!$F$10:$O$10</c:f>
              <c:numCache>
                <c:formatCode>0</c:formatCode>
                <c:ptCount val="1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</c:numCache>
            </c:numRef>
          </c:val>
        </c:ser>
        <c:ser>
          <c:idx val="1"/>
          <c:order val="8"/>
          <c:tx>
            <c:strRef>
              <c:f>Percentiles!$A$11</c:f>
              <c:strCache>
                <c:ptCount val="1"/>
                <c:pt idx="0">
                  <c:v>Self - employment</c:v>
                </c:pt>
              </c:strCache>
            </c:strRef>
          </c:tx>
          <c:spPr>
            <a:solidFill>
              <a:srgbClr val="A6A6A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Percentiles!$F$2:$O$2</c:f>
              <c:numCache>
                <c:formatCode>0%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cat>
          <c:val>
            <c:numRef>
              <c:f>Percentiles!$F$11:$O$11</c:f>
              <c:numCache>
                <c:formatCode>0</c:formatCode>
                <c:ptCount val="10"/>
                <c:pt idx="0">
                  <c:v>1125.021366328872</c:v>
                </c:pt>
                <c:pt idx="1">
                  <c:v>1125.021366328872</c:v>
                </c:pt>
                <c:pt idx="2">
                  <c:v>1125.021366328872</c:v>
                </c:pt>
                <c:pt idx="3">
                  <c:v>1125.021366328872</c:v>
                </c:pt>
                <c:pt idx="4">
                  <c:v>1125.021366328872</c:v>
                </c:pt>
                <c:pt idx="5">
                  <c:v>1125.021366328872</c:v>
                </c:pt>
                <c:pt idx="6">
                  <c:v>1125.021366328872</c:v>
                </c:pt>
                <c:pt idx="7">
                  <c:v>1125.021366328872</c:v>
                </c:pt>
                <c:pt idx="8">
                  <c:v>1125.021366328872</c:v>
                </c:pt>
                <c:pt idx="9">
                  <c:v>1125.021366328872</c:v>
                </c:pt>
              </c:numCache>
            </c:numRef>
          </c:val>
        </c:ser>
        <c:ser>
          <c:idx val="3"/>
          <c:order val="9"/>
          <c:tx>
            <c:strRef>
              <c:f>Percentiles!$A$12</c:f>
              <c:strCache>
                <c:ptCount val="1"/>
                <c:pt idx="0">
                  <c:v>Small business/petty trading</c:v>
                </c:pt>
              </c:strCache>
            </c:strRef>
          </c:tx>
          <c:spPr>
            <a:solidFill>
              <a:srgbClr val="B7DEE8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Percentiles!$F$2:$O$2</c:f>
              <c:numCache>
                <c:formatCode>0%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cat>
          <c:val>
            <c:numRef>
              <c:f>Percentiles!$F$12:$O$12</c:f>
              <c:numCache>
                <c:formatCode>0</c:formatCode>
                <c:ptCount val="1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</c:numCache>
            </c:numRef>
          </c:val>
        </c:ser>
        <c:ser>
          <c:idx val="4"/>
          <c:order val="10"/>
          <c:tx>
            <c:strRef>
              <c:f>Percentiles!$A$13</c:f>
              <c:strCache>
                <c:ptCount val="1"/>
                <c:pt idx="0">
                  <c:v>Food transfer - official</c:v>
                </c:pt>
              </c:strCache>
            </c:strRef>
          </c:tx>
          <c:spPr>
            <a:solidFill>
              <a:srgbClr val="3C8DA3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Percentiles!$F$2:$O$2</c:f>
              <c:numCache>
                <c:formatCode>0%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cat>
          <c:val>
            <c:numRef>
              <c:f>Percentiles!$F$13:$O$13</c:f>
              <c:numCache>
                <c:formatCode>0</c:formatCode>
                <c:ptCount val="10"/>
                <c:pt idx="0">
                  <c:v>1674.939960235139</c:v>
                </c:pt>
                <c:pt idx="1">
                  <c:v>1674.939960235139</c:v>
                </c:pt>
                <c:pt idx="2">
                  <c:v>1674.939960235139</c:v>
                </c:pt>
                <c:pt idx="3">
                  <c:v>1674.939960235139</c:v>
                </c:pt>
                <c:pt idx="4">
                  <c:v>1674.939960235139</c:v>
                </c:pt>
                <c:pt idx="5">
                  <c:v>1674.939960235139</c:v>
                </c:pt>
                <c:pt idx="6">
                  <c:v>1674.939960235139</c:v>
                </c:pt>
                <c:pt idx="7">
                  <c:v>1674.939960235139</c:v>
                </c:pt>
                <c:pt idx="8">
                  <c:v>1674.939960235139</c:v>
                </c:pt>
                <c:pt idx="9">
                  <c:v>1674.939960235139</c:v>
                </c:pt>
              </c:numCache>
            </c:numRef>
          </c:val>
        </c:ser>
        <c:ser>
          <c:idx val="10"/>
          <c:order val="11"/>
          <c:tx>
            <c:strRef>
              <c:f>Percentiles!$A$15</c:f>
              <c:strCache>
                <c:ptCount val="1"/>
                <c:pt idx="0">
                  <c:v>Cash transfer - gifts</c:v>
                </c:pt>
              </c:strCache>
            </c:strRef>
          </c:tx>
          <c:spPr>
            <a:solidFill>
              <a:srgbClr val="4BACC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Percentiles!$F$2:$O$2</c:f>
              <c:numCache>
                <c:formatCode>0%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cat>
          <c:val>
            <c:numRef>
              <c:f>Percentiles!$F$15:$O$15</c:f>
              <c:numCache>
                <c:formatCode>0</c:formatCode>
                <c:ptCount val="1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1998343816"/>
        <c:axId val="-1998335832"/>
      </c:barChart>
      <c:lineChart>
        <c:grouping val="standard"/>
        <c:varyColors val="0"/>
        <c:ser>
          <c:idx val="13"/>
          <c:order val="12"/>
          <c:tx>
            <c:strRef>
              <c:f>Income!$A$89</c:f>
              <c:strCache>
                <c:ptCount val="1"/>
                <c:pt idx="0">
                  <c:v>Food Poverty line</c:v>
                </c:pt>
              </c:strCache>
            </c:strRef>
          </c:tx>
          <c:spPr>
            <a:ln w="38100">
              <a:solidFill>
                <a:srgbClr val="DD0806"/>
              </a:solidFill>
              <a:prstDash val="solid"/>
            </a:ln>
          </c:spPr>
          <c:marker>
            <c:symbol val="none"/>
          </c:marker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Income!$B$89:$E$89</c:f>
              <c:numCache>
                <c:formatCode>#,##0</c:formatCode>
                <c:ptCount val="4"/>
                <c:pt idx="0">
                  <c:v>40474.95168787119</c:v>
                </c:pt>
                <c:pt idx="1">
                  <c:v>40474.95168787119</c:v>
                </c:pt>
                <c:pt idx="2">
                  <c:v>40474.95168787113</c:v>
                </c:pt>
                <c:pt idx="3">
                  <c:v>40474.95168787113</c:v>
                </c:pt>
              </c:numCache>
            </c:numRef>
          </c:val>
          <c:smooth val="0"/>
        </c:ser>
        <c:ser>
          <c:idx val="14"/>
          <c:order val="13"/>
          <c:tx>
            <c:strRef>
              <c:f>Income!$A$90</c:f>
              <c:strCache>
                <c:ptCount val="1"/>
                <c:pt idx="0">
                  <c:v>Lower Bound Poverty line</c:v>
                </c:pt>
              </c:strCache>
            </c:strRef>
          </c:tx>
          <c:spPr>
            <a:ln w="38100">
              <a:solidFill>
                <a:srgbClr val="008080"/>
              </a:solidFill>
              <a:prstDash val="solid"/>
            </a:ln>
          </c:spPr>
          <c:marker>
            <c:symbol val="none"/>
          </c:marker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Income!$B$90:$E$90</c:f>
              <c:numCache>
                <c:formatCode>#,##0</c:formatCode>
                <c:ptCount val="4"/>
                <c:pt idx="0">
                  <c:v>59912.96057676011</c:v>
                </c:pt>
                <c:pt idx="1">
                  <c:v>59912.96057676011</c:v>
                </c:pt>
                <c:pt idx="2">
                  <c:v>59912.96057676002</c:v>
                </c:pt>
                <c:pt idx="3">
                  <c:v>59912.96057676002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998343816"/>
        <c:axId val="-1998335832"/>
      </c:lineChart>
      <c:catAx>
        <c:axId val="-1998343816"/>
        <c:scaling>
          <c:orientation val="minMax"/>
        </c:scaling>
        <c:delete val="0"/>
        <c:axPos val="b"/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9983358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19983358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 Cash income (nominal)</a:t>
                </a:r>
              </a:p>
            </c:rich>
          </c:tx>
          <c:layout>
            <c:manualLayout>
              <c:xMode val="edge"/>
              <c:yMode val="edge"/>
              <c:x val="0.0113379412094873"/>
              <c:y val="0.285000649671266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998343816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88798370672098"/>
          <c:y val="0.821780878875289"/>
          <c:w val="0.804481293198839"/>
          <c:h val="0.165016241781659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47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0000000000002" r="0.750000000000002" t="1.0" header="0.5" footer="0.5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7272727272727"/>
          <c:y val="0.0667779632721202"/>
          <c:w val="0.731818181818182"/>
          <c:h val="0.66110183639399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Poor!$A$70</c:f>
              <c:strCache>
                <c:ptCount val="1"/>
                <c:pt idx="0">
                  <c:v>fpl non-staple food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 w="3175" cmpd="sng">
              <a:solidFill>
                <a:schemeClr val="tx1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Poor!$K$70:$M$70</c:f>
              <c:numCache>
                <c:formatCode>0%</c:formatCode>
                <c:ptCount val="3"/>
                <c:pt idx="0">
                  <c:v>0.349760735146105</c:v>
                </c:pt>
                <c:pt idx="1">
                  <c:v>0.489665029204547</c:v>
                </c:pt>
                <c:pt idx="2">
                  <c:v>0.489665029204547</c:v>
                </c:pt>
              </c:numCache>
            </c:numRef>
          </c:val>
        </c:ser>
        <c:ser>
          <c:idx val="2"/>
          <c:order val="1"/>
          <c:tx>
            <c:strRef>
              <c:f>Poor!$A$71</c:f>
              <c:strCache>
                <c:ptCount val="1"/>
                <c:pt idx="0">
                  <c:v>lbpl</c:v>
                </c:pt>
              </c:strCache>
            </c:strRef>
          </c:tx>
          <c:spPr>
            <a:solidFill>
              <a:srgbClr val="80000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Poor!$K$71:$M$71</c:f>
              <c:numCache>
                <c:formatCode>0%</c:formatCode>
                <c:ptCount val="3"/>
                <c:pt idx="0">
                  <c:v>0.295300382530478</c:v>
                </c:pt>
                <c:pt idx="1">
                  <c:v>0.137052727838306</c:v>
                </c:pt>
                <c:pt idx="2">
                  <c:v>0.108391026797676</c:v>
                </c:pt>
              </c:numCache>
            </c:numRef>
          </c:val>
        </c:ser>
        <c:ser>
          <c:idx val="1"/>
          <c:order val="2"/>
          <c:tx>
            <c:strRef>
              <c:f>Poor!$A$72</c:f>
              <c:strCache>
                <c:ptCount val="1"/>
                <c:pt idx="0">
                  <c:v>ubpl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Poor!$K$72:$M$72</c:f>
              <c:numCache>
                <c:formatCode>0%</c:formatCode>
                <c:ptCount val="3"/>
                <c:pt idx="0">
                  <c:v>0.521034765784557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3"/>
          <c:order val="3"/>
          <c:tx>
            <c:strRef>
              <c:f>Poor!$A$73</c:f>
              <c:strCache>
                <c:ptCount val="1"/>
                <c:pt idx="0">
                  <c:v>resilience</c:v>
                </c:pt>
              </c:strCache>
            </c:strRef>
          </c:tx>
          <c:spPr>
            <a:solidFill>
              <a:srgbClr val="CCFFFF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Poor!$K$73:$M$73</c:f>
              <c:numCache>
                <c:formatCode>0%</c:formatCode>
                <c:ptCount val="3"/>
                <c:pt idx="0">
                  <c:v>0.0779561459332359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6"/>
          <c:order val="4"/>
          <c:tx>
            <c:strRef>
              <c:f>Poor!$A$75</c:f>
              <c:strCache>
                <c:ptCount val="1"/>
                <c:pt idx="0">
                  <c:v>other</c:v>
                </c:pt>
              </c:strCache>
            </c:strRef>
          </c:tx>
          <c:invertIfNegative val="0"/>
          <c:val>
            <c:numRef>
              <c:f>Poor!$K$75:$M$75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5"/>
          <c:order val="5"/>
          <c:tx>
            <c:strRef>
              <c:f>Poor!$A$74</c:f>
              <c:strCache>
                <c:ptCount val="1"/>
                <c:pt idx="0">
                  <c:v>staple food</c:v>
                </c:pt>
              </c:strCache>
            </c:strRef>
          </c:tx>
          <c:spPr>
            <a:solidFill>
              <a:srgbClr val="F7F4B3"/>
            </a:solidFill>
            <a:ln>
              <a:solidFill>
                <a:srgbClr val="000000"/>
              </a:solidFill>
            </a:ln>
          </c:spPr>
          <c:invertIfNegative val="0"/>
          <c:val>
            <c:numRef>
              <c:f>Poor!$K$74:$M$74</c:f>
              <c:numCache>
                <c:formatCode>0%</c:formatCode>
                <c:ptCount val="3"/>
                <c:pt idx="0">
                  <c:v>0.0914367078182563</c:v>
                </c:pt>
                <c:pt idx="1">
                  <c:v>0.0192723677396843</c:v>
                </c:pt>
                <c:pt idx="2">
                  <c:v>0.034573001088588</c:v>
                </c:pt>
              </c:numCache>
            </c:numRef>
          </c:val>
        </c:ser>
        <c:ser>
          <c:idx val="4"/>
          <c:order val="6"/>
          <c:tx>
            <c:strRef>
              <c:f>Poor!$A$77</c:f>
              <c:strCache>
                <c:ptCount val="1"/>
                <c:pt idx="0">
                  <c:v>exp. deficit</c:v>
                </c:pt>
              </c:strCache>
            </c:strRef>
          </c:tx>
          <c:spPr>
            <a:pattFill prst="wdDnDiag">
              <a:fgClr>
                <a:srgbClr val="00CCFF"/>
              </a:fgClr>
              <a:bgClr>
                <a:srgbClr val="CCFFFF"/>
              </a:bgClr>
            </a:patt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Poor!$K$77:$M$77</c:f>
              <c:numCache>
                <c:formatCode>0%</c:formatCode>
                <c:ptCount val="3"/>
                <c:pt idx="1">
                  <c:v>-0.348454451385964</c:v>
                </c:pt>
                <c:pt idx="2">
                  <c:v>-0.274636425676876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2104353576"/>
        <c:axId val="-2012730056"/>
      </c:barChart>
      <c:catAx>
        <c:axId val="21043535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-20127300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127300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Helvetica Light"/>
                    <a:ea typeface="Arial"/>
                    <a:cs typeface="Helvetica Light"/>
                  </a:defRPr>
                </a:pPr>
                <a:r>
                  <a:rPr lang="en-US" b="0" i="0">
                    <a:latin typeface="Helvetica Light"/>
                    <a:cs typeface="Helvetica Light"/>
                  </a:rPr>
                  <a:t>% baseline expenditure</a:t>
                </a:r>
              </a:p>
            </c:rich>
          </c:tx>
          <c:layout>
            <c:manualLayout>
              <c:xMode val="edge"/>
              <c:yMode val="edge"/>
              <c:x val="0.0113636576677915"/>
              <c:y val="0.257095207197096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2104353576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8329571106095"/>
          <c:y val="0.0682955395777076"/>
          <c:w val="0.729119638826185"/>
          <c:h val="0.65963496762859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Middle!$A$70</c:f>
              <c:strCache>
                <c:ptCount val="1"/>
                <c:pt idx="0">
                  <c:v>fpl non-staple food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Middle!$K$70:$M$70</c:f>
              <c:numCache>
                <c:formatCode>0%</c:formatCode>
                <c:ptCount val="3"/>
                <c:pt idx="0">
                  <c:v>0.170320496796466</c:v>
                </c:pt>
                <c:pt idx="1">
                  <c:v>0.238448695515053</c:v>
                </c:pt>
                <c:pt idx="2">
                  <c:v>0.238448695515053</c:v>
                </c:pt>
              </c:numCache>
            </c:numRef>
          </c:val>
        </c:ser>
        <c:ser>
          <c:idx val="2"/>
          <c:order val="1"/>
          <c:tx>
            <c:strRef>
              <c:f>Middle!$A$74</c:f>
              <c:strCache>
                <c:ptCount val="1"/>
                <c:pt idx="0">
                  <c:v>staple food</c:v>
                </c:pt>
              </c:strCache>
            </c:strRef>
          </c:tx>
          <c:spPr>
            <a:solidFill>
              <a:srgbClr val="80000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Middle!$K$74:$M$74</c:f>
              <c:numCache>
                <c:formatCode>0%</c:formatCode>
                <c:ptCount val="3"/>
                <c:pt idx="0">
                  <c:v>0.0555855913088253</c:v>
                </c:pt>
                <c:pt idx="1">
                  <c:v>0.0470487831044659</c:v>
                </c:pt>
                <c:pt idx="2">
                  <c:v>0.0207859815057509</c:v>
                </c:pt>
              </c:numCache>
            </c:numRef>
          </c:val>
        </c:ser>
        <c:ser>
          <c:idx val="1"/>
          <c:order val="2"/>
          <c:tx>
            <c:strRef>
              <c:f>Middle!$A$73</c:f>
              <c:strCache>
                <c:ptCount val="1"/>
                <c:pt idx="0">
                  <c:v>resilience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Middle!$K$73:$M$73</c:f>
              <c:numCache>
                <c:formatCode>0%</c:formatCode>
                <c:ptCount val="3"/>
                <c:pt idx="0">
                  <c:v>0.253854288602746</c:v>
                </c:pt>
                <c:pt idx="1">
                  <c:v>0.186129538868332</c:v>
                </c:pt>
                <c:pt idx="2">
                  <c:v>0.203691114941699</c:v>
                </c:pt>
              </c:numCache>
            </c:numRef>
          </c:val>
        </c:ser>
        <c:ser>
          <c:idx val="5"/>
          <c:order val="3"/>
          <c:tx>
            <c:strRef>
              <c:f>Middle!$A$72</c:f>
              <c:strCache>
                <c:ptCount val="1"/>
                <c:pt idx="0">
                  <c:v>ubpl</c:v>
                </c:pt>
              </c:strCache>
            </c:strRef>
          </c:tx>
          <c:spPr>
            <a:solidFill>
              <a:srgbClr val="CCFFFF"/>
            </a:solidFill>
            <a:ln w="3175" cmpd="sng">
              <a:solidFill>
                <a:schemeClr val="tx1"/>
              </a:solidFill>
            </a:ln>
          </c:spPr>
          <c:invertIfNegative val="0"/>
          <c:val>
            <c:numRef>
              <c:f>Middle!$K$72:$M$72</c:f>
              <c:numCache>
                <c:formatCode>0%</c:formatCode>
                <c:ptCount val="3"/>
                <c:pt idx="0">
                  <c:v>0.253724592955198</c:v>
                </c:pt>
                <c:pt idx="1">
                  <c:v>0.299395019687134</c:v>
                </c:pt>
                <c:pt idx="2">
                  <c:v>0.299395019687134</c:v>
                </c:pt>
              </c:numCache>
            </c:numRef>
          </c:val>
        </c:ser>
        <c:ser>
          <c:idx val="3"/>
          <c:order val="4"/>
          <c:tx>
            <c:strRef>
              <c:f>Middle!$A$75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rgbClr val="99CC0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Middle!$K$75:$M$75</c:f>
              <c:numCache>
                <c:formatCode>0%</c:formatCode>
                <c:ptCount val="3"/>
                <c:pt idx="0">
                  <c:v>0.122714703991477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6"/>
          <c:order val="5"/>
          <c:tx>
            <c:strRef>
              <c:f>Middle!$A$74</c:f>
              <c:strCache>
                <c:ptCount val="1"/>
                <c:pt idx="0">
                  <c:v>staple food</c:v>
                </c:pt>
              </c:strCache>
            </c:strRef>
          </c:tx>
          <c:spPr>
            <a:solidFill>
              <a:srgbClr val="F7F4B3"/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Middle!$K$74:$M$74</c:f>
              <c:numCache>
                <c:formatCode>0%</c:formatCode>
                <c:ptCount val="3"/>
                <c:pt idx="0">
                  <c:v>0.0555855913088253</c:v>
                </c:pt>
                <c:pt idx="1">
                  <c:v>0.0470487831044659</c:v>
                </c:pt>
                <c:pt idx="2">
                  <c:v>0.0207859815057509</c:v>
                </c:pt>
              </c:numCache>
            </c:numRef>
          </c:val>
        </c:ser>
        <c:ser>
          <c:idx val="4"/>
          <c:order val="6"/>
          <c:tx>
            <c:strRef>
              <c:f>Middle!$A$77</c:f>
              <c:strCache>
                <c:ptCount val="1"/>
                <c:pt idx="0">
                  <c:v>exp. deficit</c:v>
                </c:pt>
              </c:strCache>
            </c:strRef>
          </c:tx>
          <c:spPr>
            <a:pattFill prst="wdDnDiag">
              <a:fgClr>
                <a:srgbClr val="00CCFF"/>
              </a:fgClr>
              <a:bgClr>
                <a:srgbClr val="CCFFFF"/>
              </a:bgClr>
            </a:pattFill>
            <a:ln w="3175" cmpd="sng">
              <a:solidFill>
                <a:schemeClr val="tx1"/>
              </a:solidFill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Middle!$K$77:$M$77</c:f>
              <c:numCache>
                <c:formatCode>0%</c:formatCode>
                <c:ptCount val="3"/>
                <c:pt idx="1">
                  <c:v>0.0</c:v>
                </c:pt>
                <c:pt idx="2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-2139032360"/>
        <c:axId val="-2055287560"/>
      </c:barChart>
      <c:catAx>
        <c:axId val="-2139032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-20552875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552875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Helvetica Light"/>
                    <a:ea typeface="Arial"/>
                    <a:cs typeface="Helvetica Light"/>
                  </a:defRPr>
                </a:pPr>
                <a:r>
                  <a:rPr lang="en-US" b="0" i="0">
                    <a:latin typeface="Helvetica Light"/>
                    <a:cs typeface="Helvetica Light"/>
                  </a:rPr>
                  <a:t>% baseline expenditure</a:t>
                </a:r>
              </a:p>
            </c:rich>
          </c:tx>
          <c:layout>
            <c:manualLayout>
              <c:xMode val="edge"/>
              <c:yMode val="edge"/>
              <c:x val="0.0112864786560434"/>
              <c:y val="0.258190376202975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-2139032360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2150419250691"/>
          <c:y val="0.756667143879742"/>
          <c:w val="0.799532436763988"/>
          <c:h val="0.21378740157480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00" b="0" i="0" u="none" strike="noStrike" baseline="0">
              <a:solidFill>
                <a:srgbClr val="000000"/>
              </a:solidFill>
              <a:latin typeface="Helvetica Light"/>
              <a:ea typeface="Arial"/>
              <a:cs typeface="Helvetica Light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995444191344"/>
          <c:y val="0.0664820663976653"/>
          <c:w val="0.728929384965831"/>
          <c:h val="0.52710411198600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Rich!$A$70</c:f>
              <c:strCache>
                <c:ptCount val="1"/>
                <c:pt idx="0">
                  <c:v>fpl non-staple food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Rich!$K$70:$M$70</c:f>
              <c:numCache>
                <c:formatCode>0%</c:formatCode>
                <c:ptCount val="3"/>
                <c:pt idx="0">
                  <c:v>0.0798974991009429</c:v>
                </c:pt>
                <c:pt idx="1">
                  <c:v>0.11185649874132</c:v>
                </c:pt>
                <c:pt idx="2">
                  <c:v>0.11185649874132</c:v>
                </c:pt>
              </c:numCache>
            </c:numRef>
          </c:val>
        </c:ser>
        <c:ser>
          <c:idx val="2"/>
          <c:order val="1"/>
          <c:tx>
            <c:strRef>
              <c:f>Rich!$A$74</c:f>
              <c:strCache>
                <c:ptCount val="1"/>
                <c:pt idx="0">
                  <c:v>staple food</c:v>
                </c:pt>
              </c:strCache>
            </c:strRef>
          </c:tx>
          <c:spPr>
            <a:solidFill>
              <a:srgbClr val="80000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Rich!$K$74:$M$74</c:f>
              <c:numCache>
                <c:formatCode>0%</c:formatCode>
                <c:ptCount val="3"/>
                <c:pt idx="0">
                  <c:v>0.0275349691942294</c:v>
                </c:pt>
                <c:pt idx="1">
                  <c:v>0.0254542972951286</c:v>
                </c:pt>
                <c:pt idx="2">
                  <c:v>0.0145978987549447</c:v>
                </c:pt>
              </c:numCache>
            </c:numRef>
          </c:val>
        </c:ser>
        <c:ser>
          <c:idx val="1"/>
          <c:order val="2"/>
          <c:tx>
            <c:strRef>
              <c:f>Rich!$A$73</c:f>
              <c:strCache>
                <c:ptCount val="1"/>
                <c:pt idx="0">
                  <c:v>resilience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Rich!$K$73:$M$73</c:f>
              <c:numCache>
                <c:formatCode>0%</c:formatCode>
                <c:ptCount val="3"/>
                <c:pt idx="0">
                  <c:v>0.221873820243299</c:v>
                </c:pt>
                <c:pt idx="1">
                  <c:v>0.261811107887093</c:v>
                </c:pt>
                <c:pt idx="2">
                  <c:v>0.261811107887093</c:v>
                </c:pt>
              </c:numCache>
            </c:numRef>
          </c:val>
        </c:ser>
        <c:ser>
          <c:idx val="3"/>
          <c:order val="3"/>
          <c:tx>
            <c:strRef>
              <c:f>Rich!$A$75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rgbClr val="CCFFFF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Rich!$K$75:$M$75</c:f>
              <c:numCache>
                <c:formatCode>0%</c:formatCode>
                <c:ptCount val="3"/>
                <c:pt idx="0">
                  <c:v>0.484214412259109</c:v>
                </c:pt>
                <c:pt idx="1">
                  <c:v>0.343264246109791</c:v>
                </c:pt>
                <c:pt idx="2">
                  <c:v>0.355623540735991</c:v>
                </c:pt>
              </c:numCache>
            </c:numRef>
          </c:val>
        </c:ser>
        <c:ser>
          <c:idx val="5"/>
          <c:order val="4"/>
          <c:tx>
            <c:strRef>
              <c:f>Rich!$A$74</c:f>
              <c:strCache>
                <c:ptCount val="1"/>
                <c:pt idx="0">
                  <c:v>staple food</c:v>
                </c:pt>
              </c:strCache>
            </c:strRef>
          </c:tx>
          <c:spPr>
            <a:solidFill>
              <a:srgbClr val="F7F4B3"/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Rich!$K$74:$M$74</c:f>
              <c:numCache>
                <c:formatCode>0%</c:formatCode>
                <c:ptCount val="3"/>
                <c:pt idx="0">
                  <c:v>0.0275349691942294</c:v>
                </c:pt>
                <c:pt idx="1">
                  <c:v>0.0254542972951286</c:v>
                </c:pt>
                <c:pt idx="2">
                  <c:v>0.0145978987549447</c:v>
                </c:pt>
              </c:numCache>
            </c:numRef>
          </c:val>
        </c:ser>
        <c:ser>
          <c:idx val="4"/>
          <c:order val="5"/>
          <c:tx>
            <c:strRef>
              <c:f>Rich!$A$77</c:f>
              <c:strCache>
                <c:ptCount val="1"/>
                <c:pt idx="0">
                  <c:v>exp. deficit</c:v>
                </c:pt>
              </c:strCache>
            </c:strRef>
          </c:tx>
          <c:spPr>
            <a:pattFill prst="wdDnDiag">
              <a:fgClr>
                <a:srgbClr val="00CCFF"/>
              </a:fgClr>
              <a:bgClr>
                <a:srgbClr val="CCFFFF"/>
              </a:bgClr>
            </a:patt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Rich!$K$77:$M$77</c:f>
              <c:numCache>
                <c:formatCode>0%</c:formatCode>
                <c:ptCount val="3"/>
                <c:pt idx="1">
                  <c:v>0.0</c:v>
                </c:pt>
                <c:pt idx="2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-2012705464"/>
        <c:axId val="-2043472488"/>
      </c:barChart>
      <c:catAx>
        <c:axId val="-2012705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-204347248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347248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Helvetica Light"/>
                    <a:ea typeface="Arial"/>
                    <a:cs typeface="Helvetica Light"/>
                  </a:defRPr>
                </a:pPr>
                <a:r>
                  <a:rPr lang="en-US" b="0" i="0">
                    <a:latin typeface="Helvetica Light"/>
                    <a:cs typeface="Helvetica Light"/>
                  </a:rPr>
                  <a:t>% baseline expenditure</a:t>
                </a:r>
              </a:p>
            </c:rich>
          </c:tx>
          <c:layout>
            <c:manualLayout>
              <c:xMode val="edge"/>
              <c:yMode val="edge"/>
              <c:x val="0.0113895874955929"/>
              <c:y val="0.257618066588683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-2012705464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6604033909248"/>
          <c:y val="0.0666297947099587"/>
          <c:w val="0.731321832726758"/>
          <c:h val="0.65963496762859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V.Poor!$A$70</c:f>
              <c:strCache>
                <c:ptCount val="1"/>
                <c:pt idx="0">
                  <c:v>fpl non-staple food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V.Poor!$K$70:$M$70</c:f>
              <c:numCache>
                <c:formatCode>0%</c:formatCode>
                <c:ptCount val="3"/>
                <c:pt idx="0">
                  <c:v>0.607941773027298</c:v>
                </c:pt>
                <c:pt idx="1">
                  <c:v>0.367112588284171</c:v>
                </c:pt>
                <c:pt idx="2">
                  <c:v>0.346431449937682</c:v>
                </c:pt>
              </c:numCache>
            </c:numRef>
          </c:val>
        </c:ser>
        <c:ser>
          <c:idx val="2"/>
          <c:order val="1"/>
          <c:tx>
            <c:strRef>
              <c:f>V.Poor!$A$71</c:f>
              <c:strCache>
                <c:ptCount val="1"/>
                <c:pt idx="0">
                  <c:v>lbpl</c:v>
                </c:pt>
              </c:strCache>
            </c:strRef>
          </c:tx>
          <c:spPr>
            <a:solidFill>
              <a:srgbClr val="80000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V.Poor!$K$71:$M$71</c:f>
              <c:numCache>
                <c:formatCode>0%</c:formatCode>
                <c:ptCount val="3"/>
                <c:pt idx="0">
                  <c:v>0.51328070904307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5"/>
          <c:order val="2"/>
          <c:tx>
            <c:strRef>
              <c:f>V.Poor!$A$72</c:f>
              <c:strCache>
                <c:ptCount val="1"/>
                <c:pt idx="0">
                  <c:v>ubpl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 w="12700" cmpd="sng">
              <a:solidFill>
                <a:schemeClr val="tx1"/>
              </a:solidFill>
            </a:ln>
          </c:spPr>
          <c:invertIfNegative val="0"/>
          <c:val>
            <c:numRef>
              <c:f>V.Poor!$K$72:$M$72</c:f>
              <c:numCache>
                <c:formatCode>0%</c:formatCode>
                <c:ptCount val="3"/>
                <c:pt idx="0">
                  <c:v>0.905644251884385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"/>
          <c:order val="3"/>
          <c:tx>
            <c:strRef>
              <c:f>V.Poor!$A$73</c:f>
              <c:strCache>
                <c:ptCount val="1"/>
                <c:pt idx="0">
                  <c:v>resilience</c:v>
                </c:pt>
              </c:strCache>
            </c:strRef>
          </c:tx>
          <c:spPr>
            <a:solidFill>
              <a:srgbClr val="CCFFFF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V.Poor!$K$73:$M$73</c:f>
              <c:numCache>
                <c:formatCode>0%</c:formatCode>
                <c:ptCount val="3"/>
                <c:pt idx="0">
                  <c:v>0.069817199833818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6"/>
          <c:order val="4"/>
          <c:tx>
            <c:strRef>
              <c:f>V.Poor!$A$74</c:f>
              <c:strCache>
                <c:ptCount val="1"/>
                <c:pt idx="0">
                  <c:v>staple food</c:v>
                </c:pt>
              </c:strCache>
            </c:strRef>
          </c:tx>
          <c:spPr>
            <a:solidFill>
              <a:srgbClr val="F7F4B3"/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V.Poor!$K$74:$M$74</c:f>
              <c:numCache>
                <c:formatCode>0%</c:formatCode>
                <c:ptCount val="3"/>
                <c:pt idx="0">
                  <c:v>0.195893209745806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3"/>
          <c:order val="5"/>
          <c:tx>
            <c:strRef>
              <c:f>V.Poor!$A$75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rgbClr val="99CC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V.Poor!$K$75:$M$75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4"/>
          <c:order val="6"/>
          <c:tx>
            <c:strRef>
              <c:f>V.Poor!$A$77</c:f>
              <c:strCache>
                <c:ptCount val="1"/>
                <c:pt idx="0">
                  <c:v>exp. deficit</c:v>
                </c:pt>
              </c:strCache>
            </c:strRef>
          </c:tx>
          <c:spPr>
            <a:pattFill prst="wdDnDiag">
              <a:fgClr>
                <a:srgbClr val="00CCFF"/>
              </a:fgClr>
              <a:bgClr>
                <a:srgbClr val="CC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V.Poor!$K$77:$M$77</c:f>
              <c:numCache>
                <c:formatCode>0%</c:formatCode>
                <c:ptCount val="3"/>
                <c:pt idx="1">
                  <c:v>-1.110358268971357</c:v>
                </c:pt>
                <c:pt idx="2">
                  <c:v>-1.110358268971357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2103908248"/>
        <c:axId val="-2039973688"/>
      </c:barChart>
      <c:catAx>
        <c:axId val="21039082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-203997368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997368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Helvetica Light"/>
                    <a:ea typeface="Arial"/>
                    <a:cs typeface="Helvetica Light"/>
                  </a:defRPr>
                </a:pPr>
                <a:r>
                  <a:rPr lang="en-US" b="0" i="0">
                    <a:latin typeface="Helvetica Light"/>
                    <a:cs typeface="Helvetica Light"/>
                  </a:rPr>
                  <a:t>% baseline expenditure</a:t>
                </a:r>
              </a:p>
            </c:rich>
          </c:tx>
          <c:layout>
            <c:manualLayout>
              <c:xMode val="edge"/>
              <c:yMode val="edge"/>
              <c:x val="0.0113206977446403"/>
              <c:y val="0.256524759405074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2103908248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Percentiles!$A$3</c:f>
              <c:strCache>
                <c:ptCount val="1"/>
                <c:pt idx="0">
                  <c:v>Own crops Consumed</c:v>
                </c:pt>
              </c:strCache>
            </c:strRef>
          </c:tx>
          <c:spPr>
            <a:solidFill>
              <a:srgbClr val="00B050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Percentiles!$F$3:$DA$3</c:f>
              <c:numCache>
                <c:formatCode>0</c:formatCode>
                <c:ptCount val="100"/>
                <c:pt idx="0">
                  <c:v>3455.879273965561</c:v>
                </c:pt>
                <c:pt idx="1">
                  <c:v>3455.879273965561</c:v>
                </c:pt>
                <c:pt idx="2">
                  <c:v>3455.879273965561</c:v>
                </c:pt>
                <c:pt idx="3">
                  <c:v>3455.879273965561</c:v>
                </c:pt>
                <c:pt idx="4">
                  <c:v>3455.879273965561</c:v>
                </c:pt>
                <c:pt idx="5">
                  <c:v>3455.879273965561</c:v>
                </c:pt>
                <c:pt idx="6">
                  <c:v>3455.879273965561</c:v>
                </c:pt>
                <c:pt idx="7">
                  <c:v>3455.879273965561</c:v>
                </c:pt>
                <c:pt idx="8">
                  <c:v>3455.879273965561</c:v>
                </c:pt>
                <c:pt idx="9">
                  <c:v>3455.879273965561</c:v>
                </c:pt>
                <c:pt idx="10">
                  <c:v>3455.879273965561</c:v>
                </c:pt>
                <c:pt idx="11">
                  <c:v>3455.879273965561</c:v>
                </c:pt>
                <c:pt idx="12">
                  <c:v>3455.879273965561</c:v>
                </c:pt>
                <c:pt idx="13">
                  <c:v>3455.879273965561</c:v>
                </c:pt>
                <c:pt idx="14">
                  <c:v>3455.879273965561</c:v>
                </c:pt>
                <c:pt idx="15">
                  <c:v>3455.879273965561</c:v>
                </c:pt>
                <c:pt idx="16">
                  <c:v>3455.879273965561</c:v>
                </c:pt>
                <c:pt idx="17">
                  <c:v>3455.879273965561</c:v>
                </c:pt>
                <c:pt idx="18">
                  <c:v>3455.879273965561</c:v>
                </c:pt>
                <c:pt idx="19">
                  <c:v>3455.879273965561</c:v>
                </c:pt>
                <c:pt idx="20">
                  <c:v>3455.879273965561</c:v>
                </c:pt>
                <c:pt idx="21">
                  <c:v>3455.879273965561</c:v>
                </c:pt>
                <c:pt idx="22">
                  <c:v>3455.879273965561</c:v>
                </c:pt>
                <c:pt idx="23">
                  <c:v>3455.879273965561</c:v>
                </c:pt>
                <c:pt idx="24">
                  <c:v>3455.879273965561</c:v>
                </c:pt>
                <c:pt idx="25">
                  <c:v>3455.879273965561</c:v>
                </c:pt>
                <c:pt idx="26">
                  <c:v>3455.879273965561</c:v>
                </c:pt>
                <c:pt idx="27">
                  <c:v>3455.879273965561</c:v>
                </c:pt>
                <c:pt idx="28">
                  <c:v>3455.879273965561</c:v>
                </c:pt>
                <c:pt idx="29">
                  <c:v>3455.879273965561</c:v>
                </c:pt>
                <c:pt idx="30">
                  <c:v>3455.879273965561</c:v>
                </c:pt>
                <c:pt idx="31">
                  <c:v>3455.879273965561</c:v>
                </c:pt>
                <c:pt idx="32">
                  <c:v>3455.879273965561</c:v>
                </c:pt>
                <c:pt idx="33">
                  <c:v>3455.879273965561</c:v>
                </c:pt>
                <c:pt idx="34">
                  <c:v>3455.879273965561</c:v>
                </c:pt>
                <c:pt idx="35">
                  <c:v>3455.879273965561</c:v>
                </c:pt>
                <c:pt idx="36">
                  <c:v>5518.880537716735</c:v>
                </c:pt>
                <c:pt idx="37">
                  <c:v>5518.880537716735</c:v>
                </c:pt>
                <c:pt idx="38">
                  <c:v>5518.880537716735</c:v>
                </c:pt>
                <c:pt idx="39">
                  <c:v>5518.880537716735</c:v>
                </c:pt>
                <c:pt idx="40">
                  <c:v>5518.880537716735</c:v>
                </c:pt>
                <c:pt idx="41">
                  <c:v>5518.880537716735</c:v>
                </c:pt>
                <c:pt idx="42">
                  <c:v>5518.880537716735</c:v>
                </c:pt>
                <c:pt idx="43">
                  <c:v>5518.880537716735</c:v>
                </c:pt>
                <c:pt idx="44">
                  <c:v>5518.880537716735</c:v>
                </c:pt>
                <c:pt idx="45">
                  <c:v>5518.880537716735</c:v>
                </c:pt>
                <c:pt idx="46">
                  <c:v>5518.880537716735</c:v>
                </c:pt>
                <c:pt idx="47">
                  <c:v>5518.880537716735</c:v>
                </c:pt>
                <c:pt idx="48">
                  <c:v>5518.880537716735</c:v>
                </c:pt>
                <c:pt idx="49">
                  <c:v>5518.880537716735</c:v>
                </c:pt>
                <c:pt idx="50">
                  <c:v>5518.880537716735</c:v>
                </c:pt>
                <c:pt idx="51">
                  <c:v>5518.880537716735</c:v>
                </c:pt>
                <c:pt idx="52">
                  <c:v>5518.880537716735</c:v>
                </c:pt>
                <c:pt idx="53">
                  <c:v>5518.880537716735</c:v>
                </c:pt>
                <c:pt idx="54">
                  <c:v>5518.880537716735</c:v>
                </c:pt>
                <c:pt idx="55">
                  <c:v>5518.880537716735</c:v>
                </c:pt>
                <c:pt idx="56">
                  <c:v>5518.880537716735</c:v>
                </c:pt>
                <c:pt idx="57">
                  <c:v>5518.880537716735</c:v>
                </c:pt>
                <c:pt idx="58">
                  <c:v>5518.880537716735</c:v>
                </c:pt>
                <c:pt idx="59">
                  <c:v>5518.880537716735</c:v>
                </c:pt>
                <c:pt idx="60">
                  <c:v>5518.880537716735</c:v>
                </c:pt>
                <c:pt idx="61">
                  <c:v>5518.880537716735</c:v>
                </c:pt>
                <c:pt idx="62">
                  <c:v>5518.880537716735</c:v>
                </c:pt>
                <c:pt idx="63">
                  <c:v>5518.880537716735</c:v>
                </c:pt>
                <c:pt idx="64">
                  <c:v>5518.880537716735</c:v>
                </c:pt>
                <c:pt idx="65">
                  <c:v>5518.880537716735</c:v>
                </c:pt>
                <c:pt idx="66">
                  <c:v>5518.880537716735</c:v>
                </c:pt>
                <c:pt idx="67">
                  <c:v>5518.880537716735</c:v>
                </c:pt>
                <c:pt idx="68">
                  <c:v>5518.880537716735</c:v>
                </c:pt>
                <c:pt idx="69">
                  <c:v>5518.880537716735</c:v>
                </c:pt>
                <c:pt idx="70">
                  <c:v>5826.54980113477</c:v>
                </c:pt>
                <c:pt idx="71">
                  <c:v>5826.54980113477</c:v>
                </c:pt>
                <c:pt idx="72">
                  <c:v>5826.54980113477</c:v>
                </c:pt>
                <c:pt idx="73">
                  <c:v>5826.54980113477</c:v>
                </c:pt>
                <c:pt idx="74">
                  <c:v>5826.54980113477</c:v>
                </c:pt>
                <c:pt idx="75">
                  <c:v>5826.54980113477</c:v>
                </c:pt>
                <c:pt idx="76">
                  <c:v>5826.54980113477</c:v>
                </c:pt>
                <c:pt idx="77">
                  <c:v>5826.54980113477</c:v>
                </c:pt>
                <c:pt idx="78">
                  <c:v>5826.54980113477</c:v>
                </c:pt>
                <c:pt idx="79">
                  <c:v>5826.54980113477</c:v>
                </c:pt>
                <c:pt idx="80">
                  <c:v>5826.54980113477</c:v>
                </c:pt>
                <c:pt idx="81">
                  <c:v>5826.54980113477</c:v>
                </c:pt>
                <c:pt idx="82">
                  <c:v>5826.54980113477</c:v>
                </c:pt>
                <c:pt idx="83">
                  <c:v>5826.54980113477</c:v>
                </c:pt>
                <c:pt idx="84">
                  <c:v>5826.54980113477</c:v>
                </c:pt>
                <c:pt idx="85">
                  <c:v>5826.54980113477</c:v>
                </c:pt>
                <c:pt idx="86">
                  <c:v>5826.54980113477</c:v>
                </c:pt>
                <c:pt idx="87">
                  <c:v>5826.54980113477</c:v>
                </c:pt>
                <c:pt idx="88">
                  <c:v>5826.54980113477</c:v>
                </c:pt>
                <c:pt idx="89">
                  <c:v>5826.54980113477</c:v>
                </c:pt>
                <c:pt idx="90">
                  <c:v>5853.159474280447</c:v>
                </c:pt>
                <c:pt idx="91">
                  <c:v>5853.159474280447</c:v>
                </c:pt>
                <c:pt idx="92">
                  <c:v>5853.159474280447</c:v>
                </c:pt>
                <c:pt idx="93">
                  <c:v>5853.159474280447</c:v>
                </c:pt>
                <c:pt idx="94">
                  <c:v>5853.159474280447</c:v>
                </c:pt>
                <c:pt idx="95">
                  <c:v>5853.159474280447</c:v>
                </c:pt>
                <c:pt idx="96">
                  <c:v>5853.159474280447</c:v>
                </c:pt>
                <c:pt idx="97">
                  <c:v>5853.159474280447</c:v>
                </c:pt>
                <c:pt idx="98">
                  <c:v>5853.159474280447</c:v>
                </c:pt>
                <c:pt idx="99">
                  <c:v>5853.159474280447</c:v>
                </c:pt>
              </c:numCache>
            </c:numRef>
          </c:val>
        </c:ser>
        <c:ser>
          <c:idx val="1"/>
          <c:order val="1"/>
          <c:tx>
            <c:strRef>
              <c:f>Percentiles!$A$4</c:f>
              <c:strCache>
                <c:ptCount val="1"/>
                <c:pt idx="0">
                  <c:v>Own crops sold</c:v>
                </c:pt>
              </c:strCache>
            </c:strRef>
          </c:tx>
          <c:spPr>
            <a:solidFill>
              <a:srgbClr val="92D050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Percentiles!$F$4:$DA$4</c:f>
              <c:numCache>
                <c:formatCode>0</c:formatCode>
                <c:ptCount val="100"/>
                <c:pt idx="0">
                  <c:v>1172.142680101809</c:v>
                </c:pt>
                <c:pt idx="1">
                  <c:v>1172.142680101809</c:v>
                </c:pt>
                <c:pt idx="2">
                  <c:v>1172.142680101809</c:v>
                </c:pt>
                <c:pt idx="3">
                  <c:v>1172.142680101809</c:v>
                </c:pt>
                <c:pt idx="4">
                  <c:v>1172.142680101809</c:v>
                </c:pt>
                <c:pt idx="5">
                  <c:v>1172.142680101809</c:v>
                </c:pt>
                <c:pt idx="6">
                  <c:v>1172.142680101809</c:v>
                </c:pt>
                <c:pt idx="7">
                  <c:v>1172.142680101809</c:v>
                </c:pt>
                <c:pt idx="8">
                  <c:v>1172.142680101809</c:v>
                </c:pt>
                <c:pt idx="9">
                  <c:v>1172.142680101809</c:v>
                </c:pt>
                <c:pt idx="10">
                  <c:v>1172.142680101809</c:v>
                </c:pt>
                <c:pt idx="11">
                  <c:v>1172.142680101809</c:v>
                </c:pt>
                <c:pt idx="12">
                  <c:v>1172.142680101809</c:v>
                </c:pt>
                <c:pt idx="13">
                  <c:v>1172.142680101809</c:v>
                </c:pt>
                <c:pt idx="14">
                  <c:v>1172.142680101809</c:v>
                </c:pt>
                <c:pt idx="15">
                  <c:v>1172.142680101809</c:v>
                </c:pt>
                <c:pt idx="16">
                  <c:v>1172.142680101809</c:v>
                </c:pt>
                <c:pt idx="17">
                  <c:v>1172.142680101809</c:v>
                </c:pt>
                <c:pt idx="18">
                  <c:v>1172.142680101809</c:v>
                </c:pt>
                <c:pt idx="19">
                  <c:v>1172.142680101809</c:v>
                </c:pt>
                <c:pt idx="20">
                  <c:v>1172.142680101809</c:v>
                </c:pt>
                <c:pt idx="21">
                  <c:v>1172.142680101809</c:v>
                </c:pt>
                <c:pt idx="22">
                  <c:v>1172.142680101809</c:v>
                </c:pt>
                <c:pt idx="23">
                  <c:v>1172.142680101809</c:v>
                </c:pt>
                <c:pt idx="24">
                  <c:v>1172.142680101809</c:v>
                </c:pt>
                <c:pt idx="25">
                  <c:v>1172.142680101809</c:v>
                </c:pt>
                <c:pt idx="26">
                  <c:v>1172.142680101809</c:v>
                </c:pt>
                <c:pt idx="27">
                  <c:v>1172.142680101809</c:v>
                </c:pt>
                <c:pt idx="28">
                  <c:v>1172.142680101809</c:v>
                </c:pt>
                <c:pt idx="29">
                  <c:v>1172.142680101809</c:v>
                </c:pt>
                <c:pt idx="30">
                  <c:v>1172.142680101809</c:v>
                </c:pt>
                <c:pt idx="31">
                  <c:v>1172.142680101809</c:v>
                </c:pt>
                <c:pt idx="32">
                  <c:v>1172.142680101809</c:v>
                </c:pt>
                <c:pt idx="33">
                  <c:v>1172.142680101809</c:v>
                </c:pt>
                <c:pt idx="34">
                  <c:v>1172.142680101809</c:v>
                </c:pt>
                <c:pt idx="35">
                  <c:v>1172.142680101809</c:v>
                </c:pt>
                <c:pt idx="36">
                  <c:v>2245.625109491531</c:v>
                </c:pt>
                <c:pt idx="37">
                  <c:v>2245.625109491531</c:v>
                </c:pt>
                <c:pt idx="38">
                  <c:v>2245.625109491531</c:v>
                </c:pt>
                <c:pt idx="39">
                  <c:v>2245.625109491531</c:v>
                </c:pt>
                <c:pt idx="40">
                  <c:v>2245.625109491531</c:v>
                </c:pt>
                <c:pt idx="41">
                  <c:v>2245.625109491531</c:v>
                </c:pt>
                <c:pt idx="42">
                  <c:v>2245.625109491531</c:v>
                </c:pt>
                <c:pt idx="43">
                  <c:v>2245.625109491531</c:v>
                </c:pt>
                <c:pt idx="44">
                  <c:v>2245.625109491531</c:v>
                </c:pt>
                <c:pt idx="45">
                  <c:v>2245.625109491531</c:v>
                </c:pt>
                <c:pt idx="46">
                  <c:v>2245.625109491531</c:v>
                </c:pt>
                <c:pt idx="47">
                  <c:v>2245.625109491531</c:v>
                </c:pt>
                <c:pt idx="48">
                  <c:v>2245.625109491531</c:v>
                </c:pt>
                <c:pt idx="49">
                  <c:v>2245.625109491531</c:v>
                </c:pt>
                <c:pt idx="50">
                  <c:v>2245.625109491531</c:v>
                </c:pt>
                <c:pt idx="51">
                  <c:v>2245.625109491531</c:v>
                </c:pt>
                <c:pt idx="52">
                  <c:v>2245.625109491531</c:v>
                </c:pt>
                <c:pt idx="53">
                  <c:v>2245.625109491531</c:v>
                </c:pt>
                <c:pt idx="54">
                  <c:v>2245.625109491531</c:v>
                </c:pt>
                <c:pt idx="55">
                  <c:v>2245.625109491531</c:v>
                </c:pt>
                <c:pt idx="56">
                  <c:v>2245.625109491531</c:v>
                </c:pt>
                <c:pt idx="57">
                  <c:v>2245.625109491531</c:v>
                </c:pt>
                <c:pt idx="58">
                  <c:v>2245.625109491531</c:v>
                </c:pt>
                <c:pt idx="59">
                  <c:v>2245.625109491531</c:v>
                </c:pt>
                <c:pt idx="60">
                  <c:v>2245.625109491531</c:v>
                </c:pt>
                <c:pt idx="61">
                  <c:v>2245.625109491531</c:v>
                </c:pt>
                <c:pt idx="62">
                  <c:v>2245.625109491531</c:v>
                </c:pt>
                <c:pt idx="63">
                  <c:v>2245.625109491531</c:v>
                </c:pt>
                <c:pt idx="64">
                  <c:v>2245.625109491531</c:v>
                </c:pt>
                <c:pt idx="65">
                  <c:v>2245.625109491531</c:v>
                </c:pt>
                <c:pt idx="66">
                  <c:v>2245.625109491531</c:v>
                </c:pt>
                <c:pt idx="67">
                  <c:v>2245.625109491531</c:v>
                </c:pt>
                <c:pt idx="68">
                  <c:v>2245.625109491531</c:v>
                </c:pt>
                <c:pt idx="69">
                  <c:v>2245.625109491531</c:v>
                </c:pt>
                <c:pt idx="70">
                  <c:v>22480.23247781763</c:v>
                </c:pt>
                <c:pt idx="71">
                  <c:v>22480.23247781763</c:v>
                </c:pt>
                <c:pt idx="72">
                  <c:v>22480.23247781763</c:v>
                </c:pt>
                <c:pt idx="73">
                  <c:v>22480.23247781763</c:v>
                </c:pt>
                <c:pt idx="74">
                  <c:v>22480.23247781763</c:v>
                </c:pt>
                <c:pt idx="75">
                  <c:v>22480.23247781763</c:v>
                </c:pt>
                <c:pt idx="76">
                  <c:v>22480.23247781763</c:v>
                </c:pt>
                <c:pt idx="77">
                  <c:v>22480.23247781763</c:v>
                </c:pt>
                <c:pt idx="78">
                  <c:v>22480.23247781763</c:v>
                </c:pt>
                <c:pt idx="79">
                  <c:v>22480.23247781763</c:v>
                </c:pt>
                <c:pt idx="80">
                  <c:v>22480.23247781763</c:v>
                </c:pt>
                <c:pt idx="81">
                  <c:v>22480.23247781763</c:v>
                </c:pt>
                <c:pt idx="82">
                  <c:v>22480.23247781763</c:v>
                </c:pt>
                <c:pt idx="83">
                  <c:v>22480.23247781763</c:v>
                </c:pt>
                <c:pt idx="84">
                  <c:v>22480.23247781763</c:v>
                </c:pt>
                <c:pt idx="85">
                  <c:v>22480.23247781763</c:v>
                </c:pt>
                <c:pt idx="86">
                  <c:v>22480.23247781763</c:v>
                </c:pt>
                <c:pt idx="87">
                  <c:v>22480.23247781763</c:v>
                </c:pt>
                <c:pt idx="88">
                  <c:v>22480.23247781763</c:v>
                </c:pt>
                <c:pt idx="89">
                  <c:v>22480.23247781763</c:v>
                </c:pt>
                <c:pt idx="90">
                  <c:v>36140.36475977941</c:v>
                </c:pt>
                <c:pt idx="91">
                  <c:v>36140.36475977941</c:v>
                </c:pt>
                <c:pt idx="92">
                  <c:v>36140.36475977941</c:v>
                </c:pt>
                <c:pt idx="93">
                  <c:v>36140.36475977941</c:v>
                </c:pt>
                <c:pt idx="94">
                  <c:v>36140.36475977941</c:v>
                </c:pt>
                <c:pt idx="95">
                  <c:v>36140.36475977941</c:v>
                </c:pt>
                <c:pt idx="96">
                  <c:v>36140.36475977941</c:v>
                </c:pt>
                <c:pt idx="97">
                  <c:v>36140.36475977941</c:v>
                </c:pt>
                <c:pt idx="98">
                  <c:v>36140.36475977941</c:v>
                </c:pt>
                <c:pt idx="99">
                  <c:v>36140.36475977941</c:v>
                </c:pt>
              </c:numCache>
            </c:numRef>
          </c:val>
        </c:ser>
        <c:ser>
          <c:idx val="2"/>
          <c:order val="2"/>
          <c:tx>
            <c:strRef>
              <c:f>Percentiles!$A$5</c:f>
              <c:strCache>
                <c:ptCount val="1"/>
                <c:pt idx="0">
                  <c:v>Animal products consumed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Percentiles!$F$5:$DA$5</c:f>
              <c:numCache>
                <c:formatCode>0</c:formatCode>
                <c:ptCount val="100"/>
                <c:pt idx="0">
                  <c:v>573.6683149701675</c:v>
                </c:pt>
                <c:pt idx="1">
                  <c:v>573.6683149701675</c:v>
                </c:pt>
                <c:pt idx="2">
                  <c:v>573.6683149701675</c:v>
                </c:pt>
                <c:pt idx="3">
                  <c:v>573.6683149701675</c:v>
                </c:pt>
                <c:pt idx="4">
                  <c:v>573.6683149701675</c:v>
                </c:pt>
                <c:pt idx="5">
                  <c:v>573.6683149701675</c:v>
                </c:pt>
                <c:pt idx="6">
                  <c:v>573.6683149701675</c:v>
                </c:pt>
                <c:pt idx="7">
                  <c:v>573.6683149701675</c:v>
                </c:pt>
                <c:pt idx="8">
                  <c:v>573.6683149701675</c:v>
                </c:pt>
                <c:pt idx="9">
                  <c:v>573.6683149701675</c:v>
                </c:pt>
                <c:pt idx="10">
                  <c:v>573.6683149701675</c:v>
                </c:pt>
                <c:pt idx="11">
                  <c:v>573.6683149701675</c:v>
                </c:pt>
                <c:pt idx="12">
                  <c:v>573.6683149701675</c:v>
                </c:pt>
                <c:pt idx="13">
                  <c:v>573.6683149701675</c:v>
                </c:pt>
                <c:pt idx="14">
                  <c:v>573.6683149701675</c:v>
                </c:pt>
                <c:pt idx="15">
                  <c:v>573.6683149701675</c:v>
                </c:pt>
                <c:pt idx="16">
                  <c:v>573.6683149701675</c:v>
                </c:pt>
                <c:pt idx="17">
                  <c:v>573.6683149701675</c:v>
                </c:pt>
                <c:pt idx="18">
                  <c:v>573.6683149701675</c:v>
                </c:pt>
                <c:pt idx="19">
                  <c:v>573.6683149701675</c:v>
                </c:pt>
                <c:pt idx="20">
                  <c:v>573.6683149701675</c:v>
                </c:pt>
                <c:pt idx="21">
                  <c:v>573.6683149701675</c:v>
                </c:pt>
                <c:pt idx="22">
                  <c:v>573.6683149701675</c:v>
                </c:pt>
                <c:pt idx="23">
                  <c:v>573.6683149701675</c:v>
                </c:pt>
                <c:pt idx="24">
                  <c:v>573.6683149701675</c:v>
                </c:pt>
                <c:pt idx="25">
                  <c:v>573.6683149701675</c:v>
                </c:pt>
                <c:pt idx="26">
                  <c:v>573.6683149701675</c:v>
                </c:pt>
                <c:pt idx="27">
                  <c:v>573.6683149701675</c:v>
                </c:pt>
                <c:pt idx="28">
                  <c:v>573.6683149701675</c:v>
                </c:pt>
                <c:pt idx="29">
                  <c:v>573.6683149701675</c:v>
                </c:pt>
                <c:pt idx="30">
                  <c:v>573.6683149701675</c:v>
                </c:pt>
                <c:pt idx="31">
                  <c:v>573.6683149701675</c:v>
                </c:pt>
                <c:pt idx="32">
                  <c:v>573.6683149701675</c:v>
                </c:pt>
                <c:pt idx="33">
                  <c:v>573.6683149701675</c:v>
                </c:pt>
                <c:pt idx="34">
                  <c:v>573.6683149701675</c:v>
                </c:pt>
                <c:pt idx="35">
                  <c:v>573.6683149701675</c:v>
                </c:pt>
                <c:pt idx="36">
                  <c:v>1129.676859632458</c:v>
                </c:pt>
                <c:pt idx="37">
                  <c:v>1129.676859632458</c:v>
                </c:pt>
                <c:pt idx="38">
                  <c:v>1129.676859632458</c:v>
                </c:pt>
                <c:pt idx="39">
                  <c:v>1129.676859632458</c:v>
                </c:pt>
                <c:pt idx="40">
                  <c:v>1129.676859632458</c:v>
                </c:pt>
                <c:pt idx="41">
                  <c:v>1129.676859632458</c:v>
                </c:pt>
                <c:pt idx="42">
                  <c:v>1129.676859632458</c:v>
                </c:pt>
                <c:pt idx="43">
                  <c:v>1129.676859632458</c:v>
                </c:pt>
                <c:pt idx="44">
                  <c:v>1129.676859632458</c:v>
                </c:pt>
                <c:pt idx="45">
                  <c:v>1129.676859632458</c:v>
                </c:pt>
                <c:pt idx="46">
                  <c:v>1129.676859632458</c:v>
                </c:pt>
                <c:pt idx="47">
                  <c:v>1129.676859632458</c:v>
                </c:pt>
                <c:pt idx="48">
                  <c:v>1129.676859632458</c:v>
                </c:pt>
                <c:pt idx="49">
                  <c:v>1129.676859632458</c:v>
                </c:pt>
                <c:pt idx="50">
                  <c:v>1129.676859632458</c:v>
                </c:pt>
                <c:pt idx="51">
                  <c:v>1129.676859632458</c:v>
                </c:pt>
                <c:pt idx="52">
                  <c:v>1129.676859632458</c:v>
                </c:pt>
                <c:pt idx="53">
                  <c:v>1129.676859632458</c:v>
                </c:pt>
                <c:pt idx="54">
                  <c:v>1129.676859632458</c:v>
                </c:pt>
                <c:pt idx="55">
                  <c:v>1129.676859632458</c:v>
                </c:pt>
                <c:pt idx="56">
                  <c:v>1129.676859632458</c:v>
                </c:pt>
                <c:pt idx="57">
                  <c:v>1129.676859632458</c:v>
                </c:pt>
                <c:pt idx="58">
                  <c:v>1129.676859632458</c:v>
                </c:pt>
                <c:pt idx="59">
                  <c:v>1129.676859632458</c:v>
                </c:pt>
                <c:pt idx="60">
                  <c:v>1129.676859632458</c:v>
                </c:pt>
                <c:pt idx="61">
                  <c:v>1129.676859632458</c:v>
                </c:pt>
                <c:pt idx="62">
                  <c:v>1129.676859632458</c:v>
                </c:pt>
                <c:pt idx="63">
                  <c:v>1129.676859632458</c:v>
                </c:pt>
                <c:pt idx="64">
                  <c:v>1129.676859632458</c:v>
                </c:pt>
                <c:pt idx="65">
                  <c:v>1129.676859632458</c:v>
                </c:pt>
                <c:pt idx="66">
                  <c:v>1129.676859632458</c:v>
                </c:pt>
                <c:pt idx="67">
                  <c:v>1129.676859632458</c:v>
                </c:pt>
                <c:pt idx="68">
                  <c:v>1129.676859632458</c:v>
                </c:pt>
                <c:pt idx="69">
                  <c:v>1129.676859632458</c:v>
                </c:pt>
                <c:pt idx="70">
                  <c:v>1459.224443966237</c:v>
                </c:pt>
                <c:pt idx="71">
                  <c:v>1459.224443966237</c:v>
                </c:pt>
                <c:pt idx="72">
                  <c:v>1459.224443966237</c:v>
                </c:pt>
                <c:pt idx="73">
                  <c:v>1459.224443966237</c:v>
                </c:pt>
                <c:pt idx="74">
                  <c:v>1459.224443966237</c:v>
                </c:pt>
                <c:pt idx="75">
                  <c:v>1459.224443966237</c:v>
                </c:pt>
                <c:pt idx="76">
                  <c:v>1459.224443966237</c:v>
                </c:pt>
                <c:pt idx="77">
                  <c:v>1459.224443966237</c:v>
                </c:pt>
                <c:pt idx="78">
                  <c:v>1459.224443966237</c:v>
                </c:pt>
                <c:pt idx="79">
                  <c:v>1459.224443966237</c:v>
                </c:pt>
                <c:pt idx="80">
                  <c:v>1459.224443966237</c:v>
                </c:pt>
                <c:pt idx="81">
                  <c:v>1459.224443966237</c:v>
                </c:pt>
                <c:pt idx="82">
                  <c:v>1459.224443966237</c:v>
                </c:pt>
                <c:pt idx="83">
                  <c:v>1459.224443966237</c:v>
                </c:pt>
                <c:pt idx="84">
                  <c:v>1459.224443966237</c:v>
                </c:pt>
                <c:pt idx="85">
                  <c:v>1459.224443966237</c:v>
                </c:pt>
                <c:pt idx="86">
                  <c:v>1459.224443966237</c:v>
                </c:pt>
                <c:pt idx="87">
                  <c:v>1459.224443966237</c:v>
                </c:pt>
                <c:pt idx="88">
                  <c:v>1459.224443966237</c:v>
                </c:pt>
                <c:pt idx="89">
                  <c:v>1459.224443966237</c:v>
                </c:pt>
                <c:pt idx="90">
                  <c:v>2403.479591509611</c:v>
                </c:pt>
                <c:pt idx="91">
                  <c:v>2403.479591509611</c:v>
                </c:pt>
                <c:pt idx="92">
                  <c:v>2403.479591509611</c:v>
                </c:pt>
                <c:pt idx="93">
                  <c:v>2403.479591509611</c:v>
                </c:pt>
                <c:pt idx="94">
                  <c:v>2403.479591509611</c:v>
                </c:pt>
                <c:pt idx="95">
                  <c:v>2403.479591509611</c:v>
                </c:pt>
                <c:pt idx="96">
                  <c:v>2403.479591509611</c:v>
                </c:pt>
                <c:pt idx="97">
                  <c:v>2403.479591509611</c:v>
                </c:pt>
                <c:pt idx="98">
                  <c:v>2403.479591509611</c:v>
                </c:pt>
                <c:pt idx="99">
                  <c:v>2403.479591509611</c:v>
                </c:pt>
              </c:numCache>
            </c:numRef>
          </c:val>
        </c:ser>
        <c:ser>
          <c:idx val="3"/>
          <c:order val="3"/>
          <c:tx>
            <c:strRef>
              <c:f>Percentiles!$A$6</c:f>
              <c:strCache>
                <c:ptCount val="1"/>
                <c:pt idx="0">
                  <c:v>Animal products sold</c:v>
                </c:pt>
              </c:strCache>
            </c:strRef>
          </c:tx>
          <c:spPr>
            <a:solidFill>
              <a:srgbClr val="FCF305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Percentiles!$F$6:$DA$6</c:f>
              <c:numCache>
                <c:formatCode>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ser>
          <c:idx val="4"/>
          <c:order val="4"/>
          <c:tx>
            <c:strRef>
              <c:f>Percentiles!$A$7</c:f>
              <c:strCache>
                <c:ptCount val="1"/>
                <c:pt idx="0">
                  <c:v>Animals sold</c:v>
                </c:pt>
              </c:strCache>
            </c:strRef>
          </c:tx>
          <c:spPr>
            <a:solidFill>
              <a:srgbClr val="FAC090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Percentiles!$F$7:$DA$7</c:f>
              <c:numCache>
                <c:formatCode>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5786.8409242296</c:v>
                </c:pt>
                <c:pt idx="37">
                  <c:v>5786.8409242296</c:v>
                </c:pt>
                <c:pt idx="38">
                  <c:v>5786.8409242296</c:v>
                </c:pt>
                <c:pt idx="39">
                  <c:v>5786.8409242296</c:v>
                </c:pt>
                <c:pt idx="40">
                  <c:v>5786.8409242296</c:v>
                </c:pt>
                <c:pt idx="41">
                  <c:v>5786.8409242296</c:v>
                </c:pt>
                <c:pt idx="42">
                  <c:v>5786.8409242296</c:v>
                </c:pt>
                <c:pt idx="43">
                  <c:v>5786.8409242296</c:v>
                </c:pt>
                <c:pt idx="44">
                  <c:v>5786.8409242296</c:v>
                </c:pt>
                <c:pt idx="45">
                  <c:v>5786.8409242296</c:v>
                </c:pt>
                <c:pt idx="46">
                  <c:v>5786.8409242296</c:v>
                </c:pt>
                <c:pt idx="47">
                  <c:v>5786.8409242296</c:v>
                </c:pt>
                <c:pt idx="48">
                  <c:v>5786.8409242296</c:v>
                </c:pt>
                <c:pt idx="49">
                  <c:v>5786.8409242296</c:v>
                </c:pt>
                <c:pt idx="50">
                  <c:v>5786.8409242296</c:v>
                </c:pt>
                <c:pt idx="51">
                  <c:v>5786.8409242296</c:v>
                </c:pt>
                <c:pt idx="52">
                  <c:v>5786.8409242296</c:v>
                </c:pt>
                <c:pt idx="53">
                  <c:v>5786.8409242296</c:v>
                </c:pt>
                <c:pt idx="54">
                  <c:v>5786.8409242296</c:v>
                </c:pt>
                <c:pt idx="55">
                  <c:v>5786.8409242296</c:v>
                </c:pt>
                <c:pt idx="56">
                  <c:v>5786.8409242296</c:v>
                </c:pt>
                <c:pt idx="57">
                  <c:v>5786.8409242296</c:v>
                </c:pt>
                <c:pt idx="58">
                  <c:v>5786.8409242296</c:v>
                </c:pt>
                <c:pt idx="59">
                  <c:v>5786.8409242296</c:v>
                </c:pt>
                <c:pt idx="60">
                  <c:v>5786.8409242296</c:v>
                </c:pt>
                <c:pt idx="61">
                  <c:v>5786.8409242296</c:v>
                </c:pt>
                <c:pt idx="62">
                  <c:v>5786.8409242296</c:v>
                </c:pt>
                <c:pt idx="63">
                  <c:v>5786.8409242296</c:v>
                </c:pt>
                <c:pt idx="64">
                  <c:v>5786.8409242296</c:v>
                </c:pt>
                <c:pt idx="65">
                  <c:v>5786.8409242296</c:v>
                </c:pt>
                <c:pt idx="66">
                  <c:v>5786.8409242296</c:v>
                </c:pt>
                <c:pt idx="67">
                  <c:v>5786.8409242296</c:v>
                </c:pt>
                <c:pt idx="68">
                  <c:v>5786.8409242296</c:v>
                </c:pt>
                <c:pt idx="69">
                  <c:v>5786.8409242296</c:v>
                </c:pt>
                <c:pt idx="70">
                  <c:v>17821.95403055013</c:v>
                </c:pt>
                <c:pt idx="71">
                  <c:v>17821.95403055013</c:v>
                </c:pt>
                <c:pt idx="72">
                  <c:v>17821.95403055013</c:v>
                </c:pt>
                <c:pt idx="73">
                  <c:v>17821.95403055013</c:v>
                </c:pt>
                <c:pt idx="74">
                  <c:v>17821.95403055013</c:v>
                </c:pt>
                <c:pt idx="75">
                  <c:v>17821.95403055013</c:v>
                </c:pt>
                <c:pt idx="76">
                  <c:v>17821.95403055013</c:v>
                </c:pt>
                <c:pt idx="77">
                  <c:v>17821.95403055013</c:v>
                </c:pt>
                <c:pt idx="78">
                  <c:v>17821.95403055013</c:v>
                </c:pt>
                <c:pt idx="79">
                  <c:v>17821.95403055013</c:v>
                </c:pt>
                <c:pt idx="80">
                  <c:v>17821.95403055013</c:v>
                </c:pt>
                <c:pt idx="81">
                  <c:v>17821.95403055013</c:v>
                </c:pt>
                <c:pt idx="82">
                  <c:v>17821.95403055013</c:v>
                </c:pt>
                <c:pt idx="83">
                  <c:v>17821.95403055013</c:v>
                </c:pt>
                <c:pt idx="84">
                  <c:v>17821.95403055013</c:v>
                </c:pt>
                <c:pt idx="85">
                  <c:v>17821.95403055013</c:v>
                </c:pt>
                <c:pt idx="86">
                  <c:v>17821.95403055013</c:v>
                </c:pt>
                <c:pt idx="87">
                  <c:v>17821.95403055013</c:v>
                </c:pt>
                <c:pt idx="88">
                  <c:v>17821.95403055013</c:v>
                </c:pt>
                <c:pt idx="89">
                  <c:v>17821.95403055013</c:v>
                </c:pt>
                <c:pt idx="90">
                  <c:v>31091.65256982186</c:v>
                </c:pt>
                <c:pt idx="91">
                  <c:v>31091.65256982186</c:v>
                </c:pt>
                <c:pt idx="92">
                  <c:v>31091.65256982186</c:v>
                </c:pt>
                <c:pt idx="93">
                  <c:v>31091.65256982186</c:v>
                </c:pt>
                <c:pt idx="94">
                  <c:v>31091.65256982186</c:v>
                </c:pt>
                <c:pt idx="95">
                  <c:v>31091.65256982186</c:v>
                </c:pt>
                <c:pt idx="96">
                  <c:v>31091.65256982186</c:v>
                </c:pt>
                <c:pt idx="97">
                  <c:v>31091.65256982186</c:v>
                </c:pt>
                <c:pt idx="98">
                  <c:v>31091.65256982186</c:v>
                </c:pt>
                <c:pt idx="99">
                  <c:v>31091.65256982186</c:v>
                </c:pt>
              </c:numCache>
            </c:numRef>
          </c:val>
        </c:ser>
        <c:ser>
          <c:idx val="5"/>
          <c:order val="5"/>
          <c:tx>
            <c:strRef>
              <c:f>Percentiles!$A$8</c:f>
              <c:strCache>
                <c:ptCount val="1"/>
                <c:pt idx="0">
                  <c:v>Wild foods consumed and sold</c:v>
                </c:pt>
              </c:strCache>
            </c:strRef>
          </c:tx>
          <c:spPr>
            <a:solidFill>
              <a:srgbClr val="B3A2C7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Percentiles!$F$8:$DA$8</c:f>
              <c:numCache>
                <c:formatCode>0</c:formatCode>
                <c:ptCount val="100"/>
                <c:pt idx="0">
                  <c:v>657.7350047472464</c:v>
                </c:pt>
                <c:pt idx="1">
                  <c:v>657.7350047472464</c:v>
                </c:pt>
                <c:pt idx="2">
                  <c:v>657.7350047472464</c:v>
                </c:pt>
                <c:pt idx="3">
                  <c:v>657.7350047472464</c:v>
                </c:pt>
                <c:pt idx="4">
                  <c:v>657.7350047472464</c:v>
                </c:pt>
                <c:pt idx="5">
                  <c:v>657.7350047472464</c:v>
                </c:pt>
                <c:pt idx="6">
                  <c:v>657.7350047472464</c:v>
                </c:pt>
                <c:pt idx="7">
                  <c:v>657.7350047472464</c:v>
                </c:pt>
                <c:pt idx="8">
                  <c:v>657.7350047472464</c:v>
                </c:pt>
                <c:pt idx="9">
                  <c:v>657.7350047472464</c:v>
                </c:pt>
                <c:pt idx="10">
                  <c:v>657.7350047472464</c:v>
                </c:pt>
                <c:pt idx="11">
                  <c:v>657.7350047472464</c:v>
                </c:pt>
                <c:pt idx="12">
                  <c:v>657.7350047472464</c:v>
                </c:pt>
                <c:pt idx="13">
                  <c:v>657.7350047472464</c:v>
                </c:pt>
                <c:pt idx="14">
                  <c:v>657.7350047472464</c:v>
                </c:pt>
                <c:pt idx="15">
                  <c:v>657.7350047472464</c:v>
                </c:pt>
                <c:pt idx="16">
                  <c:v>657.7350047472464</c:v>
                </c:pt>
                <c:pt idx="17">
                  <c:v>657.7350047472464</c:v>
                </c:pt>
                <c:pt idx="18">
                  <c:v>657.7350047472464</c:v>
                </c:pt>
                <c:pt idx="19">
                  <c:v>657.7350047472464</c:v>
                </c:pt>
                <c:pt idx="20">
                  <c:v>657.7350047472464</c:v>
                </c:pt>
                <c:pt idx="21">
                  <c:v>657.7350047472464</c:v>
                </c:pt>
                <c:pt idx="22">
                  <c:v>657.7350047472464</c:v>
                </c:pt>
                <c:pt idx="23">
                  <c:v>657.7350047472464</c:v>
                </c:pt>
                <c:pt idx="24">
                  <c:v>657.7350047472464</c:v>
                </c:pt>
                <c:pt idx="25">
                  <c:v>657.7350047472464</c:v>
                </c:pt>
                <c:pt idx="26">
                  <c:v>657.7350047472464</c:v>
                </c:pt>
                <c:pt idx="27">
                  <c:v>657.7350047472464</c:v>
                </c:pt>
                <c:pt idx="28">
                  <c:v>657.7350047472464</c:v>
                </c:pt>
                <c:pt idx="29">
                  <c:v>657.7350047472464</c:v>
                </c:pt>
                <c:pt idx="30">
                  <c:v>657.7350047472464</c:v>
                </c:pt>
                <c:pt idx="31">
                  <c:v>657.7350047472464</c:v>
                </c:pt>
                <c:pt idx="32">
                  <c:v>657.7350047472464</c:v>
                </c:pt>
                <c:pt idx="33">
                  <c:v>657.7350047472464</c:v>
                </c:pt>
                <c:pt idx="34">
                  <c:v>657.7350047472464</c:v>
                </c:pt>
                <c:pt idx="35">
                  <c:v>657.7350047472464</c:v>
                </c:pt>
                <c:pt idx="36">
                  <c:v>1143.67355303066</c:v>
                </c:pt>
                <c:pt idx="37">
                  <c:v>1143.67355303066</c:v>
                </c:pt>
                <c:pt idx="38">
                  <c:v>1143.67355303066</c:v>
                </c:pt>
                <c:pt idx="39">
                  <c:v>1143.67355303066</c:v>
                </c:pt>
                <c:pt idx="40">
                  <c:v>1143.67355303066</c:v>
                </c:pt>
                <c:pt idx="41">
                  <c:v>1143.67355303066</c:v>
                </c:pt>
                <c:pt idx="42">
                  <c:v>1143.67355303066</c:v>
                </c:pt>
                <c:pt idx="43">
                  <c:v>1143.67355303066</c:v>
                </c:pt>
                <c:pt idx="44">
                  <c:v>1143.67355303066</c:v>
                </c:pt>
                <c:pt idx="45">
                  <c:v>1143.67355303066</c:v>
                </c:pt>
                <c:pt idx="46">
                  <c:v>1143.67355303066</c:v>
                </c:pt>
                <c:pt idx="47">
                  <c:v>1143.67355303066</c:v>
                </c:pt>
                <c:pt idx="48">
                  <c:v>1143.67355303066</c:v>
                </c:pt>
                <c:pt idx="49">
                  <c:v>1143.67355303066</c:v>
                </c:pt>
                <c:pt idx="50">
                  <c:v>1143.67355303066</c:v>
                </c:pt>
                <c:pt idx="51">
                  <c:v>1143.67355303066</c:v>
                </c:pt>
                <c:pt idx="52">
                  <c:v>1143.67355303066</c:v>
                </c:pt>
                <c:pt idx="53">
                  <c:v>1143.67355303066</c:v>
                </c:pt>
                <c:pt idx="54">
                  <c:v>1143.67355303066</c:v>
                </c:pt>
                <c:pt idx="55">
                  <c:v>1143.67355303066</c:v>
                </c:pt>
                <c:pt idx="56">
                  <c:v>1143.67355303066</c:v>
                </c:pt>
                <c:pt idx="57">
                  <c:v>1143.67355303066</c:v>
                </c:pt>
                <c:pt idx="58">
                  <c:v>1143.67355303066</c:v>
                </c:pt>
                <c:pt idx="59">
                  <c:v>1143.67355303066</c:v>
                </c:pt>
                <c:pt idx="60">
                  <c:v>1143.67355303066</c:v>
                </c:pt>
                <c:pt idx="61">
                  <c:v>1143.67355303066</c:v>
                </c:pt>
                <c:pt idx="62">
                  <c:v>1143.67355303066</c:v>
                </c:pt>
                <c:pt idx="63">
                  <c:v>1143.67355303066</c:v>
                </c:pt>
                <c:pt idx="64">
                  <c:v>1143.67355303066</c:v>
                </c:pt>
                <c:pt idx="65">
                  <c:v>1143.67355303066</c:v>
                </c:pt>
                <c:pt idx="66">
                  <c:v>1143.67355303066</c:v>
                </c:pt>
                <c:pt idx="67">
                  <c:v>1143.67355303066</c:v>
                </c:pt>
                <c:pt idx="68">
                  <c:v>1143.67355303066</c:v>
                </c:pt>
                <c:pt idx="69">
                  <c:v>1143.67355303066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ser>
          <c:idx val="6"/>
          <c:order val="6"/>
          <c:tx>
            <c:strRef>
              <c:f>Percentiles!$A$9</c:f>
              <c:strCache>
                <c:ptCount val="1"/>
                <c:pt idx="0">
                  <c:v>Labour - casual</c:v>
                </c:pt>
              </c:strCache>
            </c:strRef>
          </c:tx>
          <c:spPr>
            <a:solidFill>
              <a:srgbClr val="D99694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Percentiles!$F$9:$DA$9</c:f>
              <c:numCache>
                <c:formatCode>0</c:formatCode>
                <c:ptCount val="100"/>
                <c:pt idx="0">
                  <c:v>8001.6947213181</c:v>
                </c:pt>
                <c:pt idx="1">
                  <c:v>8001.6947213181</c:v>
                </c:pt>
                <c:pt idx="2">
                  <c:v>8001.6947213181</c:v>
                </c:pt>
                <c:pt idx="3">
                  <c:v>8001.6947213181</c:v>
                </c:pt>
                <c:pt idx="4">
                  <c:v>8001.6947213181</c:v>
                </c:pt>
                <c:pt idx="5">
                  <c:v>8001.6947213181</c:v>
                </c:pt>
                <c:pt idx="6">
                  <c:v>8001.6947213181</c:v>
                </c:pt>
                <c:pt idx="7">
                  <c:v>8001.6947213181</c:v>
                </c:pt>
                <c:pt idx="8">
                  <c:v>8001.6947213181</c:v>
                </c:pt>
                <c:pt idx="9">
                  <c:v>8001.6947213181</c:v>
                </c:pt>
                <c:pt idx="10">
                  <c:v>8001.6947213181</c:v>
                </c:pt>
                <c:pt idx="11">
                  <c:v>8001.6947213181</c:v>
                </c:pt>
                <c:pt idx="12">
                  <c:v>8001.6947213181</c:v>
                </c:pt>
                <c:pt idx="13">
                  <c:v>8001.6947213181</c:v>
                </c:pt>
                <c:pt idx="14">
                  <c:v>8001.6947213181</c:v>
                </c:pt>
                <c:pt idx="15">
                  <c:v>8001.6947213181</c:v>
                </c:pt>
                <c:pt idx="16">
                  <c:v>8001.6947213181</c:v>
                </c:pt>
                <c:pt idx="17">
                  <c:v>8001.6947213181</c:v>
                </c:pt>
                <c:pt idx="18">
                  <c:v>8001.6947213181</c:v>
                </c:pt>
                <c:pt idx="19">
                  <c:v>8001.6947213181</c:v>
                </c:pt>
                <c:pt idx="20">
                  <c:v>8001.6947213181</c:v>
                </c:pt>
                <c:pt idx="21">
                  <c:v>8001.6947213181</c:v>
                </c:pt>
                <c:pt idx="22">
                  <c:v>8001.6947213181</c:v>
                </c:pt>
                <c:pt idx="23">
                  <c:v>8001.6947213181</c:v>
                </c:pt>
                <c:pt idx="24">
                  <c:v>8001.6947213181</c:v>
                </c:pt>
                <c:pt idx="25">
                  <c:v>8001.6947213181</c:v>
                </c:pt>
                <c:pt idx="26">
                  <c:v>8001.6947213181</c:v>
                </c:pt>
                <c:pt idx="27">
                  <c:v>8001.6947213181</c:v>
                </c:pt>
                <c:pt idx="28">
                  <c:v>8001.6947213181</c:v>
                </c:pt>
                <c:pt idx="29">
                  <c:v>8001.6947213181</c:v>
                </c:pt>
                <c:pt idx="30">
                  <c:v>8001.6947213181</c:v>
                </c:pt>
                <c:pt idx="31">
                  <c:v>8001.6947213181</c:v>
                </c:pt>
                <c:pt idx="32">
                  <c:v>8001.6947213181</c:v>
                </c:pt>
                <c:pt idx="33">
                  <c:v>8001.6947213181</c:v>
                </c:pt>
                <c:pt idx="34">
                  <c:v>8001.6947213181</c:v>
                </c:pt>
                <c:pt idx="35">
                  <c:v>8001.6947213181</c:v>
                </c:pt>
                <c:pt idx="36">
                  <c:v>14295.53630667166</c:v>
                </c:pt>
                <c:pt idx="37">
                  <c:v>14295.53630667166</c:v>
                </c:pt>
                <c:pt idx="38">
                  <c:v>14295.53630667166</c:v>
                </c:pt>
                <c:pt idx="39">
                  <c:v>14295.53630667166</c:v>
                </c:pt>
                <c:pt idx="40">
                  <c:v>14295.53630667166</c:v>
                </c:pt>
                <c:pt idx="41">
                  <c:v>14295.53630667166</c:v>
                </c:pt>
                <c:pt idx="42">
                  <c:v>14295.53630667166</c:v>
                </c:pt>
                <c:pt idx="43">
                  <c:v>14295.53630667166</c:v>
                </c:pt>
                <c:pt idx="44">
                  <c:v>14295.53630667166</c:v>
                </c:pt>
                <c:pt idx="45">
                  <c:v>14295.53630667166</c:v>
                </c:pt>
                <c:pt idx="46">
                  <c:v>14295.53630667166</c:v>
                </c:pt>
                <c:pt idx="47">
                  <c:v>14295.53630667166</c:v>
                </c:pt>
                <c:pt idx="48">
                  <c:v>14295.53630667166</c:v>
                </c:pt>
                <c:pt idx="49">
                  <c:v>14295.53630667166</c:v>
                </c:pt>
                <c:pt idx="50">
                  <c:v>14295.53630667166</c:v>
                </c:pt>
                <c:pt idx="51">
                  <c:v>14295.53630667166</c:v>
                </c:pt>
                <c:pt idx="52">
                  <c:v>14295.53630667166</c:v>
                </c:pt>
                <c:pt idx="53">
                  <c:v>14295.53630667166</c:v>
                </c:pt>
                <c:pt idx="54">
                  <c:v>14295.53630667166</c:v>
                </c:pt>
                <c:pt idx="55">
                  <c:v>14295.53630667166</c:v>
                </c:pt>
                <c:pt idx="56">
                  <c:v>14295.53630667166</c:v>
                </c:pt>
                <c:pt idx="57">
                  <c:v>14295.53630667166</c:v>
                </c:pt>
                <c:pt idx="58">
                  <c:v>14295.53630667166</c:v>
                </c:pt>
                <c:pt idx="59">
                  <c:v>14295.53630667166</c:v>
                </c:pt>
                <c:pt idx="60">
                  <c:v>14295.53630667166</c:v>
                </c:pt>
                <c:pt idx="61">
                  <c:v>14295.53630667166</c:v>
                </c:pt>
                <c:pt idx="62">
                  <c:v>14295.53630667166</c:v>
                </c:pt>
                <c:pt idx="63">
                  <c:v>14295.53630667166</c:v>
                </c:pt>
                <c:pt idx="64">
                  <c:v>14295.53630667166</c:v>
                </c:pt>
                <c:pt idx="65">
                  <c:v>14295.53630667166</c:v>
                </c:pt>
                <c:pt idx="66">
                  <c:v>14295.53630667166</c:v>
                </c:pt>
                <c:pt idx="67">
                  <c:v>14295.53630667166</c:v>
                </c:pt>
                <c:pt idx="68">
                  <c:v>14295.53630667166</c:v>
                </c:pt>
                <c:pt idx="69">
                  <c:v>14295.53630667166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ser>
          <c:idx val="7"/>
          <c:order val="7"/>
          <c:tx>
            <c:strRef>
              <c:f>Percentiles!$A$10</c:f>
              <c:strCache>
                <c:ptCount val="1"/>
                <c:pt idx="0">
                  <c:v>Labour - formal emp</c:v>
                </c:pt>
              </c:strCache>
            </c:strRef>
          </c:tx>
          <c:spPr>
            <a:solidFill>
              <a:srgbClr val="C0504D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Percentiles!$F$10:$DA$10</c:f>
              <c:numCache>
                <c:formatCode>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12958.36128755769</c:v>
                </c:pt>
                <c:pt idx="37">
                  <c:v>12958.36128755769</c:v>
                </c:pt>
                <c:pt idx="38">
                  <c:v>12958.36128755769</c:v>
                </c:pt>
                <c:pt idx="39">
                  <c:v>12958.36128755769</c:v>
                </c:pt>
                <c:pt idx="40">
                  <c:v>12958.36128755769</c:v>
                </c:pt>
                <c:pt idx="41">
                  <c:v>12958.36128755769</c:v>
                </c:pt>
                <c:pt idx="42">
                  <c:v>12958.36128755769</c:v>
                </c:pt>
                <c:pt idx="43">
                  <c:v>12958.36128755769</c:v>
                </c:pt>
                <c:pt idx="44">
                  <c:v>12958.36128755769</c:v>
                </c:pt>
                <c:pt idx="45">
                  <c:v>12958.36128755769</c:v>
                </c:pt>
                <c:pt idx="46">
                  <c:v>12958.36128755769</c:v>
                </c:pt>
                <c:pt idx="47">
                  <c:v>12958.36128755769</c:v>
                </c:pt>
                <c:pt idx="48">
                  <c:v>12958.36128755769</c:v>
                </c:pt>
                <c:pt idx="49">
                  <c:v>12958.36128755769</c:v>
                </c:pt>
                <c:pt idx="50">
                  <c:v>12958.36128755769</c:v>
                </c:pt>
                <c:pt idx="51">
                  <c:v>12958.36128755769</c:v>
                </c:pt>
                <c:pt idx="52">
                  <c:v>12958.36128755769</c:v>
                </c:pt>
                <c:pt idx="53">
                  <c:v>12958.36128755769</c:v>
                </c:pt>
                <c:pt idx="54">
                  <c:v>12958.36128755769</c:v>
                </c:pt>
                <c:pt idx="55">
                  <c:v>12958.36128755769</c:v>
                </c:pt>
                <c:pt idx="56">
                  <c:v>12958.36128755769</c:v>
                </c:pt>
                <c:pt idx="57">
                  <c:v>12958.36128755769</c:v>
                </c:pt>
                <c:pt idx="58">
                  <c:v>12958.36128755769</c:v>
                </c:pt>
                <c:pt idx="59">
                  <c:v>12958.36128755769</c:v>
                </c:pt>
                <c:pt idx="60">
                  <c:v>12958.36128755769</c:v>
                </c:pt>
                <c:pt idx="61">
                  <c:v>12958.36128755769</c:v>
                </c:pt>
                <c:pt idx="62">
                  <c:v>12958.36128755769</c:v>
                </c:pt>
                <c:pt idx="63">
                  <c:v>12958.36128755769</c:v>
                </c:pt>
                <c:pt idx="64">
                  <c:v>12958.36128755769</c:v>
                </c:pt>
                <c:pt idx="65">
                  <c:v>12958.36128755769</c:v>
                </c:pt>
                <c:pt idx="66">
                  <c:v>12958.36128755769</c:v>
                </c:pt>
                <c:pt idx="67">
                  <c:v>12958.36128755769</c:v>
                </c:pt>
                <c:pt idx="68">
                  <c:v>12958.36128755769</c:v>
                </c:pt>
                <c:pt idx="69">
                  <c:v>12958.36128755769</c:v>
                </c:pt>
                <c:pt idx="70">
                  <c:v>44596.9576779583</c:v>
                </c:pt>
                <c:pt idx="71">
                  <c:v>44596.9576779583</c:v>
                </c:pt>
                <c:pt idx="72">
                  <c:v>44596.9576779583</c:v>
                </c:pt>
                <c:pt idx="73">
                  <c:v>44596.9576779583</c:v>
                </c:pt>
                <c:pt idx="74">
                  <c:v>44596.9576779583</c:v>
                </c:pt>
                <c:pt idx="75">
                  <c:v>44596.9576779583</c:v>
                </c:pt>
                <c:pt idx="76">
                  <c:v>44596.9576779583</c:v>
                </c:pt>
                <c:pt idx="77">
                  <c:v>44596.9576779583</c:v>
                </c:pt>
                <c:pt idx="78">
                  <c:v>44596.9576779583</c:v>
                </c:pt>
                <c:pt idx="79">
                  <c:v>44596.9576779583</c:v>
                </c:pt>
                <c:pt idx="80">
                  <c:v>44596.9576779583</c:v>
                </c:pt>
                <c:pt idx="81">
                  <c:v>44596.9576779583</c:v>
                </c:pt>
                <c:pt idx="82">
                  <c:v>44596.9576779583</c:v>
                </c:pt>
                <c:pt idx="83">
                  <c:v>44596.9576779583</c:v>
                </c:pt>
                <c:pt idx="84">
                  <c:v>44596.9576779583</c:v>
                </c:pt>
                <c:pt idx="85">
                  <c:v>44596.9576779583</c:v>
                </c:pt>
                <c:pt idx="86">
                  <c:v>44596.9576779583</c:v>
                </c:pt>
                <c:pt idx="87">
                  <c:v>44596.9576779583</c:v>
                </c:pt>
                <c:pt idx="88">
                  <c:v>44596.9576779583</c:v>
                </c:pt>
                <c:pt idx="89">
                  <c:v>44596.9576779583</c:v>
                </c:pt>
                <c:pt idx="90">
                  <c:v>212045.9119782168</c:v>
                </c:pt>
                <c:pt idx="91">
                  <c:v>212045.9119782168</c:v>
                </c:pt>
                <c:pt idx="92">
                  <c:v>212045.9119782168</c:v>
                </c:pt>
                <c:pt idx="93">
                  <c:v>212045.9119782168</c:v>
                </c:pt>
                <c:pt idx="94">
                  <c:v>212045.9119782168</c:v>
                </c:pt>
                <c:pt idx="95">
                  <c:v>212045.9119782168</c:v>
                </c:pt>
                <c:pt idx="96">
                  <c:v>212045.9119782168</c:v>
                </c:pt>
                <c:pt idx="97">
                  <c:v>212045.9119782168</c:v>
                </c:pt>
                <c:pt idx="98">
                  <c:v>212045.9119782168</c:v>
                </c:pt>
                <c:pt idx="99">
                  <c:v>212045.9119782168</c:v>
                </c:pt>
              </c:numCache>
            </c:numRef>
          </c:val>
        </c:ser>
        <c:ser>
          <c:idx val="8"/>
          <c:order val="8"/>
          <c:tx>
            <c:strRef>
              <c:f>Percentiles!$A$11</c:f>
              <c:strCache>
                <c:ptCount val="1"/>
                <c:pt idx="0">
                  <c:v>Self - employment</c:v>
                </c:pt>
              </c:strCache>
            </c:strRef>
          </c:tx>
          <c:spPr>
            <a:solidFill>
              <a:srgbClr val="FFCCFF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Percentiles!$F$11:$DA$11</c:f>
              <c:numCache>
                <c:formatCode>0</c:formatCode>
                <c:ptCount val="100"/>
                <c:pt idx="0">
                  <c:v>1125.021366328872</c:v>
                </c:pt>
                <c:pt idx="1">
                  <c:v>1125.021366328872</c:v>
                </c:pt>
                <c:pt idx="2">
                  <c:v>1125.021366328872</c:v>
                </c:pt>
                <c:pt idx="3">
                  <c:v>1125.021366328872</c:v>
                </c:pt>
                <c:pt idx="4">
                  <c:v>1125.021366328872</c:v>
                </c:pt>
                <c:pt idx="5">
                  <c:v>1125.021366328872</c:v>
                </c:pt>
                <c:pt idx="6">
                  <c:v>1125.021366328872</c:v>
                </c:pt>
                <c:pt idx="7">
                  <c:v>1125.021366328872</c:v>
                </c:pt>
                <c:pt idx="8">
                  <c:v>1125.021366328872</c:v>
                </c:pt>
                <c:pt idx="9">
                  <c:v>1125.021366328872</c:v>
                </c:pt>
                <c:pt idx="10">
                  <c:v>1125.021366328872</c:v>
                </c:pt>
                <c:pt idx="11">
                  <c:v>1125.021366328872</c:v>
                </c:pt>
                <c:pt idx="12">
                  <c:v>1125.021366328872</c:v>
                </c:pt>
                <c:pt idx="13">
                  <c:v>1125.021366328872</c:v>
                </c:pt>
                <c:pt idx="14">
                  <c:v>1125.021366328872</c:v>
                </c:pt>
                <c:pt idx="15">
                  <c:v>1125.021366328872</c:v>
                </c:pt>
                <c:pt idx="16">
                  <c:v>1125.021366328872</c:v>
                </c:pt>
                <c:pt idx="17">
                  <c:v>1125.021366328872</c:v>
                </c:pt>
                <c:pt idx="18">
                  <c:v>1125.021366328872</c:v>
                </c:pt>
                <c:pt idx="19">
                  <c:v>1125.021366328872</c:v>
                </c:pt>
                <c:pt idx="20">
                  <c:v>1125.021366328872</c:v>
                </c:pt>
                <c:pt idx="21">
                  <c:v>1125.021366328872</c:v>
                </c:pt>
                <c:pt idx="22">
                  <c:v>1125.021366328872</c:v>
                </c:pt>
                <c:pt idx="23">
                  <c:v>1125.021366328872</c:v>
                </c:pt>
                <c:pt idx="24">
                  <c:v>1125.021366328872</c:v>
                </c:pt>
                <c:pt idx="25">
                  <c:v>1125.021366328872</c:v>
                </c:pt>
                <c:pt idx="26">
                  <c:v>1125.021366328872</c:v>
                </c:pt>
                <c:pt idx="27">
                  <c:v>1125.021366328872</c:v>
                </c:pt>
                <c:pt idx="28">
                  <c:v>1125.021366328872</c:v>
                </c:pt>
                <c:pt idx="29">
                  <c:v>1125.021366328872</c:v>
                </c:pt>
                <c:pt idx="30">
                  <c:v>1125.021366328872</c:v>
                </c:pt>
                <c:pt idx="31">
                  <c:v>1125.021366328872</c:v>
                </c:pt>
                <c:pt idx="32">
                  <c:v>1125.021366328872</c:v>
                </c:pt>
                <c:pt idx="33">
                  <c:v>1125.021366328872</c:v>
                </c:pt>
                <c:pt idx="34">
                  <c:v>1125.021366328872</c:v>
                </c:pt>
                <c:pt idx="35">
                  <c:v>1125.021366328872</c:v>
                </c:pt>
                <c:pt idx="36">
                  <c:v>6238.66560472948</c:v>
                </c:pt>
                <c:pt idx="37">
                  <c:v>6238.66560472948</c:v>
                </c:pt>
                <c:pt idx="38">
                  <c:v>6238.66560472948</c:v>
                </c:pt>
                <c:pt idx="39">
                  <c:v>6238.66560472948</c:v>
                </c:pt>
                <c:pt idx="40">
                  <c:v>6238.66560472948</c:v>
                </c:pt>
                <c:pt idx="41">
                  <c:v>6238.66560472948</c:v>
                </c:pt>
                <c:pt idx="42">
                  <c:v>6238.66560472948</c:v>
                </c:pt>
                <c:pt idx="43">
                  <c:v>6238.66560472948</c:v>
                </c:pt>
                <c:pt idx="44">
                  <c:v>6238.66560472948</c:v>
                </c:pt>
                <c:pt idx="45">
                  <c:v>6238.66560472948</c:v>
                </c:pt>
                <c:pt idx="46">
                  <c:v>6238.66560472948</c:v>
                </c:pt>
                <c:pt idx="47">
                  <c:v>6238.66560472948</c:v>
                </c:pt>
                <c:pt idx="48">
                  <c:v>6238.66560472948</c:v>
                </c:pt>
                <c:pt idx="49">
                  <c:v>6238.66560472948</c:v>
                </c:pt>
                <c:pt idx="50">
                  <c:v>6238.66560472948</c:v>
                </c:pt>
                <c:pt idx="51">
                  <c:v>6238.66560472948</c:v>
                </c:pt>
                <c:pt idx="52">
                  <c:v>6238.66560472948</c:v>
                </c:pt>
                <c:pt idx="53">
                  <c:v>6238.66560472948</c:v>
                </c:pt>
                <c:pt idx="54">
                  <c:v>6238.66560472948</c:v>
                </c:pt>
                <c:pt idx="55">
                  <c:v>6238.66560472948</c:v>
                </c:pt>
                <c:pt idx="56">
                  <c:v>6238.66560472948</c:v>
                </c:pt>
                <c:pt idx="57">
                  <c:v>6238.66560472948</c:v>
                </c:pt>
                <c:pt idx="58">
                  <c:v>6238.66560472948</c:v>
                </c:pt>
                <c:pt idx="59">
                  <c:v>6238.66560472948</c:v>
                </c:pt>
                <c:pt idx="60">
                  <c:v>6238.66560472948</c:v>
                </c:pt>
                <c:pt idx="61">
                  <c:v>6238.66560472948</c:v>
                </c:pt>
                <c:pt idx="62">
                  <c:v>6238.66560472948</c:v>
                </c:pt>
                <c:pt idx="63">
                  <c:v>6238.66560472948</c:v>
                </c:pt>
                <c:pt idx="64">
                  <c:v>6238.66560472948</c:v>
                </c:pt>
                <c:pt idx="65">
                  <c:v>6238.66560472948</c:v>
                </c:pt>
                <c:pt idx="66">
                  <c:v>6238.66560472948</c:v>
                </c:pt>
                <c:pt idx="67">
                  <c:v>6238.66560472948</c:v>
                </c:pt>
                <c:pt idx="68">
                  <c:v>6238.66560472948</c:v>
                </c:pt>
                <c:pt idx="69">
                  <c:v>6238.66560472948</c:v>
                </c:pt>
                <c:pt idx="70">
                  <c:v>673.1616253276724</c:v>
                </c:pt>
                <c:pt idx="71">
                  <c:v>673.1616253276724</c:v>
                </c:pt>
                <c:pt idx="72">
                  <c:v>673.1616253276724</c:v>
                </c:pt>
                <c:pt idx="73">
                  <c:v>673.1616253276724</c:v>
                </c:pt>
                <c:pt idx="74">
                  <c:v>673.1616253276724</c:v>
                </c:pt>
                <c:pt idx="75">
                  <c:v>673.1616253276724</c:v>
                </c:pt>
                <c:pt idx="76">
                  <c:v>673.1616253276724</c:v>
                </c:pt>
                <c:pt idx="77">
                  <c:v>673.1616253276724</c:v>
                </c:pt>
                <c:pt idx="78">
                  <c:v>673.1616253276724</c:v>
                </c:pt>
                <c:pt idx="79">
                  <c:v>673.1616253276724</c:v>
                </c:pt>
                <c:pt idx="80">
                  <c:v>673.1616253276724</c:v>
                </c:pt>
                <c:pt idx="81">
                  <c:v>673.1616253276724</c:v>
                </c:pt>
                <c:pt idx="82">
                  <c:v>673.1616253276724</c:v>
                </c:pt>
                <c:pt idx="83">
                  <c:v>673.1616253276724</c:v>
                </c:pt>
                <c:pt idx="84">
                  <c:v>673.1616253276724</c:v>
                </c:pt>
                <c:pt idx="85">
                  <c:v>673.1616253276724</c:v>
                </c:pt>
                <c:pt idx="86">
                  <c:v>673.1616253276724</c:v>
                </c:pt>
                <c:pt idx="87">
                  <c:v>673.1616253276724</c:v>
                </c:pt>
                <c:pt idx="88">
                  <c:v>673.1616253276724</c:v>
                </c:pt>
                <c:pt idx="89">
                  <c:v>673.1616253276724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ser>
          <c:idx val="9"/>
          <c:order val="9"/>
          <c:tx>
            <c:strRef>
              <c:f>Percentiles!$A$12</c:f>
              <c:strCache>
                <c:ptCount val="1"/>
                <c:pt idx="0">
                  <c:v>Small business/petty trading</c:v>
                </c:pt>
              </c:strCache>
            </c:strRef>
          </c:tx>
          <c:spPr>
            <a:solidFill>
              <a:srgbClr val="CC66FF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Percentiles!$F$12:$DA$12</c:f>
              <c:numCache>
                <c:formatCode>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1413.639413188112</c:v>
                </c:pt>
                <c:pt idx="37">
                  <c:v>1413.639413188112</c:v>
                </c:pt>
                <c:pt idx="38">
                  <c:v>1413.639413188112</c:v>
                </c:pt>
                <c:pt idx="39">
                  <c:v>1413.639413188112</c:v>
                </c:pt>
                <c:pt idx="40">
                  <c:v>1413.639413188112</c:v>
                </c:pt>
                <c:pt idx="41">
                  <c:v>1413.639413188112</c:v>
                </c:pt>
                <c:pt idx="42">
                  <c:v>1413.639413188112</c:v>
                </c:pt>
                <c:pt idx="43">
                  <c:v>1413.639413188112</c:v>
                </c:pt>
                <c:pt idx="44">
                  <c:v>1413.639413188112</c:v>
                </c:pt>
                <c:pt idx="45">
                  <c:v>1413.639413188112</c:v>
                </c:pt>
                <c:pt idx="46">
                  <c:v>1413.639413188112</c:v>
                </c:pt>
                <c:pt idx="47">
                  <c:v>1413.639413188112</c:v>
                </c:pt>
                <c:pt idx="48">
                  <c:v>1413.639413188112</c:v>
                </c:pt>
                <c:pt idx="49">
                  <c:v>1413.639413188112</c:v>
                </c:pt>
                <c:pt idx="50">
                  <c:v>1413.639413188112</c:v>
                </c:pt>
                <c:pt idx="51">
                  <c:v>1413.639413188112</c:v>
                </c:pt>
                <c:pt idx="52">
                  <c:v>1413.639413188112</c:v>
                </c:pt>
                <c:pt idx="53">
                  <c:v>1413.639413188112</c:v>
                </c:pt>
                <c:pt idx="54">
                  <c:v>1413.639413188112</c:v>
                </c:pt>
                <c:pt idx="55">
                  <c:v>1413.639413188112</c:v>
                </c:pt>
                <c:pt idx="56">
                  <c:v>1413.639413188112</c:v>
                </c:pt>
                <c:pt idx="57">
                  <c:v>1413.639413188112</c:v>
                </c:pt>
                <c:pt idx="58">
                  <c:v>1413.639413188112</c:v>
                </c:pt>
                <c:pt idx="59">
                  <c:v>1413.639413188112</c:v>
                </c:pt>
                <c:pt idx="60">
                  <c:v>1413.639413188112</c:v>
                </c:pt>
                <c:pt idx="61">
                  <c:v>1413.639413188112</c:v>
                </c:pt>
                <c:pt idx="62">
                  <c:v>1413.639413188112</c:v>
                </c:pt>
                <c:pt idx="63">
                  <c:v>1413.639413188112</c:v>
                </c:pt>
                <c:pt idx="64">
                  <c:v>1413.639413188112</c:v>
                </c:pt>
                <c:pt idx="65">
                  <c:v>1413.639413188112</c:v>
                </c:pt>
                <c:pt idx="66">
                  <c:v>1413.639413188112</c:v>
                </c:pt>
                <c:pt idx="67">
                  <c:v>1413.639413188112</c:v>
                </c:pt>
                <c:pt idx="68">
                  <c:v>1413.639413188112</c:v>
                </c:pt>
                <c:pt idx="69">
                  <c:v>1413.639413188112</c:v>
                </c:pt>
                <c:pt idx="70">
                  <c:v>60360.15907104795</c:v>
                </c:pt>
                <c:pt idx="71">
                  <c:v>60360.15907104795</c:v>
                </c:pt>
                <c:pt idx="72">
                  <c:v>60360.15907104795</c:v>
                </c:pt>
                <c:pt idx="73">
                  <c:v>60360.15907104795</c:v>
                </c:pt>
                <c:pt idx="74">
                  <c:v>60360.15907104795</c:v>
                </c:pt>
                <c:pt idx="75">
                  <c:v>60360.15907104795</c:v>
                </c:pt>
                <c:pt idx="76">
                  <c:v>60360.15907104795</c:v>
                </c:pt>
                <c:pt idx="77">
                  <c:v>60360.15907104795</c:v>
                </c:pt>
                <c:pt idx="78">
                  <c:v>60360.15907104795</c:v>
                </c:pt>
                <c:pt idx="79">
                  <c:v>60360.15907104795</c:v>
                </c:pt>
                <c:pt idx="80">
                  <c:v>60360.15907104795</c:v>
                </c:pt>
                <c:pt idx="81">
                  <c:v>60360.15907104795</c:v>
                </c:pt>
                <c:pt idx="82">
                  <c:v>60360.15907104795</c:v>
                </c:pt>
                <c:pt idx="83">
                  <c:v>60360.15907104795</c:v>
                </c:pt>
                <c:pt idx="84">
                  <c:v>60360.15907104795</c:v>
                </c:pt>
                <c:pt idx="85">
                  <c:v>60360.15907104795</c:v>
                </c:pt>
                <c:pt idx="86">
                  <c:v>60360.15907104795</c:v>
                </c:pt>
                <c:pt idx="87">
                  <c:v>60360.15907104795</c:v>
                </c:pt>
                <c:pt idx="88">
                  <c:v>60360.15907104795</c:v>
                </c:pt>
                <c:pt idx="89">
                  <c:v>60360.15907104795</c:v>
                </c:pt>
                <c:pt idx="90">
                  <c:v>56619.62430631054</c:v>
                </c:pt>
                <c:pt idx="91">
                  <c:v>56619.62430631054</c:v>
                </c:pt>
                <c:pt idx="92">
                  <c:v>56619.62430631054</c:v>
                </c:pt>
                <c:pt idx="93">
                  <c:v>56619.62430631054</c:v>
                </c:pt>
                <c:pt idx="94">
                  <c:v>56619.62430631054</c:v>
                </c:pt>
                <c:pt idx="95">
                  <c:v>56619.62430631054</c:v>
                </c:pt>
                <c:pt idx="96">
                  <c:v>56619.62430631054</c:v>
                </c:pt>
                <c:pt idx="97">
                  <c:v>56619.62430631054</c:v>
                </c:pt>
                <c:pt idx="98">
                  <c:v>56619.62430631054</c:v>
                </c:pt>
                <c:pt idx="99">
                  <c:v>56619.62430631054</c:v>
                </c:pt>
              </c:numCache>
            </c:numRef>
          </c:val>
        </c:ser>
        <c:ser>
          <c:idx val="10"/>
          <c:order val="10"/>
          <c:tx>
            <c:strRef>
              <c:f>Percentiles!$A$13</c:f>
              <c:strCache>
                <c:ptCount val="1"/>
                <c:pt idx="0">
                  <c:v>Food transfer - official</c:v>
                </c:pt>
              </c:strCache>
            </c:strRef>
          </c:tx>
          <c:spPr>
            <a:solidFill>
              <a:srgbClr val="558ED5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Percentiles!$F$13:$DA$13</c:f>
              <c:numCache>
                <c:formatCode>0</c:formatCode>
                <c:ptCount val="100"/>
                <c:pt idx="0">
                  <c:v>1674.939960235139</c:v>
                </c:pt>
                <c:pt idx="1">
                  <c:v>1674.939960235139</c:v>
                </c:pt>
                <c:pt idx="2">
                  <c:v>1674.939960235139</c:v>
                </c:pt>
                <c:pt idx="3">
                  <c:v>1674.939960235139</c:v>
                </c:pt>
                <c:pt idx="4">
                  <c:v>1674.939960235139</c:v>
                </c:pt>
                <c:pt idx="5">
                  <c:v>1674.939960235139</c:v>
                </c:pt>
                <c:pt idx="6">
                  <c:v>1674.939960235139</c:v>
                </c:pt>
                <c:pt idx="7">
                  <c:v>1674.939960235139</c:v>
                </c:pt>
                <c:pt idx="8">
                  <c:v>1674.939960235139</c:v>
                </c:pt>
                <c:pt idx="9">
                  <c:v>1674.939960235139</c:v>
                </c:pt>
                <c:pt idx="10">
                  <c:v>1674.939960235139</c:v>
                </c:pt>
                <c:pt idx="11">
                  <c:v>1674.939960235139</c:v>
                </c:pt>
                <c:pt idx="12">
                  <c:v>1674.939960235139</c:v>
                </c:pt>
                <c:pt idx="13">
                  <c:v>1674.939960235139</c:v>
                </c:pt>
                <c:pt idx="14">
                  <c:v>1674.939960235139</c:v>
                </c:pt>
                <c:pt idx="15">
                  <c:v>1674.939960235139</c:v>
                </c:pt>
                <c:pt idx="16">
                  <c:v>1674.939960235139</c:v>
                </c:pt>
                <c:pt idx="17">
                  <c:v>1674.939960235139</c:v>
                </c:pt>
                <c:pt idx="18">
                  <c:v>1674.939960235139</c:v>
                </c:pt>
                <c:pt idx="19">
                  <c:v>1674.939960235139</c:v>
                </c:pt>
                <c:pt idx="20">
                  <c:v>1674.939960235139</c:v>
                </c:pt>
                <c:pt idx="21">
                  <c:v>1674.939960235139</c:v>
                </c:pt>
                <c:pt idx="22">
                  <c:v>1674.939960235139</c:v>
                </c:pt>
                <c:pt idx="23">
                  <c:v>1674.939960235139</c:v>
                </c:pt>
                <c:pt idx="24">
                  <c:v>1674.939960235139</c:v>
                </c:pt>
                <c:pt idx="25">
                  <c:v>1674.939960235139</c:v>
                </c:pt>
                <c:pt idx="26">
                  <c:v>1674.939960235139</c:v>
                </c:pt>
                <c:pt idx="27">
                  <c:v>1674.939960235139</c:v>
                </c:pt>
                <c:pt idx="28">
                  <c:v>1674.939960235139</c:v>
                </c:pt>
                <c:pt idx="29">
                  <c:v>1674.939960235139</c:v>
                </c:pt>
                <c:pt idx="30">
                  <c:v>1674.939960235139</c:v>
                </c:pt>
                <c:pt idx="31">
                  <c:v>1674.939960235139</c:v>
                </c:pt>
                <c:pt idx="32">
                  <c:v>1674.939960235139</c:v>
                </c:pt>
                <c:pt idx="33">
                  <c:v>1674.939960235139</c:v>
                </c:pt>
                <c:pt idx="34">
                  <c:v>1674.939960235139</c:v>
                </c:pt>
                <c:pt idx="35">
                  <c:v>1674.939960235139</c:v>
                </c:pt>
                <c:pt idx="36">
                  <c:v>1577.649333829411</c:v>
                </c:pt>
                <c:pt idx="37">
                  <c:v>1577.649333829411</c:v>
                </c:pt>
                <c:pt idx="38">
                  <c:v>1577.649333829411</c:v>
                </c:pt>
                <c:pt idx="39">
                  <c:v>1577.649333829411</c:v>
                </c:pt>
                <c:pt idx="40">
                  <c:v>1577.649333829411</c:v>
                </c:pt>
                <c:pt idx="41">
                  <c:v>1577.649333829411</c:v>
                </c:pt>
                <c:pt idx="42">
                  <c:v>1577.649333829411</c:v>
                </c:pt>
                <c:pt idx="43">
                  <c:v>1577.649333829411</c:v>
                </c:pt>
                <c:pt idx="44">
                  <c:v>1577.649333829411</c:v>
                </c:pt>
                <c:pt idx="45">
                  <c:v>1577.649333829411</c:v>
                </c:pt>
                <c:pt idx="46">
                  <c:v>1577.649333829411</c:v>
                </c:pt>
                <c:pt idx="47">
                  <c:v>1577.649333829411</c:v>
                </c:pt>
                <c:pt idx="48">
                  <c:v>1577.649333829411</c:v>
                </c:pt>
                <c:pt idx="49">
                  <c:v>1577.649333829411</c:v>
                </c:pt>
                <c:pt idx="50">
                  <c:v>1577.649333829411</c:v>
                </c:pt>
                <c:pt idx="51">
                  <c:v>1577.649333829411</c:v>
                </c:pt>
                <c:pt idx="52">
                  <c:v>1577.649333829411</c:v>
                </c:pt>
                <c:pt idx="53">
                  <c:v>1577.649333829411</c:v>
                </c:pt>
                <c:pt idx="54">
                  <c:v>1577.649333829411</c:v>
                </c:pt>
                <c:pt idx="55">
                  <c:v>1577.649333829411</c:v>
                </c:pt>
                <c:pt idx="56">
                  <c:v>1577.649333829411</c:v>
                </c:pt>
                <c:pt idx="57">
                  <c:v>1577.649333829411</c:v>
                </c:pt>
                <c:pt idx="58">
                  <c:v>1577.649333829411</c:v>
                </c:pt>
                <c:pt idx="59">
                  <c:v>1577.649333829411</c:v>
                </c:pt>
                <c:pt idx="60">
                  <c:v>1577.649333829411</c:v>
                </c:pt>
                <c:pt idx="61">
                  <c:v>1577.649333829411</c:v>
                </c:pt>
                <c:pt idx="62">
                  <c:v>1577.649333829411</c:v>
                </c:pt>
                <c:pt idx="63">
                  <c:v>1577.649333829411</c:v>
                </c:pt>
                <c:pt idx="64">
                  <c:v>1577.649333829411</c:v>
                </c:pt>
                <c:pt idx="65">
                  <c:v>1577.649333829411</c:v>
                </c:pt>
                <c:pt idx="66">
                  <c:v>1577.649333829411</c:v>
                </c:pt>
                <c:pt idx="67">
                  <c:v>1577.649333829411</c:v>
                </c:pt>
                <c:pt idx="68">
                  <c:v>1577.649333829411</c:v>
                </c:pt>
                <c:pt idx="69">
                  <c:v>1577.649333829411</c:v>
                </c:pt>
                <c:pt idx="70">
                  <c:v>667.854644534493</c:v>
                </c:pt>
                <c:pt idx="71">
                  <c:v>667.854644534493</c:v>
                </c:pt>
                <c:pt idx="72">
                  <c:v>667.854644534493</c:v>
                </c:pt>
                <c:pt idx="73">
                  <c:v>667.854644534493</c:v>
                </c:pt>
                <c:pt idx="74">
                  <c:v>667.854644534493</c:v>
                </c:pt>
                <c:pt idx="75">
                  <c:v>667.854644534493</c:v>
                </c:pt>
                <c:pt idx="76">
                  <c:v>667.854644534493</c:v>
                </c:pt>
                <c:pt idx="77">
                  <c:v>667.854644534493</c:v>
                </c:pt>
                <c:pt idx="78">
                  <c:v>667.854644534493</c:v>
                </c:pt>
                <c:pt idx="79">
                  <c:v>667.854644534493</c:v>
                </c:pt>
                <c:pt idx="80">
                  <c:v>667.854644534493</c:v>
                </c:pt>
                <c:pt idx="81">
                  <c:v>667.854644534493</c:v>
                </c:pt>
                <c:pt idx="82">
                  <c:v>667.854644534493</c:v>
                </c:pt>
                <c:pt idx="83">
                  <c:v>667.854644534493</c:v>
                </c:pt>
                <c:pt idx="84">
                  <c:v>667.854644534493</c:v>
                </c:pt>
                <c:pt idx="85">
                  <c:v>667.854644534493</c:v>
                </c:pt>
                <c:pt idx="86">
                  <c:v>667.854644534493</c:v>
                </c:pt>
                <c:pt idx="87">
                  <c:v>667.854644534493</c:v>
                </c:pt>
                <c:pt idx="88">
                  <c:v>667.854644534493</c:v>
                </c:pt>
                <c:pt idx="89">
                  <c:v>667.854644534493</c:v>
                </c:pt>
                <c:pt idx="90">
                  <c:v>667.854644534493</c:v>
                </c:pt>
                <c:pt idx="91">
                  <c:v>667.854644534493</c:v>
                </c:pt>
                <c:pt idx="92">
                  <c:v>667.854644534493</c:v>
                </c:pt>
                <c:pt idx="93">
                  <c:v>667.854644534493</c:v>
                </c:pt>
                <c:pt idx="94">
                  <c:v>667.854644534493</c:v>
                </c:pt>
                <c:pt idx="95">
                  <c:v>667.854644534493</c:v>
                </c:pt>
                <c:pt idx="96">
                  <c:v>667.854644534493</c:v>
                </c:pt>
                <c:pt idx="97">
                  <c:v>667.854644534493</c:v>
                </c:pt>
                <c:pt idx="98">
                  <c:v>667.854644534493</c:v>
                </c:pt>
                <c:pt idx="99">
                  <c:v>667.854644534493</c:v>
                </c:pt>
              </c:numCache>
            </c:numRef>
          </c:val>
        </c:ser>
        <c:ser>
          <c:idx val="13"/>
          <c:order val="11"/>
          <c:tx>
            <c:strRef>
              <c:f>Percentiles!$A$14</c:f>
              <c:strCache>
                <c:ptCount val="1"/>
                <c:pt idx="0">
                  <c:v>Cash transfer - official</c:v>
                </c:pt>
              </c:strCache>
            </c:strRef>
          </c:tx>
          <c:spPr>
            <a:solidFill>
              <a:srgbClr val="A6A6A6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Percentiles!$F$14:$DA$14</c:f>
              <c:numCache>
                <c:formatCode>0</c:formatCode>
                <c:ptCount val="100"/>
                <c:pt idx="0">
                  <c:v>31983.59172338103</c:v>
                </c:pt>
                <c:pt idx="1">
                  <c:v>31983.59172338103</c:v>
                </c:pt>
                <c:pt idx="2">
                  <c:v>31983.59172338103</c:v>
                </c:pt>
                <c:pt idx="3">
                  <c:v>31983.59172338103</c:v>
                </c:pt>
                <c:pt idx="4">
                  <c:v>31983.59172338103</c:v>
                </c:pt>
                <c:pt idx="5">
                  <c:v>31983.59172338103</c:v>
                </c:pt>
                <c:pt idx="6">
                  <c:v>31983.59172338103</c:v>
                </c:pt>
                <c:pt idx="7">
                  <c:v>31983.59172338103</c:v>
                </c:pt>
                <c:pt idx="8">
                  <c:v>31983.59172338103</c:v>
                </c:pt>
                <c:pt idx="9">
                  <c:v>31983.59172338103</c:v>
                </c:pt>
                <c:pt idx="10">
                  <c:v>31983.59172338103</c:v>
                </c:pt>
                <c:pt idx="11">
                  <c:v>31983.59172338103</c:v>
                </c:pt>
                <c:pt idx="12">
                  <c:v>31983.59172338103</c:v>
                </c:pt>
                <c:pt idx="13">
                  <c:v>31983.59172338103</c:v>
                </c:pt>
                <c:pt idx="14">
                  <c:v>31983.59172338103</c:v>
                </c:pt>
                <c:pt idx="15">
                  <c:v>31983.59172338103</c:v>
                </c:pt>
                <c:pt idx="16">
                  <c:v>31983.59172338103</c:v>
                </c:pt>
                <c:pt idx="17">
                  <c:v>31983.59172338103</c:v>
                </c:pt>
                <c:pt idx="18">
                  <c:v>31983.59172338103</c:v>
                </c:pt>
                <c:pt idx="19">
                  <c:v>31983.59172338103</c:v>
                </c:pt>
                <c:pt idx="20">
                  <c:v>31983.59172338103</c:v>
                </c:pt>
                <c:pt idx="21">
                  <c:v>31983.59172338103</c:v>
                </c:pt>
                <c:pt idx="22">
                  <c:v>31983.59172338103</c:v>
                </c:pt>
                <c:pt idx="23">
                  <c:v>31983.59172338103</c:v>
                </c:pt>
                <c:pt idx="24">
                  <c:v>31983.59172338103</c:v>
                </c:pt>
                <c:pt idx="25">
                  <c:v>31983.59172338103</c:v>
                </c:pt>
                <c:pt idx="26">
                  <c:v>31983.59172338103</c:v>
                </c:pt>
                <c:pt idx="27">
                  <c:v>31983.59172338103</c:v>
                </c:pt>
                <c:pt idx="28">
                  <c:v>31983.59172338103</c:v>
                </c:pt>
                <c:pt idx="29">
                  <c:v>31983.59172338103</c:v>
                </c:pt>
                <c:pt idx="30">
                  <c:v>31983.59172338103</c:v>
                </c:pt>
                <c:pt idx="31">
                  <c:v>31983.59172338103</c:v>
                </c:pt>
                <c:pt idx="32">
                  <c:v>31983.59172338103</c:v>
                </c:pt>
                <c:pt idx="33">
                  <c:v>31983.59172338103</c:v>
                </c:pt>
                <c:pt idx="34">
                  <c:v>31983.59172338103</c:v>
                </c:pt>
                <c:pt idx="35">
                  <c:v>31983.59172338103</c:v>
                </c:pt>
                <c:pt idx="36">
                  <c:v>31983.59172338103</c:v>
                </c:pt>
                <c:pt idx="37">
                  <c:v>31983.59172338103</c:v>
                </c:pt>
                <c:pt idx="38">
                  <c:v>31983.59172338103</c:v>
                </c:pt>
                <c:pt idx="39">
                  <c:v>31983.59172338103</c:v>
                </c:pt>
                <c:pt idx="40">
                  <c:v>31983.59172338103</c:v>
                </c:pt>
                <c:pt idx="41">
                  <c:v>31983.59172338103</c:v>
                </c:pt>
                <c:pt idx="42">
                  <c:v>31983.59172338103</c:v>
                </c:pt>
                <c:pt idx="43">
                  <c:v>31983.59172338103</c:v>
                </c:pt>
                <c:pt idx="44">
                  <c:v>31983.59172338103</c:v>
                </c:pt>
                <c:pt idx="45">
                  <c:v>31983.59172338103</c:v>
                </c:pt>
                <c:pt idx="46">
                  <c:v>31983.59172338103</c:v>
                </c:pt>
                <c:pt idx="47">
                  <c:v>31983.59172338103</c:v>
                </c:pt>
                <c:pt idx="48">
                  <c:v>31983.59172338103</c:v>
                </c:pt>
                <c:pt idx="49">
                  <c:v>31983.59172338103</c:v>
                </c:pt>
                <c:pt idx="50">
                  <c:v>31983.59172338103</c:v>
                </c:pt>
                <c:pt idx="51">
                  <c:v>31983.59172338103</c:v>
                </c:pt>
                <c:pt idx="52">
                  <c:v>31983.59172338103</c:v>
                </c:pt>
                <c:pt idx="53">
                  <c:v>31983.59172338103</c:v>
                </c:pt>
                <c:pt idx="54">
                  <c:v>31983.59172338103</c:v>
                </c:pt>
                <c:pt idx="55">
                  <c:v>31983.59172338103</c:v>
                </c:pt>
                <c:pt idx="56">
                  <c:v>31983.59172338103</c:v>
                </c:pt>
                <c:pt idx="57">
                  <c:v>31983.59172338103</c:v>
                </c:pt>
                <c:pt idx="58">
                  <c:v>31983.59172338103</c:v>
                </c:pt>
                <c:pt idx="59">
                  <c:v>31983.59172338103</c:v>
                </c:pt>
                <c:pt idx="60">
                  <c:v>31983.59172338103</c:v>
                </c:pt>
                <c:pt idx="61">
                  <c:v>31983.59172338103</c:v>
                </c:pt>
                <c:pt idx="62">
                  <c:v>31983.59172338103</c:v>
                </c:pt>
                <c:pt idx="63">
                  <c:v>31983.59172338103</c:v>
                </c:pt>
                <c:pt idx="64">
                  <c:v>31983.59172338103</c:v>
                </c:pt>
                <c:pt idx="65">
                  <c:v>31983.59172338103</c:v>
                </c:pt>
                <c:pt idx="66">
                  <c:v>31983.59172338103</c:v>
                </c:pt>
                <c:pt idx="67">
                  <c:v>31983.59172338103</c:v>
                </c:pt>
                <c:pt idx="68">
                  <c:v>31983.59172338103</c:v>
                </c:pt>
                <c:pt idx="69">
                  <c:v>31983.59172338103</c:v>
                </c:pt>
                <c:pt idx="70">
                  <c:v>13328.60018148791</c:v>
                </c:pt>
                <c:pt idx="71">
                  <c:v>13328.60018148791</c:v>
                </c:pt>
                <c:pt idx="72">
                  <c:v>13328.60018148791</c:v>
                </c:pt>
                <c:pt idx="73">
                  <c:v>13328.60018148791</c:v>
                </c:pt>
                <c:pt idx="74">
                  <c:v>13328.60018148791</c:v>
                </c:pt>
                <c:pt idx="75">
                  <c:v>13328.60018148791</c:v>
                </c:pt>
                <c:pt idx="76">
                  <c:v>13328.60018148791</c:v>
                </c:pt>
                <c:pt idx="77">
                  <c:v>13328.60018148791</c:v>
                </c:pt>
                <c:pt idx="78">
                  <c:v>13328.60018148791</c:v>
                </c:pt>
                <c:pt idx="79">
                  <c:v>13328.60018148791</c:v>
                </c:pt>
                <c:pt idx="80">
                  <c:v>13328.60018148791</c:v>
                </c:pt>
                <c:pt idx="81">
                  <c:v>13328.60018148791</c:v>
                </c:pt>
                <c:pt idx="82">
                  <c:v>13328.60018148791</c:v>
                </c:pt>
                <c:pt idx="83">
                  <c:v>13328.60018148791</c:v>
                </c:pt>
                <c:pt idx="84">
                  <c:v>13328.60018148791</c:v>
                </c:pt>
                <c:pt idx="85">
                  <c:v>13328.60018148791</c:v>
                </c:pt>
                <c:pt idx="86">
                  <c:v>13328.60018148791</c:v>
                </c:pt>
                <c:pt idx="87">
                  <c:v>13328.60018148791</c:v>
                </c:pt>
                <c:pt idx="88">
                  <c:v>13328.60018148791</c:v>
                </c:pt>
                <c:pt idx="89">
                  <c:v>13328.60018148791</c:v>
                </c:pt>
                <c:pt idx="90">
                  <c:v>13328.60018148791</c:v>
                </c:pt>
                <c:pt idx="91">
                  <c:v>13328.60018148791</c:v>
                </c:pt>
                <c:pt idx="92">
                  <c:v>13328.60018148791</c:v>
                </c:pt>
                <c:pt idx="93">
                  <c:v>13328.60018148791</c:v>
                </c:pt>
                <c:pt idx="94">
                  <c:v>13328.60018148791</c:v>
                </c:pt>
                <c:pt idx="95">
                  <c:v>13328.60018148791</c:v>
                </c:pt>
                <c:pt idx="96">
                  <c:v>13328.60018148791</c:v>
                </c:pt>
                <c:pt idx="97">
                  <c:v>13328.60018148791</c:v>
                </c:pt>
                <c:pt idx="98">
                  <c:v>13328.60018148791</c:v>
                </c:pt>
                <c:pt idx="99">
                  <c:v>13328.60018148791</c:v>
                </c:pt>
              </c:numCache>
            </c:numRef>
          </c:val>
        </c:ser>
        <c:ser>
          <c:idx val="11"/>
          <c:order val="12"/>
          <c:tx>
            <c:strRef>
              <c:f>Percentiles!$A$15</c:f>
              <c:strCache>
                <c:ptCount val="1"/>
                <c:pt idx="0">
                  <c:v>Cash transfer - gifts</c:v>
                </c:pt>
              </c:strCache>
            </c:strRef>
          </c:tx>
          <c:spPr>
            <a:solidFill>
              <a:srgbClr val="D9D9D9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Percentiles!$F$15:$DA$15</c:f>
              <c:numCache>
                <c:formatCode>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3092.336216348994</c:v>
                </c:pt>
                <c:pt idx="37">
                  <c:v>3092.336216348994</c:v>
                </c:pt>
                <c:pt idx="38">
                  <c:v>3092.336216348994</c:v>
                </c:pt>
                <c:pt idx="39">
                  <c:v>3092.336216348994</c:v>
                </c:pt>
                <c:pt idx="40">
                  <c:v>3092.336216348994</c:v>
                </c:pt>
                <c:pt idx="41">
                  <c:v>3092.336216348994</c:v>
                </c:pt>
                <c:pt idx="42">
                  <c:v>3092.336216348994</c:v>
                </c:pt>
                <c:pt idx="43">
                  <c:v>3092.336216348994</c:v>
                </c:pt>
                <c:pt idx="44">
                  <c:v>3092.336216348994</c:v>
                </c:pt>
                <c:pt idx="45">
                  <c:v>3092.336216348994</c:v>
                </c:pt>
                <c:pt idx="46">
                  <c:v>3092.336216348994</c:v>
                </c:pt>
                <c:pt idx="47">
                  <c:v>3092.336216348994</c:v>
                </c:pt>
                <c:pt idx="48">
                  <c:v>3092.336216348994</c:v>
                </c:pt>
                <c:pt idx="49">
                  <c:v>3092.336216348994</c:v>
                </c:pt>
                <c:pt idx="50">
                  <c:v>3092.336216348994</c:v>
                </c:pt>
                <c:pt idx="51">
                  <c:v>3092.336216348994</c:v>
                </c:pt>
                <c:pt idx="52">
                  <c:v>3092.336216348994</c:v>
                </c:pt>
                <c:pt idx="53">
                  <c:v>3092.336216348994</c:v>
                </c:pt>
                <c:pt idx="54">
                  <c:v>3092.336216348994</c:v>
                </c:pt>
                <c:pt idx="55">
                  <c:v>3092.336216348994</c:v>
                </c:pt>
                <c:pt idx="56">
                  <c:v>3092.336216348994</c:v>
                </c:pt>
                <c:pt idx="57">
                  <c:v>3092.336216348994</c:v>
                </c:pt>
                <c:pt idx="58">
                  <c:v>3092.336216348994</c:v>
                </c:pt>
                <c:pt idx="59">
                  <c:v>3092.336216348994</c:v>
                </c:pt>
                <c:pt idx="60">
                  <c:v>3092.336216348994</c:v>
                </c:pt>
                <c:pt idx="61">
                  <c:v>3092.336216348994</c:v>
                </c:pt>
                <c:pt idx="62">
                  <c:v>3092.336216348994</c:v>
                </c:pt>
                <c:pt idx="63">
                  <c:v>3092.336216348994</c:v>
                </c:pt>
                <c:pt idx="64">
                  <c:v>3092.336216348994</c:v>
                </c:pt>
                <c:pt idx="65">
                  <c:v>3092.336216348994</c:v>
                </c:pt>
                <c:pt idx="66">
                  <c:v>3092.336216348994</c:v>
                </c:pt>
                <c:pt idx="67">
                  <c:v>3092.336216348994</c:v>
                </c:pt>
                <c:pt idx="68">
                  <c:v>3092.336216348994</c:v>
                </c:pt>
                <c:pt idx="69">
                  <c:v>3092.336216348994</c:v>
                </c:pt>
                <c:pt idx="70">
                  <c:v>2468.259292868132</c:v>
                </c:pt>
                <c:pt idx="71">
                  <c:v>2468.259292868132</c:v>
                </c:pt>
                <c:pt idx="72">
                  <c:v>2468.259292868132</c:v>
                </c:pt>
                <c:pt idx="73">
                  <c:v>2468.259292868132</c:v>
                </c:pt>
                <c:pt idx="74">
                  <c:v>2468.259292868132</c:v>
                </c:pt>
                <c:pt idx="75">
                  <c:v>2468.259292868132</c:v>
                </c:pt>
                <c:pt idx="76">
                  <c:v>2468.259292868132</c:v>
                </c:pt>
                <c:pt idx="77">
                  <c:v>2468.259292868132</c:v>
                </c:pt>
                <c:pt idx="78">
                  <c:v>2468.259292868132</c:v>
                </c:pt>
                <c:pt idx="79">
                  <c:v>2468.259292868132</c:v>
                </c:pt>
                <c:pt idx="80">
                  <c:v>2468.259292868132</c:v>
                </c:pt>
                <c:pt idx="81">
                  <c:v>2468.259292868132</c:v>
                </c:pt>
                <c:pt idx="82">
                  <c:v>2468.259292868132</c:v>
                </c:pt>
                <c:pt idx="83">
                  <c:v>2468.259292868132</c:v>
                </c:pt>
                <c:pt idx="84">
                  <c:v>2468.259292868132</c:v>
                </c:pt>
                <c:pt idx="85">
                  <c:v>2468.259292868132</c:v>
                </c:pt>
                <c:pt idx="86">
                  <c:v>2468.259292868132</c:v>
                </c:pt>
                <c:pt idx="87">
                  <c:v>2468.259292868132</c:v>
                </c:pt>
                <c:pt idx="88">
                  <c:v>2468.259292868132</c:v>
                </c:pt>
                <c:pt idx="89">
                  <c:v>2468.259292868132</c:v>
                </c:pt>
                <c:pt idx="90">
                  <c:v>6731.616253276724</c:v>
                </c:pt>
                <c:pt idx="91">
                  <c:v>6731.616253276724</c:v>
                </c:pt>
                <c:pt idx="92">
                  <c:v>6731.616253276724</c:v>
                </c:pt>
                <c:pt idx="93">
                  <c:v>6731.616253276724</c:v>
                </c:pt>
                <c:pt idx="94">
                  <c:v>6731.616253276724</c:v>
                </c:pt>
                <c:pt idx="95">
                  <c:v>6731.616253276724</c:v>
                </c:pt>
                <c:pt idx="96">
                  <c:v>6731.616253276724</c:v>
                </c:pt>
                <c:pt idx="97">
                  <c:v>6731.616253276724</c:v>
                </c:pt>
                <c:pt idx="98">
                  <c:v>6731.616253276724</c:v>
                </c:pt>
                <c:pt idx="99">
                  <c:v>6731.616253276724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1996472248"/>
        <c:axId val="2115699656"/>
      </c:barChart>
      <c:lineChart>
        <c:grouping val="standard"/>
        <c:varyColors val="0"/>
        <c:ser>
          <c:idx val="12"/>
          <c:order val="13"/>
          <c:tx>
            <c:strRef>
              <c:f>Percentiles!$A$17</c:f>
              <c:strCache>
                <c:ptCount val="1"/>
                <c:pt idx="0">
                  <c:v>Survival Threshold</c:v>
                </c:pt>
              </c:strCache>
            </c:strRef>
          </c:tx>
          <c:spPr>
            <a:ln w="25400">
              <a:solidFill>
                <a:srgbClr val="DD0806"/>
              </a:solidFill>
              <a:prstDash val="solid"/>
            </a:ln>
          </c:spPr>
          <c:marker>
            <c:symbol val="none"/>
          </c:marker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Percentiles!$F$17:$DA$17</c:f>
              <c:numCache>
                <c:formatCode>0</c:formatCode>
                <c:ptCount val="100"/>
                <c:pt idx="0">
                  <c:v>40474.95168787119</c:v>
                </c:pt>
                <c:pt idx="1">
                  <c:v>40474.95168787119</c:v>
                </c:pt>
                <c:pt idx="2">
                  <c:v>40474.95168787119</c:v>
                </c:pt>
                <c:pt idx="3">
                  <c:v>40474.95168787119</c:v>
                </c:pt>
                <c:pt idx="4">
                  <c:v>40474.95168787119</c:v>
                </c:pt>
                <c:pt idx="5">
                  <c:v>40474.95168787119</c:v>
                </c:pt>
                <c:pt idx="6">
                  <c:v>40474.95168787119</c:v>
                </c:pt>
                <c:pt idx="7">
                  <c:v>40474.95168787119</c:v>
                </c:pt>
                <c:pt idx="8">
                  <c:v>40474.95168787119</c:v>
                </c:pt>
                <c:pt idx="9">
                  <c:v>40474.95168787119</c:v>
                </c:pt>
                <c:pt idx="10">
                  <c:v>40474.95168787119</c:v>
                </c:pt>
                <c:pt idx="11">
                  <c:v>40474.95168787119</c:v>
                </c:pt>
                <c:pt idx="12">
                  <c:v>40474.95168787119</c:v>
                </c:pt>
                <c:pt idx="13">
                  <c:v>40474.95168787119</c:v>
                </c:pt>
                <c:pt idx="14">
                  <c:v>40474.95168787119</c:v>
                </c:pt>
                <c:pt idx="15">
                  <c:v>40474.95168787119</c:v>
                </c:pt>
                <c:pt idx="16">
                  <c:v>40474.95168787119</c:v>
                </c:pt>
                <c:pt idx="17">
                  <c:v>40474.95168787119</c:v>
                </c:pt>
                <c:pt idx="18">
                  <c:v>40474.95168787119</c:v>
                </c:pt>
                <c:pt idx="19">
                  <c:v>40474.95168787119</c:v>
                </c:pt>
                <c:pt idx="20">
                  <c:v>40474.95168787119</c:v>
                </c:pt>
                <c:pt idx="21">
                  <c:v>40474.95168787119</c:v>
                </c:pt>
                <c:pt idx="22">
                  <c:v>40474.95168787119</c:v>
                </c:pt>
                <c:pt idx="23">
                  <c:v>40474.95168787119</c:v>
                </c:pt>
                <c:pt idx="24">
                  <c:v>40474.95168787119</c:v>
                </c:pt>
                <c:pt idx="25">
                  <c:v>40474.95168787119</c:v>
                </c:pt>
                <c:pt idx="26">
                  <c:v>40474.95168787119</c:v>
                </c:pt>
                <c:pt idx="27">
                  <c:v>40474.95168787119</c:v>
                </c:pt>
                <c:pt idx="28">
                  <c:v>40474.95168787119</c:v>
                </c:pt>
                <c:pt idx="29">
                  <c:v>40474.95168787119</c:v>
                </c:pt>
                <c:pt idx="30">
                  <c:v>40474.95168787119</c:v>
                </c:pt>
                <c:pt idx="31">
                  <c:v>40474.95168787119</c:v>
                </c:pt>
                <c:pt idx="32">
                  <c:v>40474.95168787119</c:v>
                </c:pt>
                <c:pt idx="33">
                  <c:v>40474.95168787119</c:v>
                </c:pt>
                <c:pt idx="34">
                  <c:v>40474.95168787119</c:v>
                </c:pt>
                <c:pt idx="35">
                  <c:v>40474.95168787119</c:v>
                </c:pt>
                <c:pt idx="36">
                  <c:v>40474.95168787119</c:v>
                </c:pt>
                <c:pt idx="37">
                  <c:v>40474.95168787119</c:v>
                </c:pt>
                <c:pt idx="38">
                  <c:v>40474.95168787119</c:v>
                </c:pt>
                <c:pt idx="39">
                  <c:v>40474.95168787119</c:v>
                </c:pt>
                <c:pt idx="40">
                  <c:v>40474.95168787119</c:v>
                </c:pt>
                <c:pt idx="41">
                  <c:v>40474.95168787119</c:v>
                </c:pt>
                <c:pt idx="42">
                  <c:v>40474.95168787119</c:v>
                </c:pt>
                <c:pt idx="43">
                  <c:v>40474.95168787119</c:v>
                </c:pt>
                <c:pt idx="44">
                  <c:v>40474.95168787119</c:v>
                </c:pt>
                <c:pt idx="45">
                  <c:v>40474.95168787119</c:v>
                </c:pt>
                <c:pt idx="46">
                  <c:v>40474.95168787119</c:v>
                </c:pt>
                <c:pt idx="47">
                  <c:v>40474.95168787119</c:v>
                </c:pt>
                <c:pt idx="48">
                  <c:v>40474.95168787119</c:v>
                </c:pt>
                <c:pt idx="49">
                  <c:v>40474.95168787119</c:v>
                </c:pt>
                <c:pt idx="50">
                  <c:v>40474.95168787119</c:v>
                </c:pt>
                <c:pt idx="51">
                  <c:v>40474.95168787119</c:v>
                </c:pt>
                <c:pt idx="52">
                  <c:v>40474.95168787119</c:v>
                </c:pt>
                <c:pt idx="53">
                  <c:v>40474.95168787119</c:v>
                </c:pt>
                <c:pt idx="54">
                  <c:v>40474.95168787119</c:v>
                </c:pt>
                <c:pt idx="55">
                  <c:v>40474.95168787119</c:v>
                </c:pt>
                <c:pt idx="56">
                  <c:v>40474.95168787119</c:v>
                </c:pt>
                <c:pt idx="57">
                  <c:v>40474.95168787119</c:v>
                </c:pt>
                <c:pt idx="58">
                  <c:v>40474.95168787119</c:v>
                </c:pt>
                <c:pt idx="59">
                  <c:v>40474.95168787119</c:v>
                </c:pt>
                <c:pt idx="60">
                  <c:v>40474.95168787119</c:v>
                </c:pt>
                <c:pt idx="61">
                  <c:v>40474.95168787119</c:v>
                </c:pt>
                <c:pt idx="62">
                  <c:v>40474.95168787119</c:v>
                </c:pt>
                <c:pt idx="63">
                  <c:v>40474.95168787119</c:v>
                </c:pt>
                <c:pt idx="64">
                  <c:v>40474.95168787119</c:v>
                </c:pt>
                <c:pt idx="65">
                  <c:v>40474.95168787119</c:v>
                </c:pt>
                <c:pt idx="66">
                  <c:v>40474.95168787119</c:v>
                </c:pt>
                <c:pt idx="67">
                  <c:v>40474.95168787119</c:v>
                </c:pt>
                <c:pt idx="68">
                  <c:v>40474.95168787119</c:v>
                </c:pt>
                <c:pt idx="69">
                  <c:v>40474.95168787119</c:v>
                </c:pt>
                <c:pt idx="70">
                  <c:v>40474.95168787113</c:v>
                </c:pt>
                <c:pt idx="71">
                  <c:v>40474.95168787113</c:v>
                </c:pt>
                <c:pt idx="72">
                  <c:v>40474.95168787113</c:v>
                </c:pt>
                <c:pt idx="73">
                  <c:v>40474.95168787113</c:v>
                </c:pt>
                <c:pt idx="74">
                  <c:v>40474.95168787113</c:v>
                </c:pt>
                <c:pt idx="75">
                  <c:v>40474.95168787113</c:v>
                </c:pt>
                <c:pt idx="76">
                  <c:v>40474.95168787113</c:v>
                </c:pt>
                <c:pt idx="77">
                  <c:v>40474.95168787113</c:v>
                </c:pt>
                <c:pt idx="78">
                  <c:v>40474.95168787113</c:v>
                </c:pt>
                <c:pt idx="79">
                  <c:v>40474.95168787113</c:v>
                </c:pt>
                <c:pt idx="80">
                  <c:v>40474.95168787113</c:v>
                </c:pt>
                <c:pt idx="81">
                  <c:v>40474.95168787113</c:v>
                </c:pt>
                <c:pt idx="82">
                  <c:v>40474.95168787113</c:v>
                </c:pt>
                <c:pt idx="83">
                  <c:v>40474.95168787113</c:v>
                </c:pt>
                <c:pt idx="84">
                  <c:v>40474.95168787113</c:v>
                </c:pt>
                <c:pt idx="85">
                  <c:v>40474.95168787113</c:v>
                </c:pt>
                <c:pt idx="86">
                  <c:v>40474.95168787113</c:v>
                </c:pt>
                <c:pt idx="87">
                  <c:v>40474.95168787113</c:v>
                </c:pt>
                <c:pt idx="88">
                  <c:v>40474.95168787113</c:v>
                </c:pt>
                <c:pt idx="89">
                  <c:v>40474.95168787113</c:v>
                </c:pt>
                <c:pt idx="90">
                  <c:v>40474.95168787113</c:v>
                </c:pt>
                <c:pt idx="91">
                  <c:v>40474.95168787113</c:v>
                </c:pt>
                <c:pt idx="92">
                  <c:v>40474.95168787113</c:v>
                </c:pt>
                <c:pt idx="93">
                  <c:v>40474.95168787113</c:v>
                </c:pt>
                <c:pt idx="94">
                  <c:v>40474.95168787113</c:v>
                </c:pt>
                <c:pt idx="95">
                  <c:v>40474.95168787113</c:v>
                </c:pt>
                <c:pt idx="96">
                  <c:v>40474.95168787113</c:v>
                </c:pt>
                <c:pt idx="97">
                  <c:v>40474.95168787113</c:v>
                </c:pt>
                <c:pt idx="98">
                  <c:v>40474.95168787113</c:v>
                </c:pt>
                <c:pt idx="99">
                  <c:v>40474.95168787113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996472248"/>
        <c:axId val="2115699656"/>
      </c:lineChart>
      <c:scatterChart>
        <c:scatterStyle val="lineMarker"/>
        <c:varyColors val="0"/>
        <c:ser>
          <c:idx val="14"/>
          <c:order val="14"/>
          <c:tx>
            <c:strRef>
              <c:f>Percentiles!$A$19</c:f>
              <c:strCache>
                <c:ptCount val="1"/>
                <c:pt idx="0">
                  <c:v>Joining lines</c:v>
                </c:pt>
              </c:strCache>
            </c:strRef>
          </c:tx>
          <c:spPr>
            <a:ln w="12700">
              <a:solidFill>
                <a:srgbClr val="333300"/>
              </a:solidFill>
              <a:prstDash val="solid"/>
            </a:ln>
          </c:spPr>
          <c:marker>
            <c:symbol val="none"/>
          </c:marker>
          <c:xVal>
            <c:numRef>
              <c:f>Percentiles!$S$22:$CW$22</c:f>
              <c:numCache>
                <c:formatCode>0</c:formatCode>
                <c:ptCount val="83"/>
                <c:pt idx="0">
                  <c:v>13.0</c:v>
                </c:pt>
                <c:pt idx="1">
                  <c:v>14.0</c:v>
                </c:pt>
                <c:pt idx="2">
                  <c:v>15.0</c:v>
                </c:pt>
                <c:pt idx="3">
                  <c:v>16.0</c:v>
                </c:pt>
                <c:pt idx="4">
                  <c:v>17.0</c:v>
                </c:pt>
                <c:pt idx="5">
                  <c:v>18.0</c:v>
                </c:pt>
                <c:pt idx="6">
                  <c:v>19.0</c:v>
                </c:pt>
                <c:pt idx="7">
                  <c:v>20.0</c:v>
                </c:pt>
                <c:pt idx="8">
                  <c:v>21.0</c:v>
                </c:pt>
                <c:pt idx="9">
                  <c:v>22.0</c:v>
                </c:pt>
                <c:pt idx="10">
                  <c:v>23.0</c:v>
                </c:pt>
                <c:pt idx="11">
                  <c:v>24.0</c:v>
                </c:pt>
                <c:pt idx="12">
                  <c:v>25.0</c:v>
                </c:pt>
                <c:pt idx="13">
                  <c:v>26.0</c:v>
                </c:pt>
                <c:pt idx="14">
                  <c:v>27.0</c:v>
                </c:pt>
                <c:pt idx="15">
                  <c:v>28.0</c:v>
                </c:pt>
                <c:pt idx="16">
                  <c:v>29.0</c:v>
                </c:pt>
                <c:pt idx="17">
                  <c:v>30.0</c:v>
                </c:pt>
                <c:pt idx="18">
                  <c:v>31.0</c:v>
                </c:pt>
                <c:pt idx="19">
                  <c:v>32.0</c:v>
                </c:pt>
                <c:pt idx="20">
                  <c:v>33.0</c:v>
                </c:pt>
                <c:pt idx="21">
                  <c:v>34.0</c:v>
                </c:pt>
                <c:pt idx="22">
                  <c:v>35.0</c:v>
                </c:pt>
                <c:pt idx="23">
                  <c:v>36.0</c:v>
                </c:pt>
                <c:pt idx="24">
                  <c:v>37.0</c:v>
                </c:pt>
                <c:pt idx="25">
                  <c:v>38.0</c:v>
                </c:pt>
                <c:pt idx="26">
                  <c:v>39.0</c:v>
                </c:pt>
                <c:pt idx="27">
                  <c:v>40.0</c:v>
                </c:pt>
                <c:pt idx="28">
                  <c:v>41.0</c:v>
                </c:pt>
                <c:pt idx="29">
                  <c:v>42.0</c:v>
                </c:pt>
                <c:pt idx="30">
                  <c:v>43.0</c:v>
                </c:pt>
                <c:pt idx="31">
                  <c:v>44.0</c:v>
                </c:pt>
                <c:pt idx="32">
                  <c:v>45.0</c:v>
                </c:pt>
                <c:pt idx="33">
                  <c:v>46.0</c:v>
                </c:pt>
                <c:pt idx="34">
                  <c:v>47.0</c:v>
                </c:pt>
                <c:pt idx="35">
                  <c:v>48.0</c:v>
                </c:pt>
                <c:pt idx="36">
                  <c:v>49.0</c:v>
                </c:pt>
                <c:pt idx="37">
                  <c:v>50.0</c:v>
                </c:pt>
                <c:pt idx="38">
                  <c:v>51.0</c:v>
                </c:pt>
                <c:pt idx="39">
                  <c:v>52.0</c:v>
                </c:pt>
                <c:pt idx="40">
                  <c:v>53.0</c:v>
                </c:pt>
                <c:pt idx="41">
                  <c:v>54.0</c:v>
                </c:pt>
                <c:pt idx="42">
                  <c:v>55.0</c:v>
                </c:pt>
                <c:pt idx="43">
                  <c:v>56.0</c:v>
                </c:pt>
                <c:pt idx="44">
                  <c:v>57.0</c:v>
                </c:pt>
                <c:pt idx="45">
                  <c:v>58.0</c:v>
                </c:pt>
                <c:pt idx="46">
                  <c:v>59.0</c:v>
                </c:pt>
                <c:pt idx="47">
                  <c:v>60.0</c:v>
                </c:pt>
                <c:pt idx="48">
                  <c:v>61.0</c:v>
                </c:pt>
                <c:pt idx="49">
                  <c:v>62.0</c:v>
                </c:pt>
                <c:pt idx="50">
                  <c:v>63.0</c:v>
                </c:pt>
                <c:pt idx="51">
                  <c:v>64.0</c:v>
                </c:pt>
                <c:pt idx="52">
                  <c:v>65.0</c:v>
                </c:pt>
                <c:pt idx="53">
                  <c:v>66.0</c:v>
                </c:pt>
                <c:pt idx="54">
                  <c:v>67.0</c:v>
                </c:pt>
                <c:pt idx="55">
                  <c:v>68.0</c:v>
                </c:pt>
                <c:pt idx="56">
                  <c:v>69.0</c:v>
                </c:pt>
                <c:pt idx="57">
                  <c:v>70.0</c:v>
                </c:pt>
                <c:pt idx="58">
                  <c:v>71.0</c:v>
                </c:pt>
                <c:pt idx="59">
                  <c:v>72.0</c:v>
                </c:pt>
                <c:pt idx="60">
                  <c:v>73.0</c:v>
                </c:pt>
                <c:pt idx="61">
                  <c:v>74.0</c:v>
                </c:pt>
                <c:pt idx="62">
                  <c:v>75.0</c:v>
                </c:pt>
                <c:pt idx="63">
                  <c:v>76.0</c:v>
                </c:pt>
                <c:pt idx="64">
                  <c:v>77.0</c:v>
                </c:pt>
                <c:pt idx="65">
                  <c:v>78.0</c:v>
                </c:pt>
                <c:pt idx="66">
                  <c:v>79.0</c:v>
                </c:pt>
                <c:pt idx="67">
                  <c:v>80.0</c:v>
                </c:pt>
                <c:pt idx="68">
                  <c:v>81.0</c:v>
                </c:pt>
                <c:pt idx="69">
                  <c:v>82.0</c:v>
                </c:pt>
                <c:pt idx="70">
                  <c:v>83.0</c:v>
                </c:pt>
                <c:pt idx="71">
                  <c:v>84.0</c:v>
                </c:pt>
                <c:pt idx="72">
                  <c:v>85.0</c:v>
                </c:pt>
                <c:pt idx="73">
                  <c:v>86.0</c:v>
                </c:pt>
                <c:pt idx="74">
                  <c:v>87.0</c:v>
                </c:pt>
                <c:pt idx="75">
                  <c:v>88.0</c:v>
                </c:pt>
                <c:pt idx="76">
                  <c:v>89.0</c:v>
                </c:pt>
                <c:pt idx="77">
                  <c:v>90.0</c:v>
                </c:pt>
                <c:pt idx="78">
                  <c:v>91.0</c:v>
                </c:pt>
                <c:pt idx="79">
                  <c:v>92.0</c:v>
                </c:pt>
                <c:pt idx="80">
                  <c:v>93.0</c:v>
                </c:pt>
                <c:pt idx="81">
                  <c:v>94.0</c:v>
                </c:pt>
                <c:pt idx="82">
                  <c:v>95.0</c:v>
                </c:pt>
              </c:numCache>
            </c:numRef>
          </c:xVal>
          <c:yVal>
            <c:numRef>
              <c:f>Percentiles!$S$19:$CW$19</c:f>
              <c:numCache>
                <c:formatCode>General</c:formatCode>
                <c:ptCount val="8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54786.35866850021</c:v>
                </c:pt>
                <c:pt idx="7">
                  <c:v>55860.70811518102</c:v>
                </c:pt>
                <c:pt idx="8">
                  <c:v>56935.05756186184</c:v>
                </c:pt>
                <c:pt idx="9">
                  <c:v>58009.40700854265</c:v>
                </c:pt>
                <c:pt idx="10">
                  <c:v>59083.75645522347</c:v>
                </c:pt>
                <c:pt idx="11">
                  <c:v>60158.10590190428</c:v>
                </c:pt>
                <c:pt idx="12">
                  <c:v>61232.4553485851</c:v>
                </c:pt>
                <c:pt idx="13">
                  <c:v>62306.80479526591</c:v>
                </c:pt>
                <c:pt idx="14">
                  <c:v>63381.15424194672</c:v>
                </c:pt>
                <c:pt idx="15">
                  <c:v>64455.50368862754</c:v>
                </c:pt>
                <c:pt idx="16">
                  <c:v>65529.85313530835</c:v>
                </c:pt>
                <c:pt idx="17">
                  <c:v>66604.20258198917</c:v>
                </c:pt>
                <c:pt idx="18">
                  <c:v>67678.55202867</c:v>
                </c:pt>
                <c:pt idx="19">
                  <c:v>68752.90147535081</c:v>
                </c:pt>
                <c:pt idx="20">
                  <c:v>69827.2509220316</c:v>
                </c:pt>
                <c:pt idx="21">
                  <c:v>70901.60036871243</c:v>
                </c:pt>
                <c:pt idx="22">
                  <c:v>71975.94981539325</c:v>
                </c:pt>
                <c:pt idx="23">
                  <c:v>73050.29926207406</c:v>
                </c:pt>
                <c:pt idx="24">
                  <c:v>74124.64870875487</c:v>
                </c:pt>
                <c:pt idx="25">
                  <c:v>75198.9981554357</c:v>
                </c:pt>
                <c:pt idx="26">
                  <c:v>76273.34760211651</c:v>
                </c:pt>
                <c:pt idx="27">
                  <c:v>77347.69704879733</c:v>
                </c:pt>
                <c:pt idx="28">
                  <c:v>78422.04649547813</c:v>
                </c:pt>
                <c:pt idx="29">
                  <c:v>79496.39594215895</c:v>
                </c:pt>
                <c:pt idx="30">
                  <c:v>80570.74538883977</c:v>
                </c:pt>
                <c:pt idx="31">
                  <c:v>81645.09483552058</c:v>
                </c:pt>
                <c:pt idx="32">
                  <c:v>82719.4442822014</c:v>
                </c:pt>
                <c:pt idx="33">
                  <c:v>83793.7937288822</c:v>
                </c:pt>
                <c:pt idx="34">
                  <c:v>84868.14317556303</c:v>
                </c:pt>
                <c:pt idx="35">
                  <c:v>85942.49262224385</c:v>
                </c:pt>
                <c:pt idx="36">
                  <c:v>87016.84206892466</c:v>
                </c:pt>
                <c:pt idx="37">
                  <c:v>88091.19151560547</c:v>
                </c:pt>
                <c:pt idx="38">
                  <c:v>89165.5409622863</c:v>
                </c:pt>
                <c:pt idx="39">
                  <c:v>90239.8904089671</c:v>
                </c:pt>
                <c:pt idx="40">
                  <c:v>91314.23985564793</c:v>
                </c:pt>
                <c:pt idx="41">
                  <c:v>94122.7211549428</c:v>
                </c:pt>
                <c:pt idx="42">
                  <c:v>97278.02882476052</c:v>
                </c:pt>
                <c:pt idx="43">
                  <c:v>100433.3364945782</c:v>
                </c:pt>
                <c:pt idx="44">
                  <c:v>103588.6441643959</c:v>
                </c:pt>
                <c:pt idx="45">
                  <c:v>106743.9518342136</c:v>
                </c:pt>
                <c:pt idx="46">
                  <c:v>109899.2595040314</c:v>
                </c:pt>
                <c:pt idx="47">
                  <c:v>113054.5671738491</c:v>
                </c:pt>
                <c:pt idx="48">
                  <c:v>116209.8748436668</c:v>
                </c:pt>
                <c:pt idx="49">
                  <c:v>119365.1825134845</c:v>
                </c:pt>
                <c:pt idx="50">
                  <c:v>122520.4901833022</c:v>
                </c:pt>
                <c:pt idx="51">
                  <c:v>125675.7978531199</c:v>
                </c:pt>
                <c:pt idx="52">
                  <c:v>128831.1055229376</c:v>
                </c:pt>
                <c:pt idx="53">
                  <c:v>131986.4131927553</c:v>
                </c:pt>
                <c:pt idx="54">
                  <c:v>135141.720862573</c:v>
                </c:pt>
                <c:pt idx="55">
                  <c:v>138297.0285323907</c:v>
                </c:pt>
                <c:pt idx="56">
                  <c:v>141452.3362022084</c:v>
                </c:pt>
                <c:pt idx="57">
                  <c:v>144607.6438720262</c:v>
                </c:pt>
                <c:pt idx="58">
                  <c:v>147762.9515418439</c:v>
                </c:pt>
                <c:pt idx="59">
                  <c:v>150918.2592116616</c:v>
                </c:pt>
                <c:pt idx="60">
                  <c:v>154073.5668814793</c:v>
                </c:pt>
                <c:pt idx="61">
                  <c:v>157228.874551297</c:v>
                </c:pt>
                <c:pt idx="62">
                  <c:v>160384.1822211147</c:v>
                </c:pt>
                <c:pt idx="63">
                  <c:v>163539.4898909324</c:v>
                </c:pt>
                <c:pt idx="64">
                  <c:v>166694.7975607501</c:v>
                </c:pt>
                <c:pt idx="65">
                  <c:v>169850.1052305678</c:v>
                </c:pt>
                <c:pt idx="66">
                  <c:v>173005.4129003855</c:v>
                </c:pt>
                <c:pt idx="67">
                  <c:v>176160.7205702032</c:v>
                </c:pt>
                <c:pt idx="68">
                  <c:v>187343.8680348478</c:v>
                </c:pt>
                <c:pt idx="69">
                  <c:v>200132.5834584577</c:v>
                </c:pt>
                <c:pt idx="70">
                  <c:v>212921.2988820675</c:v>
                </c:pt>
                <c:pt idx="71">
                  <c:v>225710.0143056774</c:v>
                </c:pt>
                <c:pt idx="72">
                  <c:v>238498.7297292872</c:v>
                </c:pt>
                <c:pt idx="73">
                  <c:v>251287.4451528971</c:v>
                </c:pt>
                <c:pt idx="74">
                  <c:v>264076.1605765069</c:v>
                </c:pt>
                <c:pt idx="75">
                  <c:v>276864.8760001168</c:v>
                </c:pt>
                <c:pt idx="76">
                  <c:v>289653.5914237266</c:v>
                </c:pt>
                <c:pt idx="77">
                  <c:v>302442.3068473365</c:v>
                </c:pt>
                <c:pt idx="78">
                  <c:v>315231.0222709463</c:v>
                </c:pt>
                <c:pt idx="79">
                  <c:v>328019.7376945561</c:v>
                </c:pt>
                <c:pt idx="80">
                  <c:v>340808.453118166</c:v>
                </c:pt>
                <c:pt idx="81">
                  <c:v>353597.1685417758</c:v>
                </c:pt>
                <c:pt idx="82">
                  <c:v>366385.8839653857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996472248"/>
        <c:axId val="2115699656"/>
      </c:scatterChart>
      <c:catAx>
        <c:axId val="-1996472248"/>
        <c:scaling>
          <c:orientation val="minMax"/>
        </c:scaling>
        <c:delete val="0"/>
        <c:axPos val="b"/>
        <c:numFmt formatCode="0%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115699656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2115699656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0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1996472248"/>
        <c:crossesAt val="1.0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r"/>
      <c:layout>
        <c:manualLayout>
          <c:xMode val="edge"/>
          <c:yMode val="edge"/>
          <c:x val="0.832439678284182"/>
          <c:y val="0.158208720178634"/>
          <c:w val="0.159517426273459"/>
          <c:h val="0.650745563520978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65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Percentiles!$A$25</c:f>
              <c:strCache>
                <c:ptCount val="1"/>
                <c:pt idx="0">
                  <c:v>Own crops Consumed</c:v>
                </c:pt>
              </c:strCache>
            </c:strRef>
          </c:tx>
          <c:spPr>
            <a:solidFill>
              <a:srgbClr val="00B050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Percentiles!$F$25:$DA$25</c:f>
              <c:numCache>
                <c:formatCode>0.00</c:formatCode>
                <c:ptCount val="100"/>
                <c:pt idx="0">
                  <c:v>3455.879273965561</c:v>
                </c:pt>
                <c:pt idx="1">
                  <c:v>3455.879273965561</c:v>
                </c:pt>
                <c:pt idx="2">
                  <c:v>3455.879273965561</c:v>
                </c:pt>
                <c:pt idx="3">
                  <c:v>3455.879273965561</c:v>
                </c:pt>
                <c:pt idx="4">
                  <c:v>3455.879273965561</c:v>
                </c:pt>
                <c:pt idx="5">
                  <c:v>3455.879273965561</c:v>
                </c:pt>
                <c:pt idx="6">
                  <c:v>3455.879273965561</c:v>
                </c:pt>
                <c:pt idx="7">
                  <c:v>3455.879273965561</c:v>
                </c:pt>
                <c:pt idx="8">
                  <c:v>3455.879273965561</c:v>
                </c:pt>
                <c:pt idx="9">
                  <c:v>3455.879273965561</c:v>
                </c:pt>
                <c:pt idx="10">
                  <c:v>3455.879273965561</c:v>
                </c:pt>
                <c:pt idx="11">
                  <c:v>3455.879273965561</c:v>
                </c:pt>
                <c:pt idx="12">
                  <c:v>3455.879273965561</c:v>
                </c:pt>
                <c:pt idx="13">
                  <c:v>3455.879273965561</c:v>
                </c:pt>
                <c:pt idx="14">
                  <c:v>3455.879273965561</c:v>
                </c:pt>
                <c:pt idx="15">
                  <c:v>3455.879273965561</c:v>
                </c:pt>
                <c:pt idx="16">
                  <c:v>3455.879273965561</c:v>
                </c:pt>
                <c:pt idx="17">
                  <c:v>3455.879273965561</c:v>
                </c:pt>
                <c:pt idx="18">
                  <c:v>3455.879273965561</c:v>
                </c:pt>
                <c:pt idx="19">
                  <c:v>3504.998351673923</c:v>
                </c:pt>
                <c:pt idx="20">
                  <c:v>3563.941244923956</c:v>
                </c:pt>
                <c:pt idx="21">
                  <c:v>3622.88413817399</c:v>
                </c:pt>
                <c:pt idx="22">
                  <c:v>3681.827031424024</c:v>
                </c:pt>
                <c:pt idx="23">
                  <c:v>3740.769924674057</c:v>
                </c:pt>
                <c:pt idx="24">
                  <c:v>3799.712817924091</c:v>
                </c:pt>
                <c:pt idx="25">
                  <c:v>3858.655711174124</c:v>
                </c:pt>
                <c:pt idx="26">
                  <c:v>3917.598604424158</c:v>
                </c:pt>
                <c:pt idx="27">
                  <c:v>3976.541497674191</c:v>
                </c:pt>
                <c:pt idx="28">
                  <c:v>4035.484390924224</c:v>
                </c:pt>
                <c:pt idx="29">
                  <c:v>4094.427284174258</c:v>
                </c:pt>
                <c:pt idx="30">
                  <c:v>4153.370177424292</c:v>
                </c:pt>
                <c:pt idx="31">
                  <c:v>4212.313070674325</c:v>
                </c:pt>
                <c:pt idx="32">
                  <c:v>4271.25596392436</c:v>
                </c:pt>
                <c:pt idx="33">
                  <c:v>4330.198857174392</c:v>
                </c:pt>
                <c:pt idx="34">
                  <c:v>4389.141750424426</c:v>
                </c:pt>
                <c:pt idx="35">
                  <c:v>4448.08464367446</c:v>
                </c:pt>
                <c:pt idx="36">
                  <c:v>4507.027536924493</c:v>
                </c:pt>
                <c:pt idx="37">
                  <c:v>4565.970430174527</c:v>
                </c:pt>
                <c:pt idx="38">
                  <c:v>4624.91332342456</c:v>
                </c:pt>
                <c:pt idx="39">
                  <c:v>4683.856216674594</c:v>
                </c:pt>
                <c:pt idx="40">
                  <c:v>4742.799109924627</c:v>
                </c:pt>
                <c:pt idx="41">
                  <c:v>4801.74200317466</c:v>
                </c:pt>
                <c:pt idx="42">
                  <c:v>4860.684896424695</c:v>
                </c:pt>
                <c:pt idx="43">
                  <c:v>4919.627789674727</c:v>
                </c:pt>
                <c:pt idx="44">
                  <c:v>4978.570682924761</c:v>
                </c:pt>
                <c:pt idx="45">
                  <c:v>5037.513576174795</c:v>
                </c:pt>
                <c:pt idx="46">
                  <c:v>5096.456469424828</c:v>
                </c:pt>
                <c:pt idx="47">
                  <c:v>5155.399362674861</c:v>
                </c:pt>
                <c:pt idx="48">
                  <c:v>5214.342255924896</c:v>
                </c:pt>
                <c:pt idx="49">
                  <c:v>5273.28514917493</c:v>
                </c:pt>
                <c:pt idx="50">
                  <c:v>5332.228042424963</c:v>
                </c:pt>
                <c:pt idx="51">
                  <c:v>5391.170935674996</c:v>
                </c:pt>
                <c:pt idx="52">
                  <c:v>5450.11382892503</c:v>
                </c:pt>
                <c:pt idx="53">
                  <c:v>5509.056722175063</c:v>
                </c:pt>
                <c:pt idx="54">
                  <c:v>5528.376502637046</c:v>
                </c:pt>
                <c:pt idx="55">
                  <c:v>5539.771660541417</c:v>
                </c:pt>
                <c:pt idx="56">
                  <c:v>5551.166818445788</c:v>
                </c:pt>
                <c:pt idx="57">
                  <c:v>5562.56197635016</c:v>
                </c:pt>
                <c:pt idx="58">
                  <c:v>5573.957134254531</c:v>
                </c:pt>
                <c:pt idx="59">
                  <c:v>5585.352292158902</c:v>
                </c:pt>
                <c:pt idx="60">
                  <c:v>5596.747450063275</c:v>
                </c:pt>
                <c:pt idx="61">
                  <c:v>5608.142607967646</c:v>
                </c:pt>
                <c:pt idx="62">
                  <c:v>5619.537765872018</c:v>
                </c:pt>
                <c:pt idx="63">
                  <c:v>5630.93292377639</c:v>
                </c:pt>
                <c:pt idx="64">
                  <c:v>5642.32808168076</c:v>
                </c:pt>
                <c:pt idx="65">
                  <c:v>5653.723239585133</c:v>
                </c:pt>
                <c:pt idx="66">
                  <c:v>5665.118397489505</c:v>
                </c:pt>
                <c:pt idx="67">
                  <c:v>5676.513555393876</c:v>
                </c:pt>
                <c:pt idx="68">
                  <c:v>5687.908713298248</c:v>
                </c:pt>
                <c:pt idx="69">
                  <c:v>5699.30387120262</c:v>
                </c:pt>
                <c:pt idx="70">
                  <c:v>5710.69902910699</c:v>
                </c:pt>
                <c:pt idx="71">
                  <c:v>5722.094187011363</c:v>
                </c:pt>
                <c:pt idx="72">
                  <c:v>5733.489344915734</c:v>
                </c:pt>
                <c:pt idx="73">
                  <c:v>5744.884502820106</c:v>
                </c:pt>
                <c:pt idx="74">
                  <c:v>5756.279660724477</c:v>
                </c:pt>
                <c:pt idx="75">
                  <c:v>5767.674818628849</c:v>
                </c:pt>
                <c:pt idx="76">
                  <c:v>5779.06997653322</c:v>
                </c:pt>
                <c:pt idx="77">
                  <c:v>5790.465134437592</c:v>
                </c:pt>
                <c:pt idx="78">
                  <c:v>5801.860292341964</c:v>
                </c:pt>
                <c:pt idx="79">
                  <c:v>5813.255450246335</c:v>
                </c:pt>
                <c:pt idx="80">
                  <c:v>5824.650608150706</c:v>
                </c:pt>
                <c:pt idx="81">
                  <c:v>5828.028116309528</c:v>
                </c:pt>
                <c:pt idx="82">
                  <c:v>5829.80209451924</c:v>
                </c:pt>
                <c:pt idx="83">
                  <c:v>5831.576072728953</c:v>
                </c:pt>
                <c:pt idx="84">
                  <c:v>5833.350050938665</c:v>
                </c:pt>
                <c:pt idx="85">
                  <c:v>5835.124029148376</c:v>
                </c:pt>
                <c:pt idx="86">
                  <c:v>5836.898007358089</c:v>
                </c:pt>
                <c:pt idx="87">
                  <c:v>5838.6719855678</c:v>
                </c:pt>
                <c:pt idx="88">
                  <c:v>5840.445963777512</c:v>
                </c:pt>
                <c:pt idx="89">
                  <c:v>5842.219941987224</c:v>
                </c:pt>
                <c:pt idx="90">
                  <c:v>5843.993920196936</c:v>
                </c:pt>
                <c:pt idx="91">
                  <c:v>5845.767898406648</c:v>
                </c:pt>
                <c:pt idx="92">
                  <c:v>5847.54187661636</c:v>
                </c:pt>
                <c:pt idx="93">
                  <c:v>5849.315854826072</c:v>
                </c:pt>
                <c:pt idx="94">
                  <c:v>5851.089833035783</c:v>
                </c:pt>
                <c:pt idx="95">
                  <c:v>5852.863811245496</c:v>
                </c:pt>
                <c:pt idx="96">
                  <c:v>5853.159474280447</c:v>
                </c:pt>
                <c:pt idx="97">
                  <c:v>5853.159474280447</c:v>
                </c:pt>
                <c:pt idx="98">
                  <c:v>5853.159474280447</c:v>
                </c:pt>
                <c:pt idx="99">
                  <c:v>5853.159474280447</c:v>
                </c:pt>
              </c:numCache>
            </c:numRef>
          </c:val>
        </c:ser>
        <c:ser>
          <c:idx val="1"/>
          <c:order val="1"/>
          <c:tx>
            <c:strRef>
              <c:f>Percentiles!$A$26</c:f>
              <c:strCache>
                <c:ptCount val="1"/>
                <c:pt idx="0">
                  <c:v>Own crops sold</c:v>
                </c:pt>
              </c:strCache>
            </c:strRef>
          </c:tx>
          <c:spPr>
            <a:solidFill>
              <a:srgbClr val="92D050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Percentiles!$F$26:$DA$26</c:f>
              <c:numCache>
                <c:formatCode>0.00</c:formatCode>
                <c:ptCount val="100"/>
                <c:pt idx="0">
                  <c:v>1172.142680101809</c:v>
                </c:pt>
                <c:pt idx="1">
                  <c:v>1172.142680101809</c:v>
                </c:pt>
                <c:pt idx="2">
                  <c:v>1172.142680101809</c:v>
                </c:pt>
                <c:pt idx="3">
                  <c:v>1172.142680101809</c:v>
                </c:pt>
                <c:pt idx="4">
                  <c:v>1172.142680101809</c:v>
                </c:pt>
                <c:pt idx="5">
                  <c:v>1172.142680101809</c:v>
                </c:pt>
                <c:pt idx="6">
                  <c:v>1172.142680101809</c:v>
                </c:pt>
                <c:pt idx="7">
                  <c:v>1172.142680101809</c:v>
                </c:pt>
                <c:pt idx="8">
                  <c:v>1172.142680101809</c:v>
                </c:pt>
                <c:pt idx="9">
                  <c:v>1172.142680101809</c:v>
                </c:pt>
                <c:pt idx="10">
                  <c:v>1172.142680101809</c:v>
                </c:pt>
                <c:pt idx="11">
                  <c:v>1172.142680101809</c:v>
                </c:pt>
                <c:pt idx="12">
                  <c:v>1172.142680101809</c:v>
                </c:pt>
                <c:pt idx="13">
                  <c:v>1172.142680101809</c:v>
                </c:pt>
                <c:pt idx="14">
                  <c:v>1172.142680101809</c:v>
                </c:pt>
                <c:pt idx="15">
                  <c:v>1172.142680101809</c:v>
                </c:pt>
                <c:pt idx="16">
                  <c:v>1172.142680101809</c:v>
                </c:pt>
                <c:pt idx="17">
                  <c:v>1172.142680101809</c:v>
                </c:pt>
                <c:pt idx="18">
                  <c:v>1172.142680101809</c:v>
                </c:pt>
                <c:pt idx="19">
                  <c:v>1197.701785563469</c:v>
                </c:pt>
                <c:pt idx="20">
                  <c:v>1228.372712117462</c:v>
                </c:pt>
                <c:pt idx="21">
                  <c:v>1259.043638671454</c:v>
                </c:pt>
                <c:pt idx="22">
                  <c:v>1289.714565225446</c:v>
                </c:pt>
                <c:pt idx="23">
                  <c:v>1320.385491779438</c:v>
                </c:pt>
                <c:pt idx="24">
                  <c:v>1351.05641833343</c:v>
                </c:pt>
                <c:pt idx="25">
                  <c:v>1381.727344887422</c:v>
                </c:pt>
                <c:pt idx="26">
                  <c:v>1412.398271441414</c:v>
                </c:pt>
                <c:pt idx="27">
                  <c:v>1443.069197995406</c:v>
                </c:pt>
                <c:pt idx="28">
                  <c:v>1473.740124549398</c:v>
                </c:pt>
                <c:pt idx="29">
                  <c:v>1504.41105110339</c:v>
                </c:pt>
                <c:pt idx="30">
                  <c:v>1535.081977657382</c:v>
                </c:pt>
                <c:pt idx="31">
                  <c:v>1565.752904211374</c:v>
                </c:pt>
                <c:pt idx="32">
                  <c:v>1596.423830765366</c:v>
                </c:pt>
                <c:pt idx="33">
                  <c:v>1627.094757319358</c:v>
                </c:pt>
                <c:pt idx="34">
                  <c:v>1657.765683873351</c:v>
                </c:pt>
                <c:pt idx="35">
                  <c:v>1688.436610427342</c:v>
                </c:pt>
                <c:pt idx="36">
                  <c:v>1719.107536981335</c:v>
                </c:pt>
                <c:pt idx="37">
                  <c:v>1749.778463535326</c:v>
                </c:pt>
                <c:pt idx="38">
                  <c:v>1780.449390089319</c:v>
                </c:pt>
                <c:pt idx="39">
                  <c:v>1811.120316643311</c:v>
                </c:pt>
                <c:pt idx="40">
                  <c:v>1841.791243197303</c:v>
                </c:pt>
                <c:pt idx="41">
                  <c:v>1872.462169751295</c:v>
                </c:pt>
                <c:pt idx="42">
                  <c:v>1903.133096305287</c:v>
                </c:pt>
                <c:pt idx="43">
                  <c:v>1933.804022859279</c:v>
                </c:pt>
                <c:pt idx="44">
                  <c:v>1964.474949413271</c:v>
                </c:pt>
                <c:pt idx="45">
                  <c:v>1995.145875967263</c:v>
                </c:pt>
                <c:pt idx="46">
                  <c:v>2025.816802521255</c:v>
                </c:pt>
                <c:pt idx="47">
                  <c:v>2056.487729075247</c:v>
                </c:pt>
                <c:pt idx="48">
                  <c:v>2087.158655629239</c:v>
                </c:pt>
                <c:pt idx="49">
                  <c:v>2117.829582183232</c:v>
                </c:pt>
                <c:pt idx="50">
                  <c:v>2148.500508737223</c:v>
                </c:pt>
                <c:pt idx="51">
                  <c:v>2179.171435291215</c:v>
                </c:pt>
                <c:pt idx="52">
                  <c:v>2209.842361845208</c:v>
                </c:pt>
                <c:pt idx="53">
                  <c:v>2240.5132883992</c:v>
                </c:pt>
                <c:pt idx="54">
                  <c:v>2870.15002826703</c:v>
                </c:pt>
                <c:pt idx="55">
                  <c:v>3619.579930797627</c:v>
                </c:pt>
                <c:pt idx="56">
                  <c:v>4369.009833328223</c:v>
                </c:pt>
                <c:pt idx="57">
                  <c:v>5118.439735858819</c:v>
                </c:pt>
                <c:pt idx="58">
                  <c:v>5867.869638389414</c:v>
                </c:pt>
                <c:pt idx="59">
                  <c:v>6617.299540920012</c:v>
                </c:pt>
                <c:pt idx="60">
                  <c:v>7366.729443450607</c:v>
                </c:pt>
                <c:pt idx="61">
                  <c:v>8116.159345981204</c:v>
                </c:pt>
                <c:pt idx="62">
                  <c:v>8865.5892485118</c:v>
                </c:pt>
                <c:pt idx="63">
                  <c:v>9615.019151042397</c:v>
                </c:pt>
                <c:pt idx="64">
                  <c:v>10364.44905357299</c:v>
                </c:pt>
                <c:pt idx="65">
                  <c:v>11113.87895610359</c:v>
                </c:pt>
                <c:pt idx="66">
                  <c:v>11863.30885863419</c:v>
                </c:pt>
                <c:pt idx="67">
                  <c:v>12612.73876116478</c:v>
                </c:pt>
                <c:pt idx="68">
                  <c:v>13362.16866369538</c:v>
                </c:pt>
                <c:pt idx="69">
                  <c:v>14111.59856622598</c:v>
                </c:pt>
                <c:pt idx="70">
                  <c:v>14861.02846875657</c:v>
                </c:pt>
                <c:pt idx="71">
                  <c:v>15610.45837128717</c:v>
                </c:pt>
                <c:pt idx="72">
                  <c:v>16359.88827381776</c:v>
                </c:pt>
                <c:pt idx="73">
                  <c:v>17109.31817634836</c:v>
                </c:pt>
                <c:pt idx="74">
                  <c:v>17858.74807887895</c:v>
                </c:pt>
                <c:pt idx="75">
                  <c:v>18608.17798140955</c:v>
                </c:pt>
                <c:pt idx="76">
                  <c:v>19357.60788394015</c:v>
                </c:pt>
                <c:pt idx="77">
                  <c:v>20107.03778647074</c:v>
                </c:pt>
                <c:pt idx="78">
                  <c:v>20856.46768900134</c:v>
                </c:pt>
                <c:pt idx="79">
                  <c:v>21605.89759153194</c:v>
                </c:pt>
                <c:pt idx="80">
                  <c:v>22355.32749406253</c:v>
                </c:pt>
                <c:pt idx="81">
                  <c:v>23239.1287157044</c:v>
                </c:pt>
                <c:pt idx="82">
                  <c:v>24149.80420116852</c:v>
                </c:pt>
                <c:pt idx="83">
                  <c:v>25060.47968663264</c:v>
                </c:pt>
                <c:pt idx="84">
                  <c:v>25971.15517209676</c:v>
                </c:pt>
                <c:pt idx="85">
                  <c:v>26881.83065756088</c:v>
                </c:pt>
                <c:pt idx="86">
                  <c:v>27792.506143025</c:v>
                </c:pt>
                <c:pt idx="87">
                  <c:v>28703.18162848911</c:v>
                </c:pt>
                <c:pt idx="88">
                  <c:v>29613.85711395323</c:v>
                </c:pt>
                <c:pt idx="89">
                  <c:v>30524.53259941735</c:v>
                </c:pt>
                <c:pt idx="90">
                  <c:v>31435.20808488147</c:v>
                </c:pt>
                <c:pt idx="91">
                  <c:v>32345.88357034559</c:v>
                </c:pt>
                <c:pt idx="92">
                  <c:v>33256.55905580971</c:v>
                </c:pt>
                <c:pt idx="93">
                  <c:v>34167.23454127383</c:v>
                </c:pt>
                <c:pt idx="94">
                  <c:v>35077.91002673795</c:v>
                </c:pt>
                <c:pt idx="95">
                  <c:v>35988.58551220206</c:v>
                </c:pt>
                <c:pt idx="96">
                  <c:v>36140.36475977941</c:v>
                </c:pt>
                <c:pt idx="97">
                  <c:v>36140.36475977941</c:v>
                </c:pt>
                <c:pt idx="98">
                  <c:v>36140.36475977941</c:v>
                </c:pt>
                <c:pt idx="99">
                  <c:v>36140.36475977941</c:v>
                </c:pt>
              </c:numCache>
            </c:numRef>
          </c:val>
        </c:ser>
        <c:ser>
          <c:idx val="2"/>
          <c:order val="2"/>
          <c:tx>
            <c:strRef>
              <c:f>Percentiles!$A$27</c:f>
              <c:strCache>
                <c:ptCount val="1"/>
                <c:pt idx="0">
                  <c:v>Animal products consumed</c:v>
                </c:pt>
              </c:strCache>
            </c:strRef>
          </c:tx>
          <c:spPr>
            <a:solidFill>
              <a:srgbClr val="FFFFFF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Percentiles!$F$27:$DA$27</c:f>
              <c:numCache>
                <c:formatCode>0.00</c:formatCode>
                <c:ptCount val="100"/>
                <c:pt idx="0">
                  <c:v>573.6683149701675</c:v>
                </c:pt>
                <c:pt idx="1">
                  <c:v>573.6683149701675</c:v>
                </c:pt>
                <c:pt idx="2">
                  <c:v>573.6683149701675</c:v>
                </c:pt>
                <c:pt idx="3">
                  <c:v>573.6683149701675</c:v>
                </c:pt>
                <c:pt idx="4">
                  <c:v>573.6683149701675</c:v>
                </c:pt>
                <c:pt idx="5">
                  <c:v>573.6683149701675</c:v>
                </c:pt>
                <c:pt idx="6">
                  <c:v>573.6683149701675</c:v>
                </c:pt>
                <c:pt idx="7">
                  <c:v>573.6683149701675</c:v>
                </c:pt>
                <c:pt idx="8">
                  <c:v>573.6683149701675</c:v>
                </c:pt>
                <c:pt idx="9">
                  <c:v>573.6683149701675</c:v>
                </c:pt>
                <c:pt idx="10">
                  <c:v>573.6683149701675</c:v>
                </c:pt>
                <c:pt idx="11">
                  <c:v>573.6683149701675</c:v>
                </c:pt>
                <c:pt idx="12">
                  <c:v>573.6683149701675</c:v>
                </c:pt>
                <c:pt idx="13">
                  <c:v>573.6683149701675</c:v>
                </c:pt>
                <c:pt idx="14">
                  <c:v>573.6683149701675</c:v>
                </c:pt>
                <c:pt idx="15">
                  <c:v>573.6683149701675</c:v>
                </c:pt>
                <c:pt idx="16">
                  <c:v>573.6683149701675</c:v>
                </c:pt>
                <c:pt idx="17">
                  <c:v>573.6683149701675</c:v>
                </c:pt>
                <c:pt idx="18">
                  <c:v>573.6683149701675</c:v>
                </c:pt>
                <c:pt idx="19">
                  <c:v>586.906613652603</c:v>
                </c:pt>
                <c:pt idx="20">
                  <c:v>602.7925720715256</c:v>
                </c:pt>
                <c:pt idx="21">
                  <c:v>618.6785304904482</c:v>
                </c:pt>
                <c:pt idx="22">
                  <c:v>634.5644889093708</c:v>
                </c:pt>
                <c:pt idx="23">
                  <c:v>650.4504473282934</c:v>
                </c:pt>
                <c:pt idx="24">
                  <c:v>666.336405747216</c:v>
                </c:pt>
                <c:pt idx="25">
                  <c:v>682.2223641661386</c:v>
                </c:pt>
                <c:pt idx="26">
                  <c:v>698.1083225850611</c:v>
                </c:pt>
                <c:pt idx="27">
                  <c:v>713.9942810039838</c:v>
                </c:pt>
                <c:pt idx="28">
                  <c:v>729.8802394229064</c:v>
                </c:pt>
                <c:pt idx="29">
                  <c:v>745.7661978418289</c:v>
                </c:pt>
                <c:pt idx="30">
                  <c:v>761.6521562607516</c:v>
                </c:pt>
                <c:pt idx="31">
                  <c:v>777.538114679674</c:v>
                </c:pt>
                <c:pt idx="32">
                  <c:v>793.4240730985966</c:v>
                </c:pt>
                <c:pt idx="33">
                  <c:v>809.3100315175192</c:v>
                </c:pt>
                <c:pt idx="34">
                  <c:v>825.1959899364418</c:v>
                </c:pt>
                <c:pt idx="35">
                  <c:v>841.0819483553643</c:v>
                </c:pt>
                <c:pt idx="36">
                  <c:v>856.967906774287</c:v>
                </c:pt>
                <c:pt idx="37">
                  <c:v>872.8538651932096</c:v>
                </c:pt>
                <c:pt idx="38">
                  <c:v>888.739823612132</c:v>
                </c:pt>
                <c:pt idx="39">
                  <c:v>904.6257820310547</c:v>
                </c:pt>
                <c:pt idx="40">
                  <c:v>920.5117404499774</c:v>
                </c:pt>
                <c:pt idx="41">
                  <c:v>936.3976988689</c:v>
                </c:pt>
                <c:pt idx="42">
                  <c:v>952.2836572878225</c:v>
                </c:pt>
                <c:pt idx="43">
                  <c:v>968.1696157067452</c:v>
                </c:pt>
                <c:pt idx="44">
                  <c:v>984.0555741256676</c:v>
                </c:pt>
                <c:pt idx="45">
                  <c:v>999.9415325445902</c:v>
                </c:pt>
                <c:pt idx="46">
                  <c:v>1015.827490963513</c:v>
                </c:pt>
                <c:pt idx="47">
                  <c:v>1031.713449382436</c:v>
                </c:pt>
                <c:pt idx="48">
                  <c:v>1047.599407801358</c:v>
                </c:pt>
                <c:pt idx="49">
                  <c:v>1063.485366220281</c:v>
                </c:pt>
                <c:pt idx="50">
                  <c:v>1079.371324639203</c:v>
                </c:pt>
                <c:pt idx="51">
                  <c:v>1095.257283058126</c:v>
                </c:pt>
                <c:pt idx="52">
                  <c:v>1111.143241477048</c:v>
                </c:pt>
                <c:pt idx="53">
                  <c:v>1127.029199895971</c:v>
                </c:pt>
                <c:pt idx="54">
                  <c:v>1139.848081371155</c:v>
                </c:pt>
                <c:pt idx="55">
                  <c:v>1152.053547457591</c:v>
                </c:pt>
                <c:pt idx="56">
                  <c:v>1164.259013544027</c:v>
                </c:pt>
                <c:pt idx="57">
                  <c:v>1176.464479630464</c:v>
                </c:pt>
                <c:pt idx="58">
                  <c:v>1188.6699457169</c:v>
                </c:pt>
                <c:pt idx="59">
                  <c:v>1200.875411803336</c:v>
                </c:pt>
                <c:pt idx="60">
                  <c:v>1213.080877889772</c:v>
                </c:pt>
                <c:pt idx="61">
                  <c:v>1225.286343976209</c:v>
                </c:pt>
                <c:pt idx="62">
                  <c:v>1237.491810062645</c:v>
                </c:pt>
                <c:pt idx="63">
                  <c:v>1249.697276149081</c:v>
                </c:pt>
                <c:pt idx="64">
                  <c:v>1261.902742235518</c:v>
                </c:pt>
                <c:pt idx="65">
                  <c:v>1274.108208321954</c:v>
                </c:pt>
                <c:pt idx="66">
                  <c:v>1286.31367440839</c:v>
                </c:pt>
                <c:pt idx="67">
                  <c:v>1298.519140494826</c:v>
                </c:pt>
                <c:pt idx="68">
                  <c:v>1310.724606581262</c:v>
                </c:pt>
                <c:pt idx="69">
                  <c:v>1322.930072667699</c:v>
                </c:pt>
                <c:pt idx="70">
                  <c:v>1335.135538754135</c:v>
                </c:pt>
                <c:pt idx="71">
                  <c:v>1347.341004840571</c:v>
                </c:pt>
                <c:pt idx="72">
                  <c:v>1359.546470927007</c:v>
                </c:pt>
                <c:pt idx="73">
                  <c:v>1371.751937013444</c:v>
                </c:pt>
                <c:pt idx="74">
                  <c:v>1383.95740309988</c:v>
                </c:pt>
                <c:pt idx="75">
                  <c:v>1396.162869186316</c:v>
                </c:pt>
                <c:pt idx="76">
                  <c:v>1408.368335272753</c:v>
                </c:pt>
                <c:pt idx="77">
                  <c:v>1420.573801359189</c:v>
                </c:pt>
                <c:pt idx="78">
                  <c:v>1432.779267445625</c:v>
                </c:pt>
                <c:pt idx="79">
                  <c:v>1444.984733532061</c:v>
                </c:pt>
                <c:pt idx="80">
                  <c:v>1457.190199618497</c:v>
                </c:pt>
                <c:pt idx="81">
                  <c:v>1511.683063274203</c:v>
                </c:pt>
                <c:pt idx="82">
                  <c:v>1574.633406443761</c:v>
                </c:pt>
                <c:pt idx="83">
                  <c:v>1637.583749613319</c:v>
                </c:pt>
                <c:pt idx="84">
                  <c:v>1700.534092782877</c:v>
                </c:pt>
                <c:pt idx="85">
                  <c:v>1763.484435952436</c:v>
                </c:pt>
                <c:pt idx="86">
                  <c:v>1826.434779121994</c:v>
                </c:pt>
                <c:pt idx="87">
                  <c:v>1889.385122291552</c:v>
                </c:pt>
                <c:pt idx="88">
                  <c:v>1952.335465461111</c:v>
                </c:pt>
                <c:pt idx="89">
                  <c:v>2015.285808630669</c:v>
                </c:pt>
                <c:pt idx="90">
                  <c:v>2078.236151800227</c:v>
                </c:pt>
                <c:pt idx="91">
                  <c:v>2141.186494969786</c:v>
                </c:pt>
                <c:pt idx="92">
                  <c:v>2204.136838139344</c:v>
                </c:pt>
                <c:pt idx="93">
                  <c:v>2267.087181308902</c:v>
                </c:pt>
                <c:pt idx="94">
                  <c:v>2330.03752447846</c:v>
                </c:pt>
                <c:pt idx="95">
                  <c:v>2392.987867648018</c:v>
                </c:pt>
                <c:pt idx="96">
                  <c:v>2403.479591509611</c:v>
                </c:pt>
                <c:pt idx="97">
                  <c:v>2403.479591509611</c:v>
                </c:pt>
                <c:pt idx="98">
                  <c:v>2403.479591509611</c:v>
                </c:pt>
                <c:pt idx="99">
                  <c:v>2403.479591509611</c:v>
                </c:pt>
              </c:numCache>
            </c:numRef>
          </c:val>
        </c:ser>
        <c:ser>
          <c:idx val="3"/>
          <c:order val="3"/>
          <c:tx>
            <c:strRef>
              <c:f>Percentiles!$A$28</c:f>
              <c:strCache>
                <c:ptCount val="1"/>
                <c:pt idx="0">
                  <c:v>Animal products sold</c:v>
                </c:pt>
              </c:strCache>
            </c:strRef>
          </c:tx>
          <c:spPr>
            <a:solidFill>
              <a:srgbClr val="FCF305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Percentiles!$F$28:$DA$28</c:f>
              <c:numCache>
                <c:formatCode>0.00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ser>
          <c:idx val="4"/>
          <c:order val="4"/>
          <c:tx>
            <c:strRef>
              <c:f>Percentiles!$A$29</c:f>
              <c:strCache>
                <c:ptCount val="1"/>
                <c:pt idx="0">
                  <c:v>Animals sold</c:v>
                </c:pt>
              </c:strCache>
            </c:strRef>
          </c:tx>
          <c:spPr>
            <a:solidFill>
              <a:srgbClr val="FAC090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Percentiles!$F$29:$DA$29</c:f>
              <c:numCache>
                <c:formatCode>0.00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137.7819267673718</c:v>
                </c:pt>
                <c:pt idx="20">
                  <c:v>303.1202388882176</c:v>
                </c:pt>
                <c:pt idx="21">
                  <c:v>468.4585510090633</c:v>
                </c:pt>
                <c:pt idx="22">
                  <c:v>633.796863129909</c:v>
                </c:pt>
                <c:pt idx="23">
                  <c:v>799.1351752507547</c:v>
                </c:pt>
                <c:pt idx="24">
                  <c:v>964.4734873716004</c:v>
                </c:pt>
                <c:pt idx="25">
                  <c:v>1129.811799492446</c:v>
                </c:pt>
                <c:pt idx="26">
                  <c:v>1295.150111613292</c:v>
                </c:pt>
                <c:pt idx="27">
                  <c:v>1460.488423734138</c:v>
                </c:pt>
                <c:pt idx="28">
                  <c:v>1625.826735854983</c:v>
                </c:pt>
                <c:pt idx="29">
                  <c:v>1791.165047975829</c:v>
                </c:pt>
                <c:pt idx="30">
                  <c:v>1956.503360096674</c:v>
                </c:pt>
                <c:pt idx="31">
                  <c:v>2121.84167221752</c:v>
                </c:pt>
                <c:pt idx="32">
                  <c:v>2287.179984338366</c:v>
                </c:pt>
                <c:pt idx="33">
                  <c:v>2452.518296459212</c:v>
                </c:pt>
                <c:pt idx="34">
                  <c:v>2617.856608580058</c:v>
                </c:pt>
                <c:pt idx="35">
                  <c:v>2783.194920700903</c:v>
                </c:pt>
                <c:pt idx="36">
                  <c:v>2948.53323282175</c:v>
                </c:pt>
                <c:pt idx="37">
                  <c:v>3113.871544942594</c:v>
                </c:pt>
                <c:pt idx="38">
                  <c:v>3279.20985706344</c:v>
                </c:pt>
                <c:pt idx="39">
                  <c:v>3444.548169184286</c:v>
                </c:pt>
                <c:pt idx="40">
                  <c:v>3609.886481305132</c:v>
                </c:pt>
                <c:pt idx="41">
                  <c:v>3775.224793425977</c:v>
                </c:pt>
                <c:pt idx="42">
                  <c:v>3940.563105546823</c:v>
                </c:pt>
                <c:pt idx="43">
                  <c:v>4105.90141766767</c:v>
                </c:pt>
                <c:pt idx="44">
                  <c:v>4271.239729788515</c:v>
                </c:pt>
                <c:pt idx="45">
                  <c:v>4436.578041909361</c:v>
                </c:pt>
                <c:pt idx="46">
                  <c:v>4601.916354030206</c:v>
                </c:pt>
                <c:pt idx="47">
                  <c:v>4767.254666151052</c:v>
                </c:pt>
                <c:pt idx="48">
                  <c:v>4932.592978271897</c:v>
                </c:pt>
                <c:pt idx="49">
                  <c:v>5097.931290392743</c:v>
                </c:pt>
                <c:pt idx="50">
                  <c:v>5263.26960251359</c:v>
                </c:pt>
                <c:pt idx="51">
                  <c:v>5428.607914634435</c:v>
                </c:pt>
                <c:pt idx="52">
                  <c:v>5593.94622675528</c:v>
                </c:pt>
                <c:pt idx="53">
                  <c:v>5759.284538876126</c:v>
                </c:pt>
                <c:pt idx="54">
                  <c:v>6158.29503244937</c:v>
                </c:pt>
                <c:pt idx="55">
                  <c:v>6604.039962313094</c:v>
                </c:pt>
                <c:pt idx="56">
                  <c:v>7049.784892176818</c:v>
                </c:pt>
                <c:pt idx="57">
                  <c:v>7495.529822040541</c:v>
                </c:pt>
                <c:pt idx="58">
                  <c:v>7941.274751904264</c:v>
                </c:pt>
                <c:pt idx="59">
                  <c:v>8387.019681767988</c:v>
                </c:pt>
                <c:pt idx="60">
                  <c:v>8832.764611631711</c:v>
                </c:pt>
                <c:pt idx="61">
                  <c:v>9278.509541495433</c:v>
                </c:pt>
                <c:pt idx="62">
                  <c:v>9724.254471359157</c:v>
                </c:pt>
                <c:pt idx="63">
                  <c:v>10169.99940122288</c:v>
                </c:pt>
                <c:pt idx="64">
                  <c:v>10615.7443310866</c:v>
                </c:pt>
                <c:pt idx="65">
                  <c:v>11061.48926095033</c:v>
                </c:pt>
                <c:pt idx="66">
                  <c:v>11507.23419081405</c:v>
                </c:pt>
                <c:pt idx="67">
                  <c:v>11952.97912067778</c:v>
                </c:pt>
                <c:pt idx="68">
                  <c:v>12398.7240505415</c:v>
                </c:pt>
                <c:pt idx="69">
                  <c:v>12844.46898040522</c:v>
                </c:pt>
                <c:pt idx="70">
                  <c:v>13290.21391026895</c:v>
                </c:pt>
                <c:pt idx="71">
                  <c:v>13735.95884013267</c:v>
                </c:pt>
                <c:pt idx="72">
                  <c:v>14181.7037699964</c:v>
                </c:pt>
                <c:pt idx="73">
                  <c:v>14627.44869986012</c:v>
                </c:pt>
                <c:pt idx="74">
                  <c:v>15073.19362972384</c:v>
                </c:pt>
                <c:pt idx="75">
                  <c:v>15518.93855958756</c:v>
                </c:pt>
                <c:pt idx="76">
                  <c:v>15964.68348945128</c:v>
                </c:pt>
                <c:pt idx="77">
                  <c:v>16410.42841931501</c:v>
                </c:pt>
                <c:pt idx="78">
                  <c:v>16856.17334917873</c:v>
                </c:pt>
                <c:pt idx="79">
                  <c:v>17301.91827904245</c:v>
                </c:pt>
                <c:pt idx="80">
                  <c:v>17747.66320890618</c:v>
                </c:pt>
                <c:pt idx="81">
                  <c:v>18559.15950495412</c:v>
                </c:pt>
                <c:pt idx="82">
                  <c:v>19443.80607423891</c:v>
                </c:pt>
                <c:pt idx="83">
                  <c:v>20328.45264352369</c:v>
                </c:pt>
                <c:pt idx="84">
                  <c:v>21213.09921280847</c:v>
                </c:pt>
                <c:pt idx="85">
                  <c:v>22097.74578209325</c:v>
                </c:pt>
                <c:pt idx="86">
                  <c:v>22982.39235137804</c:v>
                </c:pt>
                <c:pt idx="87">
                  <c:v>23867.03892066282</c:v>
                </c:pt>
                <c:pt idx="88">
                  <c:v>24751.6854899476</c:v>
                </c:pt>
                <c:pt idx="89">
                  <c:v>25636.33205923238</c:v>
                </c:pt>
                <c:pt idx="90">
                  <c:v>26520.97862851716</c:v>
                </c:pt>
                <c:pt idx="91">
                  <c:v>27405.62519780195</c:v>
                </c:pt>
                <c:pt idx="92">
                  <c:v>28290.27176708673</c:v>
                </c:pt>
                <c:pt idx="93">
                  <c:v>29174.91833637151</c:v>
                </c:pt>
                <c:pt idx="94">
                  <c:v>30059.5649056563</c:v>
                </c:pt>
                <c:pt idx="95">
                  <c:v>30944.21147494108</c:v>
                </c:pt>
                <c:pt idx="96">
                  <c:v>31091.65256982186</c:v>
                </c:pt>
                <c:pt idx="97">
                  <c:v>31091.65256982186</c:v>
                </c:pt>
                <c:pt idx="98">
                  <c:v>31091.65256982186</c:v>
                </c:pt>
                <c:pt idx="99">
                  <c:v>31091.65256982186</c:v>
                </c:pt>
              </c:numCache>
            </c:numRef>
          </c:val>
        </c:ser>
        <c:ser>
          <c:idx val="5"/>
          <c:order val="5"/>
          <c:tx>
            <c:strRef>
              <c:f>Percentiles!$A$30</c:f>
              <c:strCache>
                <c:ptCount val="1"/>
                <c:pt idx="0">
                  <c:v>Wild foods consumed and sold</c:v>
                </c:pt>
              </c:strCache>
            </c:strRef>
          </c:tx>
          <c:spPr>
            <a:solidFill>
              <a:srgbClr val="B3A2C7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Percentiles!$F$30:$DA$30</c:f>
              <c:numCache>
                <c:formatCode>0.00</c:formatCode>
                <c:ptCount val="100"/>
                <c:pt idx="0">
                  <c:v>657.7350047472464</c:v>
                </c:pt>
                <c:pt idx="1">
                  <c:v>657.7350047472464</c:v>
                </c:pt>
                <c:pt idx="2">
                  <c:v>657.7350047472464</c:v>
                </c:pt>
                <c:pt idx="3">
                  <c:v>657.7350047472464</c:v>
                </c:pt>
                <c:pt idx="4">
                  <c:v>657.7350047472464</c:v>
                </c:pt>
                <c:pt idx="5">
                  <c:v>657.7350047472464</c:v>
                </c:pt>
                <c:pt idx="6">
                  <c:v>657.7350047472464</c:v>
                </c:pt>
                <c:pt idx="7">
                  <c:v>657.7350047472464</c:v>
                </c:pt>
                <c:pt idx="8">
                  <c:v>657.7350047472464</c:v>
                </c:pt>
                <c:pt idx="9">
                  <c:v>657.7350047472464</c:v>
                </c:pt>
                <c:pt idx="10">
                  <c:v>657.7350047472464</c:v>
                </c:pt>
                <c:pt idx="11">
                  <c:v>657.7350047472464</c:v>
                </c:pt>
                <c:pt idx="12">
                  <c:v>657.7350047472464</c:v>
                </c:pt>
                <c:pt idx="13">
                  <c:v>657.7350047472464</c:v>
                </c:pt>
                <c:pt idx="14">
                  <c:v>657.7350047472464</c:v>
                </c:pt>
                <c:pt idx="15">
                  <c:v>657.7350047472464</c:v>
                </c:pt>
                <c:pt idx="16">
                  <c:v>657.7350047472464</c:v>
                </c:pt>
                <c:pt idx="17">
                  <c:v>657.7350047472464</c:v>
                </c:pt>
                <c:pt idx="18">
                  <c:v>657.7350047472464</c:v>
                </c:pt>
                <c:pt idx="19">
                  <c:v>669.3049701825659</c:v>
                </c:pt>
                <c:pt idx="20">
                  <c:v>683.188928704949</c:v>
                </c:pt>
                <c:pt idx="21">
                  <c:v>697.0728872273323</c:v>
                </c:pt>
                <c:pt idx="22">
                  <c:v>710.9568457497155</c:v>
                </c:pt>
                <c:pt idx="23">
                  <c:v>724.8408042720988</c:v>
                </c:pt>
                <c:pt idx="24">
                  <c:v>738.7247627944821</c:v>
                </c:pt>
                <c:pt idx="25">
                  <c:v>752.6087213168652</c:v>
                </c:pt>
                <c:pt idx="26">
                  <c:v>766.4926798392486</c:v>
                </c:pt>
                <c:pt idx="27">
                  <c:v>780.3766383616317</c:v>
                </c:pt>
                <c:pt idx="28">
                  <c:v>794.2605968840151</c:v>
                </c:pt>
                <c:pt idx="29">
                  <c:v>808.1445554063982</c:v>
                </c:pt>
                <c:pt idx="30">
                  <c:v>822.0285139287815</c:v>
                </c:pt>
                <c:pt idx="31">
                  <c:v>835.9124724511648</c:v>
                </c:pt>
                <c:pt idx="32">
                  <c:v>849.796430973548</c:v>
                </c:pt>
                <c:pt idx="33">
                  <c:v>863.6803894959313</c:v>
                </c:pt>
                <c:pt idx="34">
                  <c:v>877.5643480183144</c:v>
                </c:pt>
                <c:pt idx="35">
                  <c:v>891.4483065406977</c:v>
                </c:pt>
                <c:pt idx="36">
                  <c:v>905.332265063081</c:v>
                </c:pt>
                <c:pt idx="37">
                  <c:v>919.2162235854643</c:v>
                </c:pt>
                <c:pt idx="38">
                  <c:v>933.1001821078475</c:v>
                </c:pt>
                <c:pt idx="39">
                  <c:v>946.9841406302307</c:v>
                </c:pt>
                <c:pt idx="40">
                  <c:v>960.868099152614</c:v>
                </c:pt>
                <c:pt idx="41">
                  <c:v>974.7520576749973</c:v>
                </c:pt>
                <c:pt idx="42">
                  <c:v>988.6360161973805</c:v>
                </c:pt>
                <c:pt idx="43">
                  <c:v>1002.519974719764</c:v>
                </c:pt>
                <c:pt idx="44">
                  <c:v>1016.403933242147</c:v>
                </c:pt>
                <c:pt idx="45">
                  <c:v>1030.28789176453</c:v>
                </c:pt>
                <c:pt idx="46">
                  <c:v>1044.171850286913</c:v>
                </c:pt>
                <c:pt idx="47">
                  <c:v>1058.055808809297</c:v>
                </c:pt>
                <c:pt idx="48">
                  <c:v>1071.93976733168</c:v>
                </c:pt>
                <c:pt idx="49">
                  <c:v>1085.823725854063</c:v>
                </c:pt>
                <c:pt idx="50">
                  <c:v>1099.707684376446</c:v>
                </c:pt>
                <c:pt idx="51">
                  <c:v>1113.59164289883</c:v>
                </c:pt>
                <c:pt idx="52">
                  <c:v>1127.475601421213</c:v>
                </c:pt>
                <c:pt idx="53">
                  <c:v>1141.359559943596</c:v>
                </c:pt>
                <c:pt idx="54">
                  <c:v>1108.374986579096</c:v>
                </c:pt>
                <c:pt idx="55">
                  <c:v>1066.01670683722</c:v>
                </c:pt>
                <c:pt idx="56">
                  <c:v>1023.658427095344</c:v>
                </c:pt>
                <c:pt idx="57">
                  <c:v>981.3001473534674</c:v>
                </c:pt>
                <c:pt idx="58">
                  <c:v>938.9418676115911</c:v>
                </c:pt>
                <c:pt idx="59">
                  <c:v>896.5835878697148</c:v>
                </c:pt>
                <c:pt idx="60">
                  <c:v>854.2253081278385</c:v>
                </c:pt>
                <c:pt idx="61">
                  <c:v>811.8670283859622</c:v>
                </c:pt>
                <c:pt idx="62">
                  <c:v>769.508748644086</c:v>
                </c:pt>
                <c:pt idx="63">
                  <c:v>727.1504689022097</c:v>
                </c:pt>
                <c:pt idx="64">
                  <c:v>684.7921891603332</c:v>
                </c:pt>
                <c:pt idx="65">
                  <c:v>642.433909418457</c:v>
                </c:pt>
                <c:pt idx="66">
                  <c:v>600.0756296765806</c:v>
                </c:pt>
                <c:pt idx="67">
                  <c:v>557.7173499347043</c:v>
                </c:pt>
                <c:pt idx="68">
                  <c:v>515.359070192828</c:v>
                </c:pt>
                <c:pt idx="69">
                  <c:v>473.0007904509517</c:v>
                </c:pt>
                <c:pt idx="70">
                  <c:v>430.6425107090754</c:v>
                </c:pt>
                <c:pt idx="71">
                  <c:v>388.2842309671991</c:v>
                </c:pt>
                <c:pt idx="72">
                  <c:v>345.9259512253228</c:v>
                </c:pt>
                <c:pt idx="73">
                  <c:v>303.5676714834464</c:v>
                </c:pt>
                <c:pt idx="74">
                  <c:v>261.2093917415701</c:v>
                </c:pt>
                <c:pt idx="75">
                  <c:v>218.8511119996939</c:v>
                </c:pt>
                <c:pt idx="76">
                  <c:v>176.4928322578176</c:v>
                </c:pt>
                <c:pt idx="77">
                  <c:v>134.1345525159413</c:v>
                </c:pt>
                <c:pt idx="78">
                  <c:v>91.77627277406486</c:v>
                </c:pt>
                <c:pt idx="79">
                  <c:v>49.41799303218863</c:v>
                </c:pt>
                <c:pt idx="80">
                  <c:v>7.059713290312402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ser>
          <c:idx val="6"/>
          <c:order val="6"/>
          <c:tx>
            <c:strRef>
              <c:f>Percentiles!$A$31</c:f>
              <c:strCache>
                <c:ptCount val="1"/>
                <c:pt idx="0">
                  <c:v>Labour - casual</c:v>
                </c:pt>
              </c:strCache>
            </c:strRef>
          </c:tx>
          <c:spPr>
            <a:solidFill>
              <a:srgbClr val="D99694"/>
            </a:solidFill>
            <a:ln w="25400">
              <a:noFill/>
            </a:ln>
          </c:spPr>
          <c:invertIfNegative val="0"/>
          <c:val>
            <c:numRef>
              <c:f>Percentiles!$F$31:$DA$31</c:f>
              <c:numCache>
                <c:formatCode>0.00</c:formatCode>
                <c:ptCount val="100"/>
                <c:pt idx="0">
                  <c:v>8001.6947213181</c:v>
                </c:pt>
                <c:pt idx="1">
                  <c:v>8001.6947213181</c:v>
                </c:pt>
                <c:pt idx="2">
                  <c:v>8001.6947213181</c:v>
                </c:pt>
                <c:pt idx="3">
                  <c:v>8001.6947213181</c:v>
                </c:pt>
                <c:pt idx="4">
                  <c:v>8001.6947213181</c:v>
                </c:pt>
                <c:pt idx="5">
                  <c:v>8001.6947213181</c:v>
                </c:pt>
                <c:pt idx="6">
                  <c:v>8001.6947213181</c:v>
                </c:pt>
                <c:pt idx="7">
                  <c:v>8001.6947213181</c:v>
                </c:pt>
                <c:pt idx="8">
                  <c:v>8001.6947213181</c:v>
                </c:pt>
                <c:pt idx="9">
                  <c:v>8001.6947213181</c:v>
                </c:pt>
                <c:pt idx="10">
                  <c:v>8001.6947213181</c:v>
                </c:pt>
                <c:pt idx="11">
                  <c:v>8001.6947213181</c:v>
                </c:pt>
                <c:pt idx="12">
                  <c:v>8001.6947213181</c:v>
                </c:pt>
                <c:pt idx="13">
                  <c:v>8001.6947213181</c:v>
                </c:pt>
                <c:pt idx="14">
                  <c:v>8001.6947213181</c:v>
                </c:pt>
                <c:pt idx="15">
                  <c:v>8001.6947213181</c:v>
                </c:pt>
                <c:pt idx="16">
                  <c:v>8001.6947213181</c:v>
                </c:pt>
                <c:pt idx="17">
                  <c:v>8001.6947213181</c:v>
                </c:pt>
                <c:pt idx="18">
                  <c:v>8001.6947213181</c:v>
                </c:pt>
                <c:pt idx="19">
                  <c:v>8151.548092397947</c:v>
                </c:pt>
                <c:pt idx="20">
                  <c:v>8331.372137693763</c:v>
                </c:pt>
                <c:pt idx="21">
                  <c:v>8511.196182989577</c:v>
                </c:pt>
                <c:pt idx="22">
                  <c:v>8691.020228285393</c:v>
                </c:pt>
                <c:pt idx="23">
                  <c:v>8870.84427358121</c:v>
                </c:pt>
                <c:pt idx="24">
                  <c:v>9050.668318877025</c:v>
                </c:pt>
                <c:pt idx="25">
                  <c:v>9230.49236417284</c:v>
                </c:pt>
                <c:pt idx="26">
                  <c:v>9410.316409468658</c:v>
                </c:pt>
                <c:pt idx="27">
                  <c:v>9590.140454764474</c:v>
                </c:pt>
                <c:pt idx="28">
                  <c:v>9769.96450006029</c:v>
                </c:pt>
                <c:pt idx="29">
                  <c:v>9949.788545356106</c:v>
                </c:pt>
                <c:pt idx="30">
                  <c:v>10129.61259065192</c:v>
                </c:pt>
                <c:pt idx="31">
                  <c:v>10309.43663594774</c:v>
                </c:pt>
                <c:pt idx="32">
                  <c:v>10489.26068124355</c:v>
                </c:pt>
                <c:pt idx="33">
                  <c:v>10669.08472653937</c:v>
                </c:pt>
                <c:pt idx="34">
                  <c:v>10848.90877183518</c:v>
                </c:pt>
                <c:pt idx="35">
                  <c:v>11028.732817131</c:v>
                </c:pt>
                <c:pt idx="36">
                  <c:v>11208.55686242682</c:v>
                </c:pt>
                <c:pt idx="37">
                  <c:v>11388.38090772263</c:v>
                </c:pt>
                <c:pt idx="38">
                  <c:v>11568.20495301845</c:v>
                </c:pt>
                <c:pt idx="39">
                  <c:v>11748.02899831426</c:v>
                </c:pt>
                <c:pt idx="40">
                  <c:v>11927.85304361008</c:v>
                </c:pt>
                <c:pt idx="41">
                  <c:v>12107.6770889059</c:v>
                </c:pt>
                <c:pt idx="42">
                  <c:v>12287.50113420171</c:v>
                </c:pt>
                <c:pt idx="43">
                  <c:v>12467.32517949753</c:v>
                </c:pt>
                <c:pt idx="44">
                  <c:v>12647.14922479335</c:v>
                </c:pt>
                <c:pt idx="45">
                  <c:v>12826.97327008916</c:v>
                </c:pt>
                <c:pt idx="46">
                  <c:v>13006.79731538498</c:v>
                </c:pt>
                <c:pt idx="47">
                  <c:v>13186.62136068079</c:v>
                </c:pt>
                <c:pt idx="48">
                  <c:v>13366.44540597661</c:v>
                </c:pt>
                <c:pt idx="49">
                  <c:v>13546.26945127242</c:v>
                </c:pt>
                <c:pt idx="50">
                  <c:v>13726.09349656824</c:v>
                </c:pt>
                <c:pt idx="51">
                  <c:v>13905.91754186406</c:v>
                </c:pt>
                <c:pt idx="52">
                  <c:v>14085.74158715987</c:v>
                </c:pt>
                <c:pt idx="53">
                  <c:v>14265.56563245569</c:v>
                </c:pt>
                <c:pt idx="54">
                  <c:v>13854.3160502929</c:v>
                </c:pt>
                <c:pt idx="55">
                  <c:v>13324.8517426384</c:v>
                </c:pt>
                <c:pt idx="56">
                  <c:v>12795.38743498389</c:v>
                </c:pt>
                <c:pt idx="57">
                  <c:v>12265.92312732938</c:v>
                </c:pt>
                <c:pt idx="58">
                  <c:v>11736.45881967488</c:v>
                </c:pt>
                <c:pt idx="59">
                  <c:v>11206.99451202037</c:v>
                </c:pt>
                <c:pt idx="60">
                  <c:v>10677.53020436586</c:v>
                </c:pt>
                <c:pt idx="61">
                  <c:v>10148.06589671136</c:v>
                </c:pt>
                <c:pt idx="62">
                  <c:v>9618.601589056852</c:v>
                </c:pt>
                <c:pt idx="63">
                  <c:v>9089.137281402345</c:v>
                </c:pt>
                <c:pt idx="64">
                  <c:v>8559.672973747842</c:v>
                </c:pt>
                <c:pt idx="65">
                  <c:v>8030.208666093334</c:v>
                </c:pt>
                <c:pt idx="66">
                  <c:v>7500.744358438829</c:v>
                </c:pt>
                <c:pt idx="67">
                  <c:v>6971.280050784323</c:v>
                </c:pt>
                <c:pt idx="68">
                  <c:v>6441.815743129817</c:v>
                </c:pt>
                <c:pt idx="69">
                  <c:v>5912.35143547531</c:v>
                </c:pt>
                <c:pt idx="70">
                  <c:v>5382.887127820806</c:v>
                </c:pt>
                <c:pt idx="71">
                  <c:v>4853.4228201663</c:v>
                </c:pt>
                <c:pt idx="72">
                  <c:v>4323.958512511794</c:v>
                </c:pt>
                <c:pt idx="73">
                  <c:v>3794.494204857287</c:v>
                </c:pt>
                <c:pt idx="74">
                  <c:v>3265.029897202783</c:v>
                </c:pt>
                <c:pt idx="75">
                  <c:v>2735.565589548276</c:v>
                </c:pt>
                <c:pt idx="76">
                  <c:v>2206.101281893769</c:v>
                </c:pt>
                <c:pt idx="77">
                  <c:v>1676.636974239264</c:v>
                </c:pt>
                <c:pt idx="78">
                  <c:v>1147.172666584756</c:v>
                </c:pt>
                <c:pt idx="79">
                  <c:v>617.7083589302528</c:v>
                </c:pt>
                <c:pt idx="80">
                  <c:v>88.24405127574573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ser>
          <c:idx val="7"/>
          <c:order val="7"/>
          <c:tx>
            <c:strRef>
              <c:f>Percentiles!$A$32</c:f>
              <c:strCache>
                <c:ptCount val="1"/>
                <c:pt idx="0">
                  <c:v>Labour - formal emp</c:v>
                </c:pt>
              </c:strCache>
            </c:strRef>
          </c:tx>
          <c:spPr>
            <a:solidFill>
              <a:srgbClr val="C0504D"/>
            </a:solidFill>
            <a:ln w="25400">
              <a:noFill/>
            </a:ln>
          </c:spPr>
          <c:invertIfNegative val="0"/>
          <c:val>
            <c:numRef>
              <c:f>Percentiles!$F$32:$DA$32</c:f>
              <c:numCache>
                <c:formatCode>0.00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308.5324116085174</c:v>
                </c:pt>
                <c:pt idx="20">
                  <c:v>678.771305538737</c:v>
                </c:pt>
                <c:pt idx="21">
                  <c:v>1049.010199468957</c:v>
                </c:pt>
                <c:pt idx="22">
                  <c:v>1419.249093399177</c:v>
                </c:pt>
                <c:pt idx="23">
                  <c:v>1789.487987329396</c:v>
                </c:pt>
                <c:pt idx="24">
                  <c:v>2159.726881259616</c:v>
                </c:pt>
                <c:pt idx="25">
                  <c:v>2529.965775189836</c:v>
                </c:pt>
                <c:pt idx="26">
                  <c:v>2900.204669120056</c:v>
                </c:pt>
                <c:pt idx="27">
                  <c:v>3270.443563050276</c:v>
                </c:pt>
                <c:pt idx="28">
                  <c:v>3640.682456980496</c:v>
                </c:pt>
                <c:pt idx="29">
                  <c:v>4010.921350910715</c:v>
                </c:pt>
                <c:pt idx="30">
                  <c:v>4381.160244840934</c:v>
                </c:pt>
                <c:pt idx="31">
                  <c:v>4751.399138771154</c:v>
                </c:pt>
                <c:pt idx="32">
                  <c:v>5121.638032701375</c:v>
                </c:pt>
                <c:pt idx="33">
                  <c:v>5491.876926631593</c:v>
                </c:pt>
                <c:pt idx="34">
                  <c:v>5862.115820561813</c:v>
                </c:pt>
                <c:pt idx="35">
                  <c:v>6232.354714492034</c:v>
                </c:pt>
                <c:pt idx="36">
                  <c:v>6602.593608422254</c:v>
                </c:pt>
                <c:pt idx="37">
                  <c:v>6972.832502352474</c:v>
                </c:pt>
                <c:pt idx="38">
                  <c:v>7343.071396282694</c:v>
                </c:pt>
                <c:pt idx="39">
                  <c:v>7713.310290212913</c:v>
                </c:pt>
                <c:pt idx="40">
                  <c:v>8083.549184143132</c:v>
                </c:pt>
                <c:pt idx="41">
                  <c:v>8453.788078073352</c:v>
                </c:pt>
                <c:pt idx="42">
                  <c:v>8824.026972003572</c:v>
                </c:pt>
                <c:pt idx="43">
                  <c:v>9194.265865933792</c:v>
                </c:pt>
                <c:pt idx="44">
                  <c:v>9564.504759864012</c:v>
                </c:pt>
                <c:pt idx="45">
                  <c:v>9934.743653794232</c:v>
                </c:pt>
                <c:pt idx="46">
                  <c:v>10304.98254772445</c:v>
                </c:pt>
                <c:pt idx="47">
                  <c:v>10675.22144165467</c:v>
                </c:pt>
                <c:pt idx="48">
                  <c:v>11045.46033558489</c:v>
                </c:pt>
                <c:pt idx="49">
                  <c:v>11415.69922951511</c:v>
                </c:pt>
                <c:pt idx="50">
                  <c:v>11785.93812344533</c:v>
                </c:pt>
                <c:pt idx="51">
                  <c:v>12156.17701737555</c:v>
                </c:pt>
                <c:pt idx="52">
                  <c:v>12526.41591130577</c:v>
                </c:pt>
                <c:pt idx="53">
                  <c:v>12896.654805236</c:v>
                </c:pt>
                <c:pt idx="54">
                  <c:v>13934.86117615031</c:v>
                </c:pt>
                <c:pt idx="55">
                  <c:v>15106.66104246144</c:v>
                </c:pt>
                <c:pt idx="56">
                  <c:v>16278.46090877257</c:v>
                </c:pt>
                <c:pt idx="57">
                  <c:v>17450.26077508371</c:v>
                </c:pt>
                <c:pt idx="58">
                  <c:v>18622.06064139484</c:v>
                </c:pt>
                <c:pt idx="59">
                  <c:v>19793.86050770598</c:v>
                </c:pt>
                <c:pt idx="60">
                  <c:v>20965.66037401711</c:v>
                </c:pt>
                <c:pt idx="61">
                  <c:v>22137.46024032824</c:v>
                </c:pt>
                <c:pt idx="62">
                  <c:v>23309.26010663938</c:v>
                </c:pt>
                <c:pt idx="63">
                  <c:v>24481.05997295051</c:v>
                </c:pt>
                <c:pt idx="64">
                  <c:v>25652.85983926164</c:v>
                </c:pt>
                <c:pt idx="65">
                  <c:v>26824.65970557278</c:v>
                </c:pt>
                <c:pt idx="66">
                  <c:v>27996.45957188391</c:v>
                </c:pt>
                <c:pt idx="67">
                  <c:v>29168.25943819505</c:v>
                </c:pt>
                <c:pt idx="68">
                  <c:v>30340.05930450618</c:v>
                </c:pt>
                <c:pt idx="69">
                  <c:v>31511.85917081731</c:v>
                </c:pt>
                <c:pt idx="70">
                  <c:v>32683.65903712845</c:v>
                </c:pt>
                <c:pt idx="71">
                  <c:v>33855.45890343958</c:v>
                </c:pt>
                <c:pt idx="72">
                  <c:v>35027.25876975072</c:v>
                </c:pt>
                <c:pt idx="73">
                  <c:v>36199.05863606185</c:v>
                </c:pt>
                <c:pt idx="74">
                  <c:v>37370.85850237298</c:v>
                </c:pt>
                <c:pt idx="75">
                  <c:v>38542.65836868412</c:v>
                </c:pt>
                <c:pt idx="76">
                  <c:v>39714.45823499525</c:v>
                </c:pt>
                <c:pt idx="77">
                  <c:v>40886.25810130638</c:v>
                </c:pt>
                <c:pt idx="78">
                  <c:v>42058.05796761752</c:v>
                </c:pt>
                <c:pt idx="79">
                  <c:v>43229.85783392865</c:v>
                </c:pt>
                <c:pt idx="80">
                  <c:v>44401.65770023979</c:v>
                </c:pt>
                <c:pt idx="81">
                  <c:v>53899.6773613061</c:v>
                </c:pt>
                <c:pt idx="82">
                  <c:v>65062.94098132334</c:v>
                </c:pt>
                <c:pt idx="83">
                  <c:v>76226.20460134058</c:v>
                </c:pt>
                <c:pt idx="84">
                  <c:v>87389.46822135781</c:v>
                </c:pt>
                <c:pt idx="85">
                  <c:v>98552.73184137503</c:v>
                </c:pt>
                <c:pt idx="86">
                  <c:v>109715.9954613923</c:v>
                </c:pt>
                <c:pt idx="87">
                  <c:v>120879.2590814095</c:v>
                </c:pt>
                <c:pt idx="88">
                  <c:v>132042.5227014267</c:v>
                </c:pt>
                <c:pt idx="89">
                  <c:v>143205.786321444</c:v>
                </c:pt>
                <c:pt idx="90">
                  <c:v>154369.0499414612</c:v>
                </c:pt>
                <c:pt idx="91">
                  <c:v>165532.3135614785</c:v>
                </c:pt>
                <c:pt idx="92">
                  <c:v>176695.5771814957</c:v>
                </c:pt>
                <c:pt idx="93">
                  <c:v>187858.840801513</c:v>
                </c:pt>
                <c:pt idx="94">
                  <c:v>199022.1044215302</c:v>
                </c:pt>
                <c:pt idx="95">
                  <c:v>210185.3680415474</c:v>
                </c:pt>
                <c:pt idx="96">
                  <c:v>212045.9119782168</c:v>
                </c:pt>
                <c:pt idx="97">
                  <c:v>212045.9119782168</c:v>
                </c:pt>
                <c:pt idx="98">
                  <c:v>212045.9119782168</c:v>
                </c:pt>
                <c:pt idx="99">
                  <c:v>212045.9119782168</c:v>
                </c:pt>
              </c:numCache>
            </c:numRef>
          </c:val>
        </c:ser>
        <c:ser>
          <c:idx val="8"/>
          <c:order val="8"/>
          <c:tx>
            <c:strRef>
              <c:f>Percentiles!$A$33</c:f>
              <c:strCache>
                <c:ptCount val="1"/>
                <c:pt idx="0">
                  <c:v>Self - employment</c:v>
                </c:pt>
              </c:strCache>
            </c:strRef>
          </c:tx>
          <c:spPr>
            <a:solidFill>
              <a:srgbClr val="FFCCFF"/>
            </a:solidFill>
            <a:ln w="25400">
              <a:noFill/>
            </a:ln>
          </c:spPr>
          <c:invertIfNegative val="0"/>
          <c:val>
            <c:numRef>
              <c:f>Percentiles!$F$33:$DA$33</c:f>
              <c:numCache>
                <c:formatCode>0.00</c:formatCode>
                <c:ptCount val="100"/>
                <c:pt idx="0">
                  <c:v>1125.021366328872</c:v>
                </c:pt>
                <c:pt idx="1">
                  <c:v>1125.021366328872</c:v>
                </c:pt>
                <c:pt idx="2">
                  <c:v>1125.021366328872</c:v>
                </c:pt>
                <c:pt idx="3">
                  <c:v>1125.021366328872</c:v>
                </c:pt>
                <c:pt idx="4">
                  <c:v>1125.021366328872</c:v>
                </c:pt>
                <c:pt idx="5">
                  <c:v>1125.021366328872</c:v>
                </c:pt>
                <c:pt idx="6">
                  <c:v>1125.021366328872</c:v>
                </c:pt>
                <c:pt idx="7">
                  <c:v>1125.021366328872</c:v>
                </c:pt>
                <c:pt idx="8">
                  <c:v>1125.021366328872</c:v>
                </c:pt>
                <c:pt idx="9">
                  <c:v>1125.021366328872</c:v>
                </c:pt>
                <c:pt idx="10">
                  <c:v>1125.021366328872</c:v>
                </c:pt>
                <c:pt idx="11">
                  <c:v>1125.021366328872</c:v>
                </c:pt>
                <c:pt idx="12">
                  <c:v>1125.021366328872</c:v>
                </c:pt>
                <c:pt idx="13">
                  <c:v>1125.021366328872</c:v>
                </c:pt>
                <c:pt idx="14">
                  <c:v>1125.021366328872</c:v>
                </c:pt>
                <c:pt idx="15">
                  <c:v>1125.021366328872</c:v>
                </c:pt>
                <c:pt idx="16">
                  <c:v>1125.021366328872</c:v>
                </c:pt>
                <c:pt idx="17">
                  <c:v>1125.021366328872</c:v>
                </c:pt>
                <c:pt idx="18">
                  <c:v>1125.021366328872</c:v>
                </c:pt>
                <c:pt idx="19">
                  <c:v>1246.774800576506</c:v>
                </c:pt>
                <c:pt idx="20">
                  <c:v>1392.878921673666</c:v>
                </c:pt>
                <c:pt idx="21">
                  <c:v>1538.983042770827</c:v>
                </c:pt>
                <c:pt idx="22">
                  <c:v>1685.087163867987</c:v>
                </c:pt>
                <c:pt idx="23">
                  <c:v>1831.191284965147</c:v>
                </c:pt>
                <c:pt idx="24">
                  <c:v>1977.295406062307</c:v>
                </c:pt>
                <c:pt idx="25">
                  <c:v>2123.399527159468</c:v>
                </c:pt>
                <c:pt idx="26">
                  <c:v>2269.503648256628</c:v>
                </c:pt>
                <c:pt idx="27">
                  <c:v>2415.607769353788</c:v>
                </c:pt>
                <c:pt idx="28">
                  <c:v>2561.711890450948</c:v>
                </c:pt>
                <c:pt idx="29">
                  <c:v>2707.816011548108</c:v>
                </c:pt>
                <c:pt idx="30">
                  <c:v>2853.920132645268</c:v>
                </c:pt>
                <c:pt idx="31">
                  <c:v>3000.02425374243</c:v>
                </c:pt>
                <c:pt idx="32">
                  <c:v>3146.12837483959</c:v>
                </c:pt>
                <c:pt idx="33">
                  <c:v>3292.23249593675</c:v>
                </c:pt>
                <c:pt idx="34">
                  <c:v>3438.33661703391</c:v>
                </c:pt>
                <c:pt idx="35">
                  <c:v>3584.44073813107</c:v>
                </c:pt>
                <c:pt idx="36">
                  <c:v>3730.54485922823</c:v>
                </c:pt>
                <c:pt idx="37">
                  <c:v>3876.648980325391</c:v>
                </c:pt>
                <c:pt idx="38">
                  <c:v>4022.753101422551</c:v>
                </c:pt>
                <c:pt idx="39">
                  <c:v>4168.85722251971</c:v>
                </c:pt>
                <c:pt idx="40">
                  <c:v>4314.961343616871</c:v>
                </c:pt>
                <c:pt idx="41">
                  <c:v>4461.065464714031</c:v>
                </c:pt>
                <c:pt idx="42">
                  <c:v>4607.169585811192</c:v>
                </c:pt>
                <c:pt idx="43">
                  <c:v>4753.273706908352</c:v>
                </c:pt>
                <c:pt idx="44">
                  <c:v>4899.377828005512</c:v>
                </c:pt>
                <c:pt idx="45">
                  <c:v>5045.481949102673</c:v>
                </c:pt>
                <c:pt idx="46">
                  <c:v>5191.586070199832</c:v>
                </c:pt>
                <c:pt idx="47">
                  <c:v>5337.690191296993</c:v>
                </c:pt>
                <c:pt idx="48">
                  <c:v>5483.794312394153</c:v>
                </c:pt>
                <c:pt idx="49">
                  <c:v>5629.898433491313</c:v>
                </c:pt>
                <c:pt idx="50">
                  <c:v>5776.002554588473</c:v>
                </c:pt>
                <c:pt idx="51">
                  <c:v>5922.106675685634</c:v>
                </c:pt>
                <c:pt idx="52">
                  <c:v>6068.210796782794</c:v>
                </c:pt>
                <c:pt idx="53">
                  <c:v>6214.314917879955</c:v>
                </c:pt>
                <c:pt idx="54">
                  <c:v>6066.890790550412</c:v>
                </c:pt>
                <c:pt idx="55">
                  <c:v>5860.76101353553</c:v>
                </c:pt>
                <c:pt idx="56">
                  <c:v>5654.631236520648</c:v>
                </c:pt>
                <c:pt idx="57">
                  <c:v>5448.501459505766</c:v>
                </c:pt>
                <c:pt idx="58">
                  <c:v>5242.371682490885</c:v>
                </c:pt>
                <c:pt idx="59">
                  <c:v>5036.241905476003</c:v>
                </c:pt>
                <c:pt idx="60">
                  <c:v>4830.11212846112</c:v>
                </c:pt>
                <c:pt idx="61">
                  <c:v>4623.98235144624</c:v>
                </c:pt>
                <c:pt idx="62">
                  <c:v>4417.852574431357</c:v>
                </c:pt>
                <c:pt idx="63">
                  <c:v>4211.722797416476</c:v>
                </c:pt>
                <c:pt idx="64">
                  <c:v>4005.593020401594</c:v>
                </c:pt>
                <c:pt idx="65">
                  <c:v>3799.463243386712</c:v>
                </c:pt>
                <c:pt idx="66">
                  <c:v>3593.33346637183</c:v>
                </c:pt>
                <c:pt idx="67">
                  <c:v>3387.203689356948</c:v>
                </c:pt>
                <c:pt idx="68">
                  <c:v>3181.073912342066</c:v>
                </c:pt>
                <c:pt idx="69">
                  <c:v>2974.944135327185</c:v>
                </c:pt>
                <c:pt idx="70">
                  <c:v>2768.814358312303</c:v>
                </c:pt>
                <c:pt idx="71">
                  <c:v>2562.684581297421</c:v>
                </c:pt>
                <c:pt idx="72">
                  <c:v>2356.554804282539</c:v>
                </c:pt>
                <c:pt idx="73">
                  <c:v>2150.425027267657</c:v>
                </c:pt>
                <c:pt idx="74">
                  <c:v>1944.295250252775</c:v>
                </c:pt>
                <c:pt idx="75">
                  <c:v>1738.165473237894</c:v>
                </c:pt>
                <c:pt idx="76">
                  <c:v>1532.035696223012</c:v>
                </c:pt>
                <c:pt idx="77">
                  <c:v>1325.905919208129</c:v>
                </c:pt>
                <c:pt idx="78">
                  <c:v>1119.776142193247</c:v>
                </c:pt>
                <c:pt idx="79">
                  <c:v>913.6463651783651</c:v>
                </c:pt>
                <c:pt idx="80">
                  <c:v>707.5165881634839</c:v>
                </c:pt>
                <c:pt idx="81">
                  <c:v>635.7637572539124</c:v>
                </c:pt>
                <c:pt idx="82">
                  <c:v>590.886315565401</c:v>
                </c:pt>
                <c:pt idx="83">
                  <c:v>546.0088738768895</c:v>
                </c:pt>
                <c:pt idx="84">
                  <c:v>501.131432188378</c:v>
                </c:pt>
                <c:pt idx="85">
                  <c:v>456.2539904998665</c:v>
                </c:pt>
                <c:pt idx="86">
                  <c:v>411.376548811355</c:v>
                </c:pt>
                <c:pt idx="87">
                  <c:v>366.4991071228434</c:v>
                </c:pt>
                <c:pt idx="88">
                  <c:v>321.621665434332</c:v>
                </c:pt>
                <c:pt idx="89">
                  <c:v>276.7442237458205</c:v>
                </c:pt>
                <c:pt idx="90">
                  <c:v>231.866782057309</c:v>
                </c:pt>
                <c:pt idx="91">
                  <c:v>186.9893403687975</c:v>
                </c:pt>
                <c:pt idx="92">
                  <c:v>142.111898680286</c:v>
                </c:pt>
                <c:pt idx="93">
                  <c:v>97.23445699177443</c:v>
                </c:pt>
                <c:pt idx="94">
                  <c:v>52.35701530326298</c:v>
                </c:pt>
                <c:pt idx="95">
                  <c:v>7.479573614751416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ser>
          <c:idx val="9"/>
          <c:order val="9"/>
          <c:tx>
            <c:strRef>
              <c:f>Percentiles!$A$34</c:f>
              <c:strCache>
                <c:ptCount val="1"/>
                <c:pt idx="0">
                  <c:v>Small business/petty trading</c:v>
                </c:pt>
              </c:strCache>
            </c:strRef>
          </c:tx>
          <c:spPr>
            <a:solidFill>
              <a:srgbClr val="CC66FF"/>
            </a:solidFill>
            <a:ln w="25400">
              <a:noFill/>
            </a:ln>
          </c:spPr>
          <c:invertIfNegative val="0"/>
          <c:val>
            <c:numRef>
              <c:f>Percentiles!$F$34:$DA$34</c:f>
              <c:numCache>
                <c:formatCode>0.00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33.65808126638372</c:v>
                </c:pt>
                <c:pt idx="20">
                  <c:v>74.04777878604406</c:v>
                </c:pt>
                <c:pt idx="21">
                  <c:v>114.4374763057044</c:v>
                </c:pt>
                <c:pt idx="22">
                  <c:v>154.8271738253648</c:v>
                </c:pt>
                <c:pt idx="23">
                  <c:v>195.2168713450251</c:v>
                </c:pt>
                <c:pt idx="24">
                  <c:v>235.6065688646854</c:v>
                </c:pt>
                <c:pt idx="25">
                  <c:v>275.9962663843457</c:v>
                </c:pt>
                <c:pt idx="26">
                  <c:v>316.3859639040061</c:v>
                </c:pt>
                <c:pt idx="27">
                  <c:v>356.7756614236664</c:v>
                </c:pt>
                <c:pt idx="28">
                  <c:v>397.1653589433268</c:v>
                </c:pt>
                <c:pt idx="29">
                  <c:v>437.5550564629871</c:v>
                </c:pt>
                <c:pt idx="30">
                  <c:v>477.9447539826475</c:v>
                </c:pt>
                <c:pt idx="31">
                  <c:v>518.3344515023078</c:v>
                </c:pt>
                <c:pt idx="32">
                  <c:v>558.7241490219682</c:v>
                </c:pt>
                <c:pt idx="33">
                  <c:v>599.1138465416285</c:v>
                </c:pt>
                <c:pt idx="34">
                  <c:v>639.5035440612888</c:v>
                </c:pt>
                <c:pt idx="35">
                  <c:v>679.8932415809492</c:v>
                </c:pt>
                <c:pt idx="36">
                  <c:v>720.2829391006094</c:v>
                </c:pt>
                <c:pt idx="37">
                  <c:v>760.67263662027</c:v>
                </c:pt>
                <c:pt idx="38">
                  <c:v>801.0623341399302</c:v>
                </c:pt>
                <c:pt idx="39">
                  <c:v>841.4520316595906</c:v>
                </c:pt>
                <c:pt idx="40">
                  <c:v>881.8417291792509</c:v>
                </c:pt>
                <c:pt idx="41">
                  <c:v>922.2314266989113</c:v>
                </c:pt>
                <c:pt idx="42">
                  <c:v>962.6211242185716</c:v>
                </c:pt>
                <c:pt idx="43">
                  <c:v>1003.010821738232</c:v>
                </c:pt>
                <c:pt idx="44">
                  <c:v>1043.400519257892</c:v>
                </c:pt>
                <c:pt idx="45">
                  <c:v>1083.790216777553</c:v>
                </c:pt>
                <c:pt idx="46">
                  <c:v>1124.179914297213</c:v>
                </c:pt>
                <c:pt idx="47">
                  <c:v>1164.569611816873</c:v>
                </c:pt>
                <c:pt idx="48">
                  <c:v>1204.959309336534</c:v>
                </c:pt>
                <c:pt idx="49">
                  <c:v>1245.349006856194</c:v>
                </c:pt>
                <c:pt idx="50">
                  <c:v>1285.738704375854</c:v>
                </c:pt>
                <c:pt idx="51">
                  <c:v>1326.128401895515</c:v>
                </c:pt>
                <c:pt idx="52">
                  <c:v>1366.518099415175</c:v>
                </c:pt>
                <c:pt idx="53">
                  <c:v>1406.907796934835</c:v>
                </c:pt>
                <c:pt idx="54">
                  <c:v>3232.976439665274</c:v>
                </c:pt>
                <c:pt idx="55">
                  <c:v>5416.18087143786</c:v>
                </c:pt>
                <c:pt idx="56">
                  <c:v>7599.385303210449</c:v>
                </c:pt>
                <c:pt idx="57">
                  <c:v>9782.589734983036</c:v>
                </c:pt>
                <c:pt idx="58">
                  <c:v>11965.79416675562</c:v>
                </c:pt>
                <c:pt idx="59">
                  <c:v>14148.99859852821</c:v>
                </c:pt>
                <c:pt idx="60">
                  <c:v>16332.2030303008</c:v>
                </c:pt>
                <c:pt idx="61">
                  <c:v>18515.40746207339</c:v>
                </c:pt>
                <c:pt idx="62">
                  <c:v>20698.61189384598</c:v>
                </c:pt>
                <c:pt idx="63">
                  <c:v>22881.81632561857</c:v>
                </c:pt>
                <c:pt idx="64">
                  <c:v>25065.02075739115</c:v>
                </c:pt>
                <c:pt idx="65">
                  <c:v>27248.22518916373</c:v>
                </c:pt>
                <c:pt idx="66">
                  <c:v>29431.42962093633</c:v>
                </c:pt>
                <c:pt idx="67">
                  <c:v>31614.63405270891</c:v>
                </c:pt>
                <c:pt idx="68">
                  <c:v>33797.8384844815</c:v>
                </c:pt>
                <c:pt idx="69">
                  <c:v>35981.04291625408</c:v>
                </c:pt>
                <c:pt idx="70">
                  <c:v>38164.24734802667</c:v>
                </c:pt>
                <c:pt idx="71">
                  <c:v>40347.45177979927</c:v>
                </c:pt>
                <c:pt idx="72">
                  <c:v>42530.65621157185</c:v>
                </c:pt>
                <c:pt idx="73">
                  <c:v>44713.86064334443</c:v>
                </c:pt>
                <c:pt idx="74">
                  <c:v>46897.06507511703</c:v>
                </c:pt>
                <c:pt idx="75">
                  <c:v>49080.26950688961</c:v>
                </c:pt>
                <c:pt idx="76">
                  <c:v>51263.47393866219</c:v>
                </c:pt>
                <c:pt idx="77">
                  <c:v>53446.67837043478</c:v>
                </c:pt>
                <c:pt idx="78">
                  <c:v>55629.88280220737</c:v>
                </c:pt>
                <c:pt idx="79">
                  <c:v>57813.08723397996</c:v>
                </c:pt>
                <c:pt idx="80">
                  <c:v>59996.29166575255</c:v>
                </c:pt>
                <c:pt idx="81">
                  <c:v>60152.3515841181</c:v>
                </c:pt>
                <c:pt idx="82">
                  <c:v>59902.98259980227</c:v>
                </c:pt>
                <c:pt idx="83">
                  <c:v>59653.61361548644</c:v>
                </c:pt>
                <c:pt idx="84">
                  <c:v>59404.24463117062</c:v>
                </c:pt>
                <c:pt idx="85">
                  <c:v>59154.87564685479</c:v>
                </c:pt>
                <c:pt idx="86">
                  <c:v>58905.50666253896</c:v>
                </c:pt>
                <c:pt idx="87">
                  <c:v>58656.13767822313</c:v>
                </c:pt>
                <c:pt idx="88">
                  <c:v>58406.7686939073</c:v>
                </c:pt>
                <c:pt idx="89">
                  <c:v>58157.39970959147</c:v>
                </c:pt>
                <c:pt idx="90">
                  <c:v>57908.03072527565</c:v>
                </c:pt>
                <c:pt idx="91">
                  <c:v>57658.66174095982</c:v>
                </c:pt>
                <c:pt idx="92">
                  <c:v>57409.29275664399</c:v>
                </c:pt>
                <c:pt idx="93">
                  <c:v>57159.92377232816</c:v>
                </c:pt>
                <c:pt idx="94">
                  <c:v>56910.55478801233</c:v>
                </c:pt>
                <c:pt idx="95">
                  <c:v>56661.1858036965</c:v>
                </c:pt>
                <c:pt idx="96">
                  <c:v>56619.62430631054</c:v>
                </c:pt>
                <c:pt idx="97">
                  <c:v>56619.62430631054</c:v>
                </c:pt>
                <c:pt idx="98">
                  <c:v>56619.62430631054</c:v>
                </c:pt>
                <c:pt idx="99">
                  <c:v>56619.62430631054</c:v>
                </c:pt>
              </c:numCache>
            </c:numRef>
          </c:val>
        </c:ser>
        <c:ser>
          <c:idx val="10"/>
          <c:order val="10"/>
          <c:tx>
            <c:strRef>
              <c:f>Percentiles!$A$35</c:f>
              <c:strCache>
                <c:ptCount val="1"/>
                <c:pt idx="0">
                  <c:v>Food transfer - official</c:v>
                </c:pt>
              </c:strCache>
            </c:strRef>
          </c:tx>
          <c:spPr>
            <a:solidFill>
              <a:srgbClr val="558ED5"/>
            </a:solidFill>
            <a:ln w="25400">
              <a:noFill/>
            </a:ln>
          </c:spPr>
          <c:invertIfNegative val="0"/>
          <c:val>
            <c:numRef>
              <c:f>Percentiles!$F$35:$DA$35</c:f>
              <c:numCache>
                <c:formatCode>0.00</c:formatCode>
                <c:ptCount val="100"/>
                <c:pt idx="0">
                  <c:v>1674.939960235139</c:v>
                </c:pt>
                <c:pt idx="1">
                  <c:v>1674.939960235139</c:v>
                </c:pt>
                <c:pt idx="2">
                  <c:v>1674.939960235139</c:v>
                </c:pt>
                <c:pt idx="3">
                  <c:v>1674.939960235139</c:v>
                </c:pt>
                <c:pt idx="4">
                  <c:v>1674.939960235139</c:v>
                </c:pt>
                <c:pt idx="5">
                  <c:v>1674.939960235139</c:v>
                </c:pt>
                <c:pt idx="6">
                  <c:v>1674.939960235139</c:v>
                </c:pt>
                <c:pt idx="7">
                  <c:v>1674.939960235139</c:v>
                </c:pt>
                <c:pt idx="8">
                  <c:v>1674.939960235139</c:v>
                </c:pt>
                <c:pt idx="9">
                  <c:v>1674.939960235139</c:v>
                </c:pt>
                <c:pt idx="10">
                  <c:v>1674.939960235139</c:v>
                </c:pt>
                <c:pt idx="11">
                  <c:v>1674.939960235139</c:v>
                </c:pt>
                <c:pt idx="12">
                  <c:v>1674.939960235139</c:v>
                </c:pt>
                <c:pt idx="13">
                  <c:v>1674.939960235139</c:v>
                </c:pt>
                <c:pt idx="14">
                  <c:v>1674.939960235139</c:v>
                </c:pt>
                <c:pt idx="15">
                  <c:v>1674.939960235139</c:v>
                </c:pt>
                <c:pt idx="16">
                  <c:v>1674.939960235139</c:v>
                </c:pt>
                <c:pt idx="17">
                  <c:v>1674.939960235139</c:v>
                </c:pt>
                <c:pt idx="18">
                  <c:v>1674.939960235139</c:v>
                </c:pt>
                <c:pt idx="19">
                  <c:v>1672.623516749288</c:v>
                </c:pt>
                <c:pt idx="20">
                  <c:v>1669.843784566267</c:v>
                </c:pt>
                <c:pt idx="21">
                  <c:v>1667.064052383247</c:v>
                </c:pt>
                <c:pt idx="22">
                  <c:v>1664.284320200226</c:v>
                </c:pt>
                <c:pt idx="23">
                  <c:v>1661.504588017205</c:v>
                </c:pt>
                <c:pt idx="24">
                  <c:v>1658.724855834184</c:v>
                </c:pt>
                <c:pt idx="25">
                  <c:v>1655.945123651163</c:v>
                </c:pt>
                <c:pt idx="26">
                  <c:v>1653.165391468143</c:v>
                </c:pt>
                <c:pt idx="27">
                  <c:v>1650.385659285122</c:v>
                </c:pt>
                <c:pt idx="28">
                  <c:v>1647.605927102101</c:v>
                </c:pt>
                <c:pt idx="29">
                  <c:v>1644.82619491908</c:v>
                </c:pt>
                <c:pt idx="30">
                  <c:v>1642.046462736059</c:v>
                </c:pt>
                <c:pt idx="31">
                  <c:v>1639.266730553039</c:v>
                </c:pt>
                <c:pt idx="32">
                  <c:v>1636.486998370018</c:v>
                </c:pt>
                <c:pt idx="33">
                  <c:v>1633.707266186997</c:v>
                </c:pt>
                <c:pt idx="34">
                  <c:v>1630.927534003976</c:v>
                </c:pt>
                <c:pt idx="35">
                  <c:v>1628.147801820955</c:v>
                </c:pt>
                <c:pt idx="36">
                  <c:v>1625.368069637934</c:v>
                </c:pt>
                <c:pt idx="37">
                  <c:v>1622.588337454914</c:v>
                </c:pt>
                <c:pt idx="38">
                  <c:v>1619.808605271893</c:v>
                </c:pt>
                <c:pt idx="39">
                  <c:v>1617.028873088872</c:v>
                </c:pt>
                <c:pt idx="40">
                  <c:v>1614.249140905851</c:v>
                </c:pt>
                <c:pt idx="41">
                  <c:v>1611.469408722831</c:v>
                </c:pt>
                <c:pt idx="42">
                  <c:v>1608.68967653981</c:v>
                </c:pt>
                <c:pt idx="43">
                  <c:v>1605.909944356789</c:v>
                </c:pt>
                <c:pt idx="44">
                  <c:v>1603.130212173768</c:v>
                </c:pt>
                <c:pt idx="45">
                  <c:v>1600.350479990747</c:v>
                </c:pt>
                <c:pt idx="46">
                  <c:v>1597.570747807727</c:v>
                </c:pt>
                <c:pt idx="47">
                  <c:v>1594.791015624706</c:v>
                </c:pt>
                <c:pt idx="48">
                  <c:v>1592.011283441685</c:v>
                </c:pt>
                <c:pt idx="49">
                  <c:v>1589.231551258664</c:v>
                </c:pt>
                <c:pt idx="50">
                  <c:v>1586.451819075643</c:v>
                </c:pt>
                <c:pt idx="51">
                  <c:v>1583.672086892622</c:v>
                </c:pt>
                <c:pt idx="52">
                  <c:v>1580.892354709602</c:v>
                </c:pt>
                <c:pt idx="53">
                  <c:v>1578.112622526581</c:v>
                </c:pt>
                <c:pt idx="54">
                  <c:v>1549.569250826481</c:v>
                </c:pt>
                <c:pt idx="55">
                  <c:v>1515.873151222966</c:v>
                </c:pt>
                <c:pt idx="56">
                  <c:v>1482.17705161945</c:v>
                </c:pt>
                <c:pt idx="57">
                  <c:v>1448.480952015935</c:v>
                </c:pt>
                <c:pt idx="58">
                  <c:v>1414.784852412419</c:v>
                </c:pt>
                <c:pt idx="59">
                  <c:v>1381.088752808904</c:v>
                </c:pt>
                <c:pt idx="60">
                  <c:v>1347.392653205388</c:v>
                </c:pt>
                <c:pt idx="61">
                  <c:v>1313.696553601873</c:v>
                </c:pt>
                <c:pt idx="62">
                  <c:v>1280.000453998357</c:v>
                </c:pt>
                <c:pt idx="63">
                  <c:v>1246.304354394842</c:v>
                </c:pt>
                <c:pt idx="64">
                  <c:v>1212.608254791326</c:v>
                </c:pt>
                <c:pt idx="65">
                  <c:v>1178.912155187811</c:v>
                </c:pt>
                <c:pt idx="66">
                  <c:v>1145.216055584295</c:v>
                </c:pt>
                <c:pt idx="67">
                  <c:v>1111.51995598078</c:v>
                </c:pt>
                <c:pt idx="68">
                  <c:v>1077.823856377264</c:v>
                </c:pt>
                <c:pt idx="69">
                  <c:v>1044.127756773749</c:v>
                </c:pt>
                <c:pt idx="70">
                  <c:v>1010.431657170233</c:v>
                </c:pt>
                <c:pt idx="71">
                  <c:v>976.735557566718</c:v>
                </c:pt>
                <c:pt idx="72">
                  <c:v>943.0394579632024</c:v>
                </c:pt>
                <c:pt idx="73">
                  <c:v>909.343358359687</c:v>
                </c:pt>
                <c:pt idx="74">
                  <c:v>875.6472587561714</c:v>
                </c:pt>
                <c:pt idx="75">
                  <c:v>841.951159152656</c:v>
                </c:pt>
                <c:pt idx="76">
                  <c:v>808.2550595491405</c:v>
                </c:pt>
                <c:pt idx="77">
                  <c:v>774.558959945625</c:v>
                </c:pt>
                <c:pt idx="78">
                  <c:v>740.8628603421096</c:v>
                </c:pt>
                <c:pt idx="79">
                  <c:v>707.166760738594</c:v>
                </c:pt>
                <c:pt idx="80">
                  <c:v>673.4706611350786</c:v>
                </c:pt>
                <c:pt idx="81">
                  <c:v>667.854644534493</c:v>
                </c:pt>
                <c:pt idx="82">
                  <c:v>667.854644534493</c:v>
                </c:pt>
                <c:pt idx="83">
                  <c:v>667.854644534493</c:v>
                </c:pt>
                <c:pt idx="84">
                  <c:v>667.854644534493</c:v>
                </c:pt>
                <c:pt idx="85">
                  <c:v>667.854644534493</c:v>
                </c:pt>
                <c:pt idx="86">
                  <c:v>667.854644534493</c:v>
                </c:pt>
                <c:pt idx="87">
                  <c:v>667.854644534493</c:v>
                </c:pt>
                <c:pt idx="88">
                  <c:v>667.854644534493</c:v>
                </c:pt>
                <c:pt idx="89">
                  <c:v>667.854644534493</c:v>
                </c:pt>
                <c:pt idx="90">
                  <c:v>667.854644534493</c:v>
                </c:pt>
                <c:pt idx="91">
                  <c:v>667.854644534493</c:v>
                </c:pt>
                <c:pt idx="92">
                  <c:v>667.854644534493</c:v>
                </c:pt>
                <c:pt idx="93">
                  <c:v>667.854644534493</c:v>
                </c:pt>
                <c:pt idx="94">
                  <c:v>667.854644534493</c:v>
                </c:pt>
                <c:pt idx="95">
                  <c:v>667.854644534493</c:v>
                </c:pt>
                <c:pt idx="96">
                  <c:v>667.854644534493</c:v>
                </c:pt>
                <c:pt idx="97">
                  <c:v>667.854644534493</c:v>
                </c:pt>
                <c:pt idx="98">
                  <c:v>667.854644534493</c:v>
                </c:pt>
                <c:pt idx="99">
                  <c:v>667.854644534493</c:v>
                </c:pt>
              </c:numCache>
            </c:numRef>
          </c:val>
        </c:ser>
        <c:ser>
          <c:idx val="11"/>
          <c:order val="11"/>
          <c:tx>
            <c:strRef>
              <c:f>Percentiles!$A$36</c:f>
              <c:strCache>
                <c:ptCount val="1"/>
                <c:pt idx="0">
                  <c:v>Cash transfer - official</c:v>
                </c:pt>
              </c:strCache>
            </c:strRef>
          </c:tx>
          <c:spPr>
            <a:solidFill>
              <a:srgbClr val="A6A6A6"/>
            </a:solidFill>
            <a:ln w="25400">
              <a:noFill/>
            </a:ln>
          </c:spPr>
          <c:invertIfNegative val="0"/>
          <c:val>
            <c:numRef>
              <c:f>Percentiles!$F$36:$DA$36</c:f>
              <c:numCache>
                <c:formatCode>0.00</c:formatCode>
                <c:ptCount val="100"/>
                <c:pt idx="0">
                  <c:v>31983.59172338103</c:v>
                </c:pt>
                <c:pt idx="1">
                  <c:v>31983.59172338103</c:v>
                </c:pt>
                <c:pt idx="2">
                  <c:v>31983.59172338103</c:v>
                </c:pt>
                <c:pt idx="3">
                  <c:v>31983.59172338103</c:v>
                </c:pt>
                <c:pt idx="4">
                  <c:v>31983.59172338103</c:v>
                </c:pt>
                <c:pt idx="5">
                  <c:v>31983.59172338103</c:v>
                </c:pt>
                <c:pt idx="6">
                  <c:v>31983.59172338103</c:v>
                </c:pt>
                <c:pt idx="7">
                  <c:v>31983.59172338103</c:v>
                </c:pt>
                <c:pt idx="8">
                  <c:v>31983.59172338103</c:v>
                </c:pt>
                <c:pt idx="9">
                  <c:v>31983.59172338103</c:v>
                </c:pt>
                <c:pt idx="10">
                  <c:v>31983.59172338103</c:v>
                </c:pt>
                <c:pt idx="11">
                  <c:v>31983.59172338103</c:v>
                </c:pt>
                <c:pt idx="12">
                  <c:v>31983.59172338103</c:v>
                </c:pt>
                <c:pt idx="13">
                  <c:v>31983.59172338103</c:v>
                </c:pt>
                <c:pt idx="14">
                  <c:v>31983.59172338103</c:v>
                </c:pt>
                <c:pt idx="15">
                  <c:v>31983.59172338103</c:v>
                </c:pt>
                <c:pt idx="16">
                  <c:v>31983.59172338103</c:v>
                </c:pt>
                <c:pt idx="17">
                  <c:v>31983.59172338103</c:v>
                </c:pt>
                <c:pt idx="18">
                  <c:v>31983.59172338103</c:v>
                </c:pt>
                <c:pt idx="19">
                  <c:v>31983.59172338103</c:v>
                </c:pt>
                <c:pt idx="20">
                  <c:v>31983.59172338103</c:v>
                </c:pt>
                <c:pt idx="21">
                  <c:v>31983.59172338103</c:v>
                </c:pt>
                <c:pt idx="22">
                  <c:v>31983.59172338103</c:v>
                </c:pt>
                <c:pt idx="23">
                  <c:v>31983.59172338103</c:v>
                </c:pt>
                <c:pt idx="24">
                  <c:v>31983.59172338103</c:v>
                </c:pt>
                <c:pt idx="25">
                  <c:v>31983.59172338103</c:v>
                </c:pt>
                <c:pt idx="26">
                  <c:v>31983.59172338103</c:v>
                </c:pt>
                <c:pt idx="27">
                  <c:v>31983.59172338103</c:v>
                </c:pt>
                <c:pt idx="28">
                  <c:v>31983.59172338103</c:v>
                </c:pt>
                <c:pt idx="29">
                  <c:v>31983.59172338103</c:v>
                </c:pt>
                <c:pt idx="30">
                  <c:v>31983.59172338103</c:v>
                </c:pt>
                <c:pt idx="31">
                  <c:v>31983.59172338103</c:v>
                </c:pt>
                <c:pt idx="32">
                  <c:v>31983.59172338103</c:v>
                </c:pt>
                <c:pt idx="33">
                  <c:v>31983.59172338103</c:v>
                </c:pt>
                <c:pt idx="34">
                  <c:v>31983.59172338103</c:v>
                </c:pt>
                <c:pt idx="35">
                  <c:v>31983.59172338103</c:v>
                </c:pt>
                <c:pt idx="36">
                  <c:v>31983.59172338103</c:v>
                </c:pt>
                <c:pt idx="37">
                  <c:v>31983.59172338103</c:v>
                </c:pt>
                <c:pt idx="38">
                  <c:v>31983.59172338103</c:v>
                </c:pt>
                <c:pt idx="39">
                  <c:v>31983.59172338103</c:v>
                </c:pt>
                <c:pt idx="40">
                  <c:v>31983.59172338103</c:v>
                </c:pt>
                <c:pt idx="41">
                  <c:v>31983.59172338103</c:v>
                </c:pt>
                <c:pt idx="42">
                  <c:v>31983.59172338103</c:v>
                </c:pt>
                <c:pt idx="43">
                  <c:v>31983.59172338103</c:v>
                </c:pt>
                <c:pt idx="44">
                  <c:v>31983.59172338103</c:v>
                </c:pt>
                <c:pt idx="45">
                  <c:v>31983.59172338103</c:v>
                </c:pt>
                <c:pt idx="46">
                  <c:v>31983.59172338103</c:v>
                </c:pt>
                <c:pt idx="47">
                  <c:v>31983.59172338103</c:v>
                </c:pt>
                <c:pt idx="48">
                  <c:v>31983.59172338103</c:v>
                </c:pt>
                <c:pt idx="49">
                  <c:v>31983.59172338103</c:v>
                </c:pt>
                <c:pt idx="50">
                  <c:v>31983.59172338103</c:v>
                </c:pt>
                <c:pt idx="51">
                  <c:v>31983.59172338103</c:v>
                </c:pt>
                <c:pt idx="52">
                  <c:v>31983.59172338103</c:v>
                </c:pt>
                <c:pt idx="53">
                  <c:v>31983.59172338103</c:v>
                </c:pt>
                <c:pt idx="54">
                  <c:v>31407.82037949544</c:v>
                </c:pt>
                <c:pt idx="55">
                  <c:v>30716.89476683273</c:v>
                </c:pt>
                <c:pt idx="56">
                  <c:v>30025.96915417002</c:v>
                </c:pt>
                <c:pt idx="57">
                  <c:v>29335.04354150732</c:v>
                </c:pt>
                <c:pt idx="58">
                  <c:v>28644.11792884461</c:v>
                </c:pt>
                <c:pt idx="59">
                  <c:v>27953.1923161819</c:v>
                </c:pt>
                <c:pt idx="60">
                  <c:v>27262.2667035192</c:v>
                </c:pt>
                <c:pt idx="61">
                  <c:v>26571.34109085648</c:v>
                </c:pt>
                <c:pt idx="62">
                  <c:v>25880.41547819377</c:v>
                </c:pt>
                <c:pt idx="63">
                  <c:v>25189.48986553106</c:v>
                </c:pt>
                <c:pt idx="64">
                  <c:v>24498.56425286836</c:v>
                </c:pt>
                <c:pt idx="65">
                  <c:v>23807.63864020565</c:v>
                </c:pt>
                <c:pt idx="66">
                  <c:v>23116.71302754294</c:v>
                </c:pt>
                <c:pt idx="67">
                  <c:v>22425.78741488023</c:v>
                </c:pt>
                <c:pt idx="68">
                  <c:v>21734.86180221752</c:v>
                </c:pt>
                <c:pt idx="69">
                  <c:v>21043.93618955481</c:v>
                </c:pt>
                <c:pt idx="70">
                  <c:v>20353.01057689211</c:v>
                </c:pt>
                <c:pt idx="71">
                  <c:v>19662.0849642294</c:v>
                </c:pt>
                <c:pt idx="72">
                  <c:v>18971.15935156669</c:v>
                </c:pt>
                <c:pt idx="73">
                  <c:v>18280.23373890398</c:v>
                </c:pt>
                <c:pt idx="74">
                  <c:v>17589.30812624127</c:v>
                </c:pt>
                <c:pt idx="75">
                  <c:v>16898.38251357857</c:v>
                </c:pt>
                <c:pt idx="76">
                  <c:v>16207.45690091586</c:v>
                </c:pt>
                <c:pt idx="77">
                  <c:v>15516.53128825315</c:v>
                </c:pt>
                <c:pt idx="78">
                  <c:v>14825.60567559044</c:v>
                </c:pt>
                <c:pt idx="79">
                  <c:v>14134.68006292773</c:v>
                </c:pt>
                <c:pt idx="80">
                  <c:v>13443.75445026502</c:v>
                </c:pt>
                <c:pt idx="81">
                  <c:v>13328.60018148791</c:v>
                </c:pt>
                <c:pt idx="82">
                  <c:v>13328.60018148791</c:v>
                </c:pt>
                <c:pt idx="83">
                  <c:v>13328.60018148791</c:v>
                </c:pt>
                <c:pt idx="84">
                  <c:v>13328.60018148791</c:v>
                </c:pt>
                <c:pt idx="85">
                  <c:v>13328.60018148791</c:v>
                </c:pt>
                <c:pt idx="86">
                  <c:v>13328.60018148791</c:v>
                </c:pt>
                <c:pt idx="87">
                  <c:v>13328.60018148791</c:v>
                </c:pt>
                <c:pt idx="88">
                  <c:v>13328.60018148791</c:v>
                </c:pt>
                <c:pt idx="89">
                  <c:v>13328.60018148791</c:v>
                </c:pt>
                <c:pt idx="90">
                  <c:v>13328.60018148791</c:v>
                </c:pt>
                <c:pt idx="91">
                  <c:v>13328.60018148791</c:v>
                </c:pt>
                <c:pt idx="92">
                  <c:v>13328.60018148791</c:v>
                </c:pt>
                <c:pt idx="93">
                  <c:v>13328.60018148791</c:v>
                </c:pt>
                <c:pt idx="94">
                  <c:v>13328.60018148791</c:v>
                </c:pt>
                <c:pt idx="95">
                  <c:v>13328.60018148791</c:v>
                </c:pt>
                <c:pt idx="96">
                  <c:v>13328.60018148791</c:v>
                </c:pt>
                <c:pt idx="97">
                  <c:v>13328.60018148791</c:v>
                </c:pt>
                <c:pt idx="98">
                  <c:v>13328.60018148791</c:v>
                </c:pt>
                <c:pt idx="99">
                  <c:v>13328.60018148791</c:v>
                </c:pt>
              </c:numCache>
            </c:numRef>
          </c:val>
        </c:ser>
        <c:ser>
          <c:idx val="13"/>
          <c:order val="12"/>
          <c:tx>
            <c:strRef>
              <c:f>Percentiles!$A$37</c:f>
              <c:strCache>
                <c:ptCount val="1"/>
                <c:pt idx="0">
                  <c:v>Cash transfer - gifts</c:v>
                </c:pt>
              </c:strCache>
            </c:strRef>
          </c:tx>
          <c:spPr>
            <a:solidFill>
              <a:srgbClr val="D9D9D9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Percentiles!$F$37:$DA$37</c:f>
              <c:numCache>
                <c:formatCode>0.00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73.62705277021436</c:v>
                </c:pt>
                <c:pt idx="20">
                  <c:v>161.9795160944714</c:v>
                </c:pt>
                <c:pt idx="21">
                  <c:v>250.3319794187283</c:v>
                </c:pt>
                <c:pt idx="22">
                  <c:v>338.6844427429853</c:v>
                </c:pt>
                <c:pt idx="23">
                  <c:v>427.0369060672423</c:v>
                </c:pt>
                <c:pt idx="24">
                  <c:v>515.3893693914994</c:v>
                </c:pt>
                <c:pt idx="25">
                  <c:v>603.7418327157563</c:v>
                </c:pt>
                <c:pt idx="26">
                  <c:v>692.0942960400133</c:v>
                </c:pt>
                <c:pt idx="27">
                  <c:v>780.4467593642703</c:v>
                </c:pt>
                <c:pt idx="28">
                  <c:v>868.7992226885272</c:v>
                </c:pt>
                <c:pt idx="29">
                  <c:v>957.1516860127842</c:v>
                </c:pt>
                <c:pt idx="30">
                  <c:v>1045.504149337041</c:v>
                </c:pt>
                <c:pt idx="31">
                  <c:v>1133.856612661298</c:v>
                </c:pt>
                <c:pt idx="32">
                  <c:v>1222.209075985555</c:v>
                </c:pt>
                <c:pt idx="33">
                  <c:v>1310.561539309812</c:v>
                </c:pt>
                <c:pt idx="34">
                  <c:v>1398.914002634069</c:v>
                </c:pt>
                <c:pt idx="35">
                  <c:v>1487.266465958326</c:v>
                </c:pt>
                <c:pt idx="36">
                  <c:v>1575.618929282583</c:v>
                </c:pt>
                <c:pt idx="37">
                  <c:v>1663.97139260684</c:v>
                </c:pt>
                <c:pt idx="38">
                  <c:v>1752.323855931097</c:v>
                </c:pt>
                <c:pt idx="39">
                  <c:v>1840.676319255354</c:v>
                </c:pt>
                <c:pt idx="40">
                  <c:v>1929.028782579611</c:v>
                </c:pt>
                <c:pt idx="41">
                  <c:v>2017.381245903868</c:v>
                </c:pt>
                <c:pt idx="42">
                  <c:v>2105.733709228125</c:v>
                </c:pt>
                <c:pt idx="43">
                  <c:v>2194.086172552382</c:v>
                </c:pt>
                <c:pt idx="44">
                  <c:v>2282.43863587664</c:v>
                </c:pt>
                <c:pt idx="45">
                  <c:v>2370.791099200896</c:v>
                </c:pt>
                <c:pt idx="46">
                  <c:v>2459.143562525153</c:v>
                </c:pt>
                <c:pt idx="47">
                  <c:v>2547.49602584941</c:v>
                </c:pt>
                <c:pt idx="48">
                  <c:v>2635.848489173667</c:v>
                </c:pt>
                <c:pt idx="49">
                  <c:v>2724.200952497924</c:v>
                </c:pt>
                <c:pt idx="50">
                  <c:v>2812.553415822181</c:v>
                </c:pt>
                <c:pt idx="51">
                  <c:v>2900.905879146438</c:v>
                </c:pt>
                <c:pt idx="52">
                  <c:v>2989.258342470695</c:v>
                </c:pt>
                <c:pt idx="53">
                  <c:v>3077.610805794952</c:v>
                </c:pt>
                <c:pt idx="54">
                  <c:v>3073.074582908227</c:v>
                </c:pt>
                <c:pt idx="55">
                  <c:v>3049.960622779307</c:v>
                </c:pt>
                <c:pt idx="56">
                  <c:v>3026.846662650385</c:v>
                </c:pt>
                <c:pt idx="57">
                  <c:v>3003.732702521465</c:v>
                </c:pt>
                <c:pt idx="58">
                  <c:v>2980.618742392544</c:v>
                </c:pt>
                <c:pt idx="59">
                  <c:v>2957.504782263623</c:v>
                </c:pt>
                <c:pt idx="60">
                  <c:v>2934.390822134702</c:v>
                </c:pt>
                <c:pt idx="61">
                  <c:v>2911.276862005781</c:v>
                </c:pt>
                <c:pt idx="62">
                  <c:v>2888.162901876861</c:v>
                </c:pt>
                <c:pt idx="63">
                  <c:v>2865.04894174794</c:v>
                </c:pt>
                <c:pt idx="64">
                  <c:v>2841.934981619019</c:v>
                </c:pt>
                <c:pt idx="65">
                  <c:v>2818.821021490098</c:v>
                </c:pt>
                <c:pt idx="66">
                  <c:v>2795.707061361177</c:v>
                </c:pt>
                <c:pt idx="67">
                  <c:v>2772.593101232256</c:v>
                </c:pt>
                <c:pt idx="68">
                  <c:v>2749.479141103336</c:v>
                </c:pt>
                <c:pt idx="69">
                  <c:v>2726.365180974414</c:v>
                </c:pt>
                <c:pt idx="70">
                  <c:v>2703.251220845494</c:v>
                </c:pt>
                <c:pt idx="71">
                  <c:v>2680.137260716573</c:v>
                </c:pt>
                <c:pt idx="72">
                  <c:v>2657.023300587653</c:v>
                </c:pt>
                <c:pt idx="73">
                  <c:v>2633.909340458732</c:v>
                </c:pt>
                <c:pt idx="74">
                  <c:v>2610.795380329811</c:v>
                </c:pt>
                <c:pt idx="75">
                  <c:v>2587.68142020089</c:v>
                </c:pt>
                <c:pt idx="76">
                  <c:v>2564.567460071969</c:v>
                </c:pt>
                <c:pt idx="77">
                  <c:v>2541.453499943048</c:v>
                </c:pt>
                <c:pt idx="78">
                  <c:v>2518.339539814127</c:v>
                </c:pt>
                <c:pt idx="79">
                  <c:v>2495.225579685206</c:v>
                </c:pt>
                <c:pt idx="80">
                  <c:v>2472.111619556286</c:v>
                </c:pt>
                <c:pt idx="81">
                  <c:v>2705.11245733528</c:v>
                </c:pt>
                <c:pt idx="82">
                  <c:v>2989.336254695852</c:v>
                </c:pt>
                <c:pt idx="83">
                  <c:v>3273.560052056425</c:v>
                </c:pt>
                <c:pt idx="84">
                  <c:v>3557.783849416997</c:v>
                </c:pt>
                <c:pt idx="85">
                  <c:v>3842.007646777571</c:v>
                </c:pt>
                <c:pt idx="86">
                  <c:v>4126.231444138143</c:v>
                </c:pt>
                <c:pt idx="87">
                  <c:v>4410.455241498715</c:v>
                </c:pt>
                <c:pt idx="88">
                  <c:v>4694.679038859288</c:v>
                </c:pt>
                <c:pt idx="89">
                  <c:v>4978.902836219862</c:v>
                </c:pt>
                <c:pt idx="90">
                  <c:v>5263.126633580433</c:v>
                </c:pt>
                <c:pt idx="91">
                  <c:v>5547.350430941007</c:v>
                </c:pt>
                <c:pt idx="92">
                  <c:v>5831.57422830158</c:v>
                </c:pt>
                <c:pt idx="93">
                  <c:v>6115.798025662153</c:v>
                </c:pt>
                <c:pt idx="94">
                  <c:v>6400.021823022725</c:v>
                </c:pt>
                <c:pt idx="95">
                  <c:v>6684.245620383298</c:v>
                </c:pt>
                <c:pt idx="96">
                  <c:v>6731.616253276724</c:v>
                </c:pt>
                <c:pt idx="97">
                  <c:v>6731.616253276724</c:v>
                </c:pt>
                <c:pt idx="98">
                  <c:v>6731.616253276724</c:v>
                </c:pt>
                <c:pt idx="99">
                  <c:v>6731.616253276724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2055571800"/>
        <c:axId val="-2057062456"/>
      </c:barChart>
      <c:lineChart>
        <c:grouping val="standard"/>
        <c:varyColors val="0"/>
        <c:ser>
          <c:idx val="12"/>
          <c:order val="13"/>
          <c:tx>
            <c:strRef>
              <c:f>Percentiles!$A$39</c:f>
              <c:strCache>
                <c:ptCount val="1"/>
                <c:pt idx="0">
                  <c:v>Food Poverty line</c:v>
                </c:pt>
              </c:strCache>
            </c:strRef>
          </c:tx>
          <c:spPr>
            <a:ln w="25400">
              <a:solidFill>
                <a:srgbClr val="DD0806"/>
              </a:solidFill>
              <a:prstDash val="solid"/>
            </a:ln>
          </c:spPr>
          <c:marker>
            <c:symbol val="none"/>
          </c:marker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Percentiles!$F$39:$DA$39</c:f>
              <c:numCache>
                <c:formatCode>0</c:formatCode>
                <c:ptCount val="100"/>
                <c:pt idx="0">
                  <c:v>40474.95168787119</c:v>
                </c:pt>
                <c:pt idx="1">
                  <c:v>40474.95168787119</c:v>
                </c:pt>
                <c:pt idx="2">
                  <c:v>40474.95168787119</c:v>
                </c:pt>
                <c:pt idx="3">
                  <c:v>40474.95168787119</c:v>
                </c:pt>
                <c:pt idx="4">
                  <c:v>40474.95168787119</c:v>
                </c:pt>
                <c:pt idx="5">
                  <c:v>40474.95168787119</c:v>
                </c:pt>
                <c:pt idx="6">
                  <c:v>40474.95168787119</c:v>
                </c:pt>
                <c:pt idx="7">
                  <c:v>40474.95168787119</c:v>
                </c:pt>
                <c:pt idx="8">
                  <c:v>40474.95168787119</c:v>
                </c:pt>
                <c:pt idx="9">
                  <c:v>40474.95168787119</c:v>
                </c:pt>
                <c:pt idx="10">
                  <c:v>40474.95168787119</c:v>
                </c:pt>
                <c:pt idx="11">
                  <c:v>40474.95168787119</c:v>
                </c:pt>
                <c:pt idx="12">
                  <c:v>40474.95168787119</c:v>
                </c:pt>
                <c:pt idx="13">
                  <c:v>40474.95168787119</c:v>
                </c:pt>
                <c:pt idx="14">
                  <c:v>40474.95168787119</c:v>
                </c:pt>
                <c:pt idx="15">
                  <c:v>40474.95168787119</c:v>
                </c:pt>
                <c:pt idx="16">
                  <c:v>40474.95168787119</c:v>
                </c:pt>
                <c:pt idx="17">
                  <c:v>40474.95168787119</c:v>
                </c:pt>
                <c:pt idx="18">
                  <c:v>40474.95168787119</c:v>
                </c:pt>
                <c:pt idx="19">
                  <c:v>40474.95168787119</c:v>
                </c:pt>
                <c:pt idx="20">
                  <c:v>40474.95168787119</c:v>
                </c:pt>
                <c:pt idx="21">
                  <c:v>40474.95168787119</c:v>
                </c:pt>
                <c:pt idx="22">
                  <c:v>40474.95168787119</c:v>
                </c:pt>
                <c:pt idx="23">
                  <c:v>40474.95168787119</c:v>
                </c:pt>
                <c:pt idx="24">
                  <c:v>40474.95168787119</c:v>
                </c:pt>
                <c:pt idx="25">
                  <c:v>40474.95168787119</c:v>
                </c:pt>
                <c:pt idx="26">
                  <c:v>40474.95168787119</c:v>
                </c:pt>
                <c:pt idx="27">
                  <c:v>40474.95168787119</c:v>
                </c:pt>
                <c:pt idx="28">
                  <c:v>40474.95168787119</c:v>
                </c:pt>
                <c:pt idx="29">
                  <c:v>40474.95168787119</c:v>
                </c:pt>
                <c:pt idx="30">
                  <c:v>40474.95168787119</c:v>
                </c:pt>
                <c:pt idx="31">
                  <c:v>40474.95168787119</c:v>
                </c:pt>
                <c:pt idx="32">
                  <c:v>40474.95168787119</c:v>
                </c:pt>
                <c:pt idx="33">
                  <c:v>40474.95168787119</c:v>
                </c:pt>
                <c:pt idx="34">
                  <c:v>40474.95168787119</c:v>
                </c:pt>
                <c:pt idx="35">
                  <c:v>40474.95168787119</c:v>
                </c:pt>
                <c:pt idx="36">
                  <c:v>40474.95168787119</c:v>
                </c:pt>
                <c:pt idx="37">
                  <c:v>40474.95168787119</c:v>
                </c:pt>
                <c:pt idx="38">
                  <c:v>40474.95168787119</c:v>
                </c:pt>
                <c:pt idx="39">
                  <c:v>40474.95168787119</c:v>
                </c:pt>
                <c:pt idx="40">
                  <c:v>40474.95168787119</c:v>
                </c:pt>
                <c:pt idx="41">
                  <c:v>40474.95168787119</c:v>
                </c:pt>
                <c:pt idx="42">
                  <c:v>40474.95168787119</c:v>
                </c:pt>
                <c:pt idx="43">
                  <c:v>40474.95168787119</c:v>
                </c:pt>
                <c:pt idx="44">
                  <c:v>40474.95168787119</c:v>
                </c:pt>
                <c:pt idx="45">
                  <c:v>40474.95168787119</c:v>
                </c:pt>
                <c:pt idx="46">
                  <c:v>40474.95168787119</c:v>
                </c:pt>
                <c:pt idx="47">
                  <c:v>40474.95168787119</c:v>
                </c:pt>
                <c:pt idx="48">
                  <c:v>40474.95168787119</c:v>
                </c:pt>
                <c:pt idx="49">
                  <c:v>40474.95168787119</c:v>
                </c:pt>
                <c:pt idx="50">
                  <c:v>40474.95168787119</c:v>
                </c:pt>
                <c:pt idx="51">
                  <c:v>40474.95168787119</c:v>
                </c:pt>
                <c:pt idx="52">
                  <c:v>40474.95168787119</c:v>
                </c:pt>
                <c:pt idx="53">
                  <c:v>40474.95168787119</c:v>
                </c:pt>
                <c:pt idx="54">
                  <c:v>40474.95168787119</c:v>
                </c:pt>
                <c:pt idx="55">
                  <c:v>40474.95168787119</c:v>
                </c:pt>
                <c:pt idx="56">
                  <c:v>40474.95168787119</c:v>
                </c:pt>
                <c:pt idx="57">
                  <c:v>40474.95168787119</c:v>
                </c:pt>
                <c:pt idx="58">
                  <c:v>40474.95168787119</c:v>
                </c:pt>
                <c:pt idx="59">
                  <c:v>40474.95168787119</c:v>
                </c:pt>
                <c:pt idx="60">
                  <c:v>40474.95168787119</c:v>
                </c:pt>
                <c:pt idx="61">
                  <c:v>40474.95168787119</c:v>
                </c:pt>
                <c:pt idx="62">
                  <c:v>40474.95168787119</c:v>
                </c:pt>
                <c:pt idx="63">
                  <c:v>40474.95168787119</c:v>
                </c:pt>
                <c:pt idx="64">
                  <c:v>40474.95168787119</c:v>
                </c:pt>
                <c:pt idx="65">
                  <c:v>40474.95168787119</c:v>
                </c:pt>
                <c:pt idx="66">
                  <c:v>40474.95168787119</c:v>
                </c:pt>
                <c:pt idx="67">
                  <c:v>40474.95168787119</c:v>
                </c:pt>
                <c:pt idx="68">
                  <c:v>40474.95168787119</c:v>
                </c:pt>
                <c:pt idx="69">
                  <c:v>40474.95168787119</c:v>
                </c:pt>
                <c:pt idx="70">
                  <c:v>40474.95168787113</c:v>
                </c:pt>
                <c:pt idx="71">
                  <c:v>40474.95168787113</c:v>
                </c:pt>
                <c:pt idx="72">
                  <c:v>40474.95168787113</c:v>
                </c:pt>
                <c:pt idx="73">
                  <c:v>40474.95168787113</c:v>
                </c:pt>
                <c:pt idx="74">
                  <c:v>40474.95168787113</c:v>
                </c:pt>
                <c:pt idx="75">
                  <c:v>40474.95168787113</c:v>
                </c:pt>
                <c:pt idx="76">
                  <c:v>40474.95168787113</c:v>
                </c:pt>
                <c:pt idx="77">
                  <c:v>40474.95168787113</c:v>
                </c:pt>
                <c:pt idx="78">
                  <c:v>40474.95168787113</c:v>
                </c:pt>
                <c:pt idx="79">
                  <c:v>40474.95168787113</c:v>
                </c:pt>
                <c:pt idx="80">
                  <c:v>40474.95168787113</c:v>
                </c:pt>
                <c:pt idx="81">
                  <c:v>40474.95168787113</c:v>
                </c:pt>
                <c:pt idx="82">
                  <c:v>40474.95168787113</c:v>
                </c:pt>
                <c:pt idx="83">
                  <c:v>40474.95168787113</c:v>
                </c:pt>
                <c:pt idx="84">
                  <c:v>40474.95168787113</c:v>
                </c:pt>
                <c:pt idx="85">
                  <c:v>40474.95168787113</c:v>
                </c:pt>
                <c:pt idx="86">
                  <c:v>40474.95168787113</c:v>
                </c:pt>
                <c:pt idx="87">
                  <c:v>40474.95168787113</c:v>
                </c:pt>
                <c:pt idx="88">
                  <c:v>40474.95168787113</c:v>
                </c:pt>
                <c:pt idx="89">
                  <c:v>40474.95168787113</c:v>
                </c:pt>
                <c:pt idx="90">
                  <c:v>40474.95168787113</c:v>
                </c:pt>
                <c:pt idx="91">
                  <c:v>40474.95168787113</c:v>
                </c:pt>
                <c:pt idx="92">
                  <c:v>40474.95168787113</c:v>
                </c:pt>
                <c:pt idx="93">
                  <c:v>40474.95168787113</c:v>
                </c:pt>
                <c:pt idx="94">
                  <c:v>40474.95168787113</c:v>
                </c:pt>
                <c:pt idx="95">
                  <c:v>40474.95168787113</c:v>
                </c:pt>
                <c:pt idx="96">
                  <c:v>40474.95168787113</c:v>
                </c:pt>
                <c:pt idx="97">
                  <c:v>40474.95168787113</c:v>
                </c:pt>
                <c:pt idx="98">
                  <c:v>40474.95168787113</c:v>
                </c:pt>
                <c:pt idx="99">
                  <c:v>40474.95168787113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55571800"/>
        <c:axId val="-2057062456"/>
      </c:lineChart>
      <c:catAx>
        <c:axId val="-2055571800"/>
        <c:scaling>
          <c:orientation val="minMax"/>
        </c:scaling>
        <c:delete val="0"/>
        <c:axPos val="b"/>
        <c:numFmt formatCode="0%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2057062456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-2057062456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0.00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2055571800"/>
        <c:crossesAt val="1.0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r"/>
      <c:layout>
        <c:manualLayout>
          <c:xMode val="edge"/>
          <c:yMode val="edge"/>
          <c:x val="0.826816082347248"/>
          <c:y val="0.1875"/>
          <c:w val="0.166201227290723"/>
          <c:h val="0.60416643232096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65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Percentiles!$A$108</c:f>
              <c:strCache>
                <c:ptCount val="1"/>
                <c:pt idx="0">
                  <c:v>Own crops Consumed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00B050"/>
              </a:solidFill>
              <a:ln>
                <a:solidFill>
                  <a:srgbClr val="339966"/>
                </a:solidFill>
                <a:prstDash val="solid"/>
              </a:ln>
            </c:spPr>
          </c:marker>
          <c:trendline>
            <c:spPr>
              <a:ln w="3175">
                <a:solidFill>
                  <a:srgbClr val="339966"/>
                </a:solidFill>
                <a:prstDash val="solid"/>
              </a:ln>
            </c:spPr>
            <c:trendlineType val="poly"/>
            <c:order val="2"/>
            <c:forward val="17.0"/>
            <c:backward val="13.0"/>
            <c:dispRSqr val="0"/>
            <c:dispEq val="1"/>
            <c:trendlineLbl>
              <c:layout>
                <c:manualLayout>
                  <c:x val="-0.241164049920852"/>
                  <c:y val="-0.0430558693246323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339966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Percentiles!$C$107:$E$107</c:f>
              <c:numCache>
                <c:formatCode>0.0</c:formatCode>
                <c:ptCount val="3"/>
                <c:pt idx="0">
                  <c:v>36.33333333333333</c:v>
                </c:pt>
                <c:pt idx="1">
                  <c:v>70.0</c:v>
                </c:pt>
                <c:pt idx="2">
                  <c:v>90.33333333333333</c:v>
                </c:pt>
              </c:numCache>
            </c:numRef>
          </c:xVal>
          <c:yVal>
            <c:numRef>
              <c:f>Percentiles!$C$108:$E$108</c:f>
              <c:numCache>
                <c:formatCode>0.000</c:formatCode>
                <c:ptCount val="3"/>
                <c:pt idx="0">
                  <c:v>58.94289325003354</c:v>
                </c:pt>
                <c:pt idx="1">
                  <c:v>11.39515790437162</c:v>
                </c:pt>
                <c:pt idx="2">
                  <c:v>1.773978209711883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Percentiles!$A$109</c:f>
              <c:strCache>
                <c:ptCount val="1"/>
                <c:pt idx="0">
                  <c:v>Own crops sold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92D050"/>
              </a:solidFill>
              <a:ln>
                <a:solidFill>
                  <a:srgbClr val="99CC00"/>
                </a:solidFill>
                <a:prstDash val="solid"/>
              </a:ln>
            </c:spPr>
          </c:marker>
          <c:trendline>
            <c:spPr>
              <a:ln w="3175">
                <a:solidFill>
                  <a:srgbClr val="99CC00"/>
                </a:solidFill>
                <a:prstDash val="solid"/>
              </a:ln>
            </c:spPr>
            <c:trendlineType val="poly"/>
            <c:order val="2"/>
            <c:forward val="17.0"/>
            <c:backward val="13.0"/>
            <c:dispRSqr val="0"/>
            <c:dispEq val="1"/>
            <c:trendlineLbl>
              <c:layout>
                <c:manualLayout>
                  <c:x val="-0.0270829455205071"/>
                  <c:y val="-0.0999561041033369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99CC00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Percentiles!$C$107:$E$107</c:f>
              <c:numCache>
                <c:formatCode>0.0</c:formatCode>
                <c:ptCount val="3"/>
                <c:pt idx="0">
                  <c:v>36.33333333333333</c:v>
                </c:pt>
                <c:pt idx="1">
                  <c:v>70.0</c:v>
                </c:pt>
                <c:pt idx="2">
                  <c:v>90.33333333333333</c:v>
                </c:pt>
              </c:numCache>
            </c:numRef>
          </c:xVal>
          <c:yVal>
            <c:numRef>
              <c:f>Percentiles!$C$109:$E$109</c:f>
              <c:numCache>
                <c:formatCode>0.000</c:formatCode>
                <c:ptCount val="3"/>
                <c:pt idx="0">
                  <c:v>30.67092655399206</c:v>
                </c:pt>
                <c:pt idx="1">
                  <c:v>749.4299025305963</c:v>
                </c:pt>
                <c:pt idx="2">
                  <c:v>910.675485464119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Percentiles!$A$113</c:f>
              <c:strCache>
                <c:ptCount val="1"/>
                <c:pt idx="0">
                  <c:v>Wild foods consumed and sold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B3A2C7"/>
              </a:solidFill>
              <a:ln>
                <a:solidFill>
                  <a:srgbClr val="CC99FF"/>
                </a:solidFill>
                <a:prstDash val="solid"/>
              </a:ln>
            </c:spPr>
          </c:marker>
          <c:trendline>
            <c:spPr>
              <a:ln w="3175">
                <a:solidFill>
                  <a:srgbClr val="CC99FF"/>
                </a:solidFill>
                <a:prstDash val="solid"/>
              </a:ln>
            </c:spPr>
            <c:trendlineType val="poly"/>
            <c:order val="2"/>
            <c:forward val="17.0"/>
            <c:backward val="13.0"/>
            <c:dispRSqr val="0"/>
            <c:dispEq val="1"/>
            <c:trendlineLbl>
              <c:layout>
                <c:manualLayout>
                  <c:x val="0.0760347252265127"/>
                  <c:y val="-0.0371449453815286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FF8080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Percentiles!$C$107:$E$107</c:f>
              <c:numCache>
                <c:formatCode>0.0</c:formatCode>
                <c:ptCount val="3"/>
                <c:pt idx="0">
                  <c:v>36.33333333333333</c:v>
                </c:pt>
                <c:pt idx="1">
                  <c:v>70.0</c:v>
                </c:pt>
                <c:pt idx="2">
                  <c:v>90.33333333333333</c:v>
                </c:pt>
              </c:numCache>
            </c:numRef>
          </c:xVal>
          <c:yVal>
            <c:numRef>
              <c:f>Percentiles!$C$113:$E$113</c:f>
              <c:numCache>
                <c:formatCode>0.000</c:formatCode>
                <c:ptCount val="3"/>
                <c:pt idx="0">
                  <c:v>13.88395852238325</c:v>
                </c:pt>
                <c:pt idx="1">
                  <c:v>-42.35827974187631</c:v>
                </c:pt>
                <c:pt idx="2">
                  <c:v>0.0</c:v>
                </c:pt>
              </c:numCache>
            </c:numRef>
          </c:yVal>
          <c:smooth val="0"/>
        </c:ser>
        <c:ser>
          <c:idx val="8"/>
          <c:order val="8"/>
          <c:tx>
            <c:strRef>
              <c:f>Percentiles!$A$116</c:f>
              <c:strCache>
                <c:ptCount val="1"/>
                <c:pt idx="0">
                  <c:v>Self - employment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FFCCFF"/>
              </a:solidFill>
              <a:ln>
                <a:solidFill>
                  <a:srgbClr val="CCCCFF"/>
                </a:solidFill>
                <a:prstDash val="solid"/>
              </a:ln>
            </c:spPr>
          </c:marker>
          <c:trendline>
            <c:spPr>
              <a:ln w="3175">
                <a:solidFill>
                  <a:srgbClr val="CCCCFF"/>
                </a:solidFill>
                <a:prstDash val="solid"/>
              </a:ln>
            </c:spPr>
            <c:trendlineType val="poly"/>
            <c:order val="2"/>
            <c:forward val="17.0"/>
            <c:backward val="13.0"/>
            <c:dispRSqr val="0"/>
            <c:dispEq val="1"/>
            <c:trendlineLbl>
              <c:layout>
                <c:manualLayout>
                  <c:x val="-0.174252973109329"/>
                  <c:y val="-0.00075328426937026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CCCCFF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Percentiles!$C$107:$E$107</c:f>
              <c:numCache>
                <c:formatCode>0.0</c:formatCode>
                <c:ptCount val="3"/>
                <c:pt idx="0">
                  <c:v>36.33333333333333</c:v>
                </c:pt>
                <c:pt idx="1">
                  <c:v>70.0</c:v>
                </c:pt>
                <c:pt idx="2">
                  <c:v>90.33333333333333</c:v>
                </c:pt>
              </c:numCache>
            </c:numRef>
          </c:xVal>
          <c:yVal>
            <c:numRef>
              <c:f>Percentiles!$C$116:$E$116</c:f>
              <c:numCache>
                <c:formatCode>0.000</c:formatCode>
                <c:ptCount val="3"/>
                <c:pt idx="0">
                  <c:v>146.1041210971603</c:v>
                </c:pt>
                <c:pt idx="1">
                  <c:v>-206.1297770148819</c:v>
                </c:pt>
                <c:pt idx="2">
                  <c:v>-44.8774416885115</c:v>
                </c:pt>
              </c:numCache>
            </c:numRef>
          </c:yVal>
          <c:smooth val="0"/>
        </c:ser>
        <c:ser>
          <c:idx val="10"/>
          <c:order val="10"/>
          <c:tx>
            <c:strRef>
              <c:f>Percentiles!$A$118</c:f>
              <c:strCache>
                <c:ptCount val="1"/>
                <c:pt idx="0">
                  <c:v>Food transfer - official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558ED5"/>
              </a:solidFill>
              <a:ln>
                <a:solidFill>
                  <a:srgbClr val="3366FF"/>
                </a:solidFill>
                <a:prstDash val="solid"/>
              </a:ln>
            </c:spPr>
          </c:marker>
          <c:trendline>
            <c:spPr>
              <a:ln w="3175">
                <a:solidFill>
                  <a:srgbClr val="3366FF"/>
                </a:solidFill>
                <a:prstDash val="solid"/>
              </a:ln>
            </c:spPr>
            <c:trendlineType val="poly"/>
            <c:order val="2"/>
            <c:forward val="17.0"/>
            <c:backward val="13.0"/>
            <c:dispRSqr val="0"/>
            <c:dispEq val="1"/>
            <c:trendlineLbl>
              <c:layout>
                <c:manualLayout>
                  <c:x val="-0.175841005402218"/>
                  <c:y val="0.102443324354769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CCCCFF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Percentiles!$C$107:$E$107</c:f>
              <c:numCache>
                <c:formatCode>0.0</c:formatCode>
                <c:ptCount val="3"/>
                <c:pt idx="0">
                  <c:v>36.33333333333333</c:v>
                </c:pt>
                <c:pt idx="1">
                  <c:v>70.0</c:v>
                </c:pt>
                <c:pt idx="2">
                  <c:v>90.33333333333333</c:v>
                </c:pt>
              </c:numCache>
            </c:numRef>
          </c:xVal>
          <c:yVal>
            <c:numRef>
              <c:f>Percentiles!$C$118:$E$118</c:f>
              <c:numCache>
                <c:formatCode>0.000</c:formatCode>
                <c:ptCount val="3"/>
                <c:pt idx="0">
                  <c:v>-2.779732183020802</c:v>
                </c:pt>
                <c:pt idx="1">
                  <c:v>-33.69609960351548</c:v>
                </c:pt>
                <c:pt idx="2">
                  <c:v>0.0</c:v>
                </c:pt>
              </c:numCache>
            </c:numRef>
          </c:yVal>
          <c:smooth val="0"/>
        </c:ser>
        <c:ser>
          <c:idx val="11"/>
          <c:order val="11"/>
          <c:tx>
            <c:strRef>
              <c:f>Percentiles!$A$119</c:f>
              <c:strCache>
                <c:ptCount val="1"/>
                <c:pt idx="0">
                  <c:v>Cash transfer - official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A6A6A6"/>
              </a:solidFill>
              <a:ln>
                <a:solidFill>
                  <a:srgbClr val="969696"/>
                </a:solidFill>
                <a:prstDash val="solid"/>
              </a:ln>
            </c:spPr>
          </c:marker>
          <c:trendline>
            <c:spPr>
              <a:ln w="3175">
                <a:solidFill>
                  <a:srgbClr val="969696"/>
                </a:solidFill>
                <a:prstDash val="solid"/>
              </a:ln>
            </c:spPr>
            <c:trendlineType val="poly"/>
            <c:order val="2"/>
            <c:forward val="17.0"/>
            <c:backward val="13.0"/>
            <c:dispRSqr val="0"/>
            <c:dispEq val="1"/>
            <c:trendlineLbl>
              <c:layout>
                <c:manualLayout>
                  <c:x val="-0.00302772550325083"/>
                  <c:y val="0.00308295990841438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969696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Percentiles!$C$107:$E$107</c:f>
              <c:numCache>
                <c:formatCode>0.0</c:formatCode>
                <c:ptCount val="3"/>
                <c:pt idx="0">
                  <c:v>36.33333333333333</c:v>
                </c:pt>
                <c:pt idx="1">
                  <c:v>70.0</c:v>
                </c:pt>
                <c:pt idx="2">
                  <c:v>90.33333333333333</c:v>
                </c:pt>
              </c:numCache>
            </c:numRef>
          </c:xVal>
          <c:yVal>
            <c:numRef>
              <c:f>Percentiles!$C$119:$E$119</c:f>
              <c:numCache>
                <c:formatCode>0.000</c:formatCode>
                <c:ptCount val="3"/>
                <c:pt idx="0">
                  <c:v>0.0</c:v>
                </c:pt>
                <c:pt idx="1">
                  <c:v>-690.9256126627083</c:v>
                </c:pt>
                <c:pt idx="2">
                  <c:v>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55236296"/>
        <c:axId val="-2055688088"/>
      </c:scatterChart>
      <c:scatterChart>
        <c:scatterStyle val="lineMarker"/>
        <c:varyColors val="0"/>
        <c:ser>
          <c:idx val="2"/>
          <c:order val="2"/>
          <c:tx>
            <c:strRef>
              <c:f>Percentiles!$A$110</c:f>
              <c:strCache>
                <c:ptCount val="1"/>
                <c:pt idx="0">
                  <c:v>Animal products consumed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chemeClr val="bg1"/>
              </a:solidFill>
              <a:ln>
                <a:solidFill>
                  <a:schemeClr val="tx1"/>
                </a:solidFill>
              </a:ln>
            </c:spPr>
          </c:marker>
          <c:trendline>
            <c:spPr>
              <a:ln w="3175">
                <a:solidFill>
                  <a:srgbClr val="000000"/>
                </a:solidFill>
                <a:prstDash val="solid"/>
              </a:ln>
            </c:spPr>
            <c:trendlineType val="poly"/>
            <c:order val="2"/>
            <c:forward val="17.0"/>
            <c:backward val="13.0"/>
            <c:dispRSqr val="0"/>
            <c:dispEq val="1"/>
            <c:trendlineLbl>
              <c:layout>
                <c:manualLayout>
                  <c:x val="-0.230706759152949"/>
                  <c:y val="0.0576282584720034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Percentiles!$C$107:$E$107</c:f>
              <c:numCache>
                <c:formatCode>0.0</c:formatCode>
                <c:ptCount val="3"/>
                <c:pt idx="0">
                  <c:v>36.33333333333333</c:v>
                </c:pt>
                <c:pt idx="1">
                  <c:v>70.0</c:v>
                </c:pt>
                <c:pt idx="2">
                  <c:v>90.33333333333333</c:v>
                </c:pt>
              </c:numCache>
            </c:numRef>
          </c:xVal>
          <c:yVal>
            <c:numRef>
              <c:f>Percentiles!$C$110:$E$110</c:f>
              <c:numCache>
                <c:formatCode>0.000</c:formatCode>
                <c:ptCount val="3"/>
                <c:pt idx="0">
                  <c:v>15.88595841892258</c:v>
                </c:pt>
                <c:pt idx="1">
                  <c:v>12.20546608643625</c:v>
                </c:pt>
                <c:pt idx="2">
                  <c:v>62.95034316955829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Percentiles!$A$111</c:f>
              <c:strCache>
                <c:ptCount val="1"/>
                <c:pt idx="0">
                  <c:v>Animal products sold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FFFF00"/>
              </a:solidFill>
              <a:ln>
                <a:solidFill>
                  <a:srgbClr val="FFFF00"/>
                </a:solidFill>
              </a:ln>
            </c:spPr>
          </c:marker>
          <c:trendline>
            <c:spPr>
              <a:ln w="3175">
                <a:solidFill>
                  <a:srgbClr val="FCF305"/>
                </a:solidFill>
                <a:prstDash val="solid"/>
              </a:ln>
            </c:spPr>
            <c:trendlineType val="poly"/>
            <c:order val="2"/>
            <c:forward val="17.0"/>
            <c:backward val="13.0"/>
            <c:dispRSqr val="0"/>
            <c:dispEq val="1"/>
            <c:trendlineLbl>
              <c:layout>
                <c:manualLayout>
                  <c:x val="0.00202835732677505"/>
                  <c:y val="-0.0622699754926492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FCF305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Percentiles!$C$107:$E$107</c:f>
              <c:numCache>
                <c:formatCode>0.0</c:formatCode>
                <c:ptCount val="3"/>
                <c:pt idx="0">
                  <c:v>36.33333333333333</c:v>
                </c:pt>
                <c:pt idx="1">
                  <c:v>70.0</c:v>
                </c:pt>
                <c:pt idx="2">
                  <c:v>90.33333333333333</c:v>
                </c:pt>
              </c:numCache>
            </c:numRef>
          </c:xVal>
          <c:yVal>
            <c:numRef>
              <c:f>Percentiles!$C$111:$E$111</c:f>
              <c:numCache>
                <c:formatCode>0.000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Percentiles!$A$112</c:f>
              <c:strCache>
                <c:ptCount val="1"/>
                <c:pt idx="0">
                  <c:v>Animals sold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FAC090"/>
              </a:solidFill>
              <a:ln>
                <a:solidFill>
                  <a:srgbClr val="FFCC99"/>
                </a:solidFill>
                <a:prstDash val="solid"/>
              </a:ln>
            </c:spPr>
          </c:marker>
          <c:trendline>
            <c:spPr>
              <a:ln w="3175">
                <a:solidFill>
                  <a:srgbClr val="FF6600"/>
                </a:solidFill>
                <a:prstDash val="solid"/>
              </a:ln>
            </c:spPr>
            <c:trendlineType val="poly"/>
            <c:order val="2"/>
            <c:forward val="17.0"/>
            <c:backward val="13.0"/>
            <c:dispRSqr val="0"/>
            <c:dispEq val="1"/>
            <c:trendlineLbl>
              <c:layout>
                <c:manualLayout>
                  <c:x val="0.0816964055750752"/>
                  <c:y val="-0.0562272730847312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FF6600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Percentiles!$C$107:$E$107</c:f>
              <c:numCache>
                <c:formatCode>0.0</c:formatCode>
                <c:ptCount val="3"/>
                <c:pt idx="0">
                  <c:v>36.33333333333333</c:v>
                </c:pt>
                <c:pt idx="1">
                  <c:v>70.0</c:v>
                </c:pt>
                <c:pt idx="2">
                  <c:v>90.33333333333333</c:v>
                </c:pt>
              </c:numCache>
            </c:numRef>
          </c:xVal>
          <c:yVal>
            <c:numRef>
              <c:f>Percentiles!$C$112:$E$112</c:f>
              <c:numCache>
                <c:formatCode>0.000</c:formatCode>
                <c:ptCount val="3"/>
                <c:pt idx="0">
                  <c:v>165.3383121208457</c:v>
                </c:pt>
                <c:pt idx="1">
                  <c:v>445.7449298637233</c:v>
                </c:pt>
                <c:pt idx="2">
                  <c:v>884.6465692847825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Percentiles!$A$114</c:f>
              <c:strCache>
                <c:ptCount val="1"/>
                <c:pt idx="0">
                  <c:v>Labour - casual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D99694"/>
              </a:solidFill>
              <a:ln>
                <a:solidFill>
                  <a:srgbClr val="FF8080"/>
                </a:solidFill>
                <a:prstDash val="solid"/>
              </a:ln>
            </c:spPr>
          </c:marker>
          <c:trendline>
            <c:spPr>
              <a:ln w="3175">
                <a:solidFill>
                  <a:srgbClr val="FF8080"/>
                </a:solidFill>
                <a:prstDash val="solid"/>
              </a:ln>
            </c:spPr>
            <c:trendlineType val="poly"/>
            <c:order val="2"/>
            <c:forward val="17.0"/>
            <c:backward val="13.0"/>
            <c:dispRSqr val="0"/>
            <c:dispEq val="1"/>
            <c:trendlineLbl>
              <c:layout>
                <c:manualLayout>
                  <c:x val="-0.278549659290863"/>
                  <c:y val="-0.366916792253733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FF8080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Percentiles!$C$107:$E$107</c:f>
              <c:numCache>
                <c:formatCode>0.0</c:formatCode>
                <c:ptCount val="3"/>
                <c:pt idx="0">
                  <c:v>36.33333333333333</c:v>
                </c:pt>
                <c:pt idx="1">
                  <c:v>70.0</c:v>
                </c:pt>
                <c:pt idx="2">
                  <c:v>90.33333333333333</c:v>
                </c:pt>
              </c:numCache>
            </c:numRef>
          </c:xVal>
          <c:yVal>
            <c:numRef>
              <c:f>Percentiles!$C$114:$E$114</c:f>
              <c:numCache>
                <c:formatCode>0.000</c:formatCode>
                <c:ptCount val="3"/>
                <c:pt idx="0">
                  <c:v>179.8240452958159</c:v>
                </c:pt>
                <c:pt idx="1">
                  <c:v>-529.4643076545059</c:v>
                </c:pt>
                <c:pt idx="2">
                  <c:v>0.0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Percentiles!$A$115</c:f>
              <c:strCache>
                <c:ptCount val="1"/>
                <c:pt idx="0">
                  <c:v>Labour - formal emp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C0504D"/>
              </a:solidFill>
              <a:ln>
                <a:solidFill>
                  <a:srgbClr val="993366"/>
                </a:solidFill>
                <a:prstDash val="solid"/>
              </a:ln>
            </c:spPr>
          </c:marker>
          <c:trendline>
            <c:spPr>
              <a:ln w="3175">
                <a:solidFill>
                  <a:srgbClr val="993366"/>
                </a:solidFill>
                <a:prstDash val="solid"/>
              </a:ln>
            </c:spPr>
            <c:trendlineType val="poly"/>
            <c:order val="2"/>
            <c:forward val="17.0"/>
            <c:backward val="13.0"/>
            <c:dispRSqr val="0"/>
            <c:dispEq val="1"/>
            <c:trendlineLbl>
              <c:layout>
                <c:manualLayout>
                  <c:x val="0.0476769435143113"/>
                  <c:y val="0.302366432717704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993366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Percentiles!$C$107:$E$107</c:f>
              <c:numCache>
                <c:formatCode>0.0</c:formatCode>
                <c:ptCount val="3"/>
                <c:pt idx="0">
                  <c:v>36.33333333333333</c:v>
                </c:pt>
                <c:pt idx="1">
                  <c:v>70.0</c:v>
                </c:pt>
                <c:pt idx="2">
                  <c:v>90.33333333333333</c:v>
                </c:pt>
              </c:numCache>
            </c:numRef>
          </c:xVal>
          <c:yVal>
            <c:numRef>
              <c:f>Percentiles!$C$115:$E$115</c:f>
              <c:numCache>
                <c:formatCode>0.000</c:formatCode>
                <c:ptCount val="3"/>
                <c:pt idx="0">
                  <c:v>370.2388939302198</c:v>
                </c:pt>
                <c:pt idx="1">
                  <c:v>1171.799866311134</c:v>
                </c:pt>
                <c:pt idx="2">
                  <c:v>11163.26362001723</c:v>
                </c:pt>
              </c:numCache>
            </c:numRef>
          </c:yVal>
          <c:smooth val="0"/>
        </c:ser>
        <c:ser>
          <c:idx val="9"/>
          <c:order val="9"/>
          <c:tx>
            <c:strRef>
              <c:f>Percentiles!$A$117</c:f>
              <c:strCache>
                <c:ptCount val="1"/>
                <c:pt idx="0">
                  <c:v>Small business/petty trading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CC66FF"/>
              </a:solidFill>
              <a:ln>
                <a:solidFill>
                  <a:srgbClr val="CC99FF"/>
                </a:solidFill>
                <a:prstDash val="solid"/>
              </a:ln>
            </c:spPr>
          </c:marker>
          <c:trendline>
            <c:spPr>
              <a:ln w="3175">
                <a:solidFill>
                  <a:srgbClr val="CC99FF"/>
                </a:solidFill>
                <a:prstDash val="solid"/>
              </a:ln>
            </c:spPr>
            <c:trendlineType val="poly"/>
            <c:order val="2"/>
            <c:forward val="17.0"/>
            <c:backward val="13.0"/>
            <c:dispRSqr val="0"/>
            <c:dispEq val="1"/>
            <c:trendlineLbl>
              <c:layout>
                <c:manualLayout>
                  <c:x val="0.0176797809678449"/>
                  <c:y val="0.20101079715139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CC99FF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Percentiles!$C$107:$E$107</c:f>
              <c:numCache>
                <c:formatCode>0.0</c:formatCode>
                <c:ptCount val="3"/>
                <c:pt idx="0">
                  <c:v>36.33333333333333</c:v>
                </c:pt>
                <c:pt idx="1">
                  <c:v>70.0</c:v>
                </c:pt>
                <c:pt idx="2">
                  <c:v>90.33333333333333</c:v>
                </c:pt>
              </c:numCache>
            </c:numRef>
          </c:xVal>
          <c:yVal>
            <c:numRef>
              <c:f>Percentiles!$C$117:$E$117</c:f>
              <c:numCache>
                <c:formatCode>0.000</c:formatCode>
                <c:ptCount val="3"/>
                <c:pt idx="0">
                  <c:v>40.38969751966034</c:v>
                </c:pt>
                <c:pt idx="1">
                  <c:v>2183.204431772588</c:v>
                </c:pt>
                <c:pt idx="2">
                  <c:v>-249.3689843158281</c:v>
                </c:pt>
              </c:numCache>
            </c:numRef>
          </c:yVal>
          <c:smooth val="0"/>
        </c:ser>
        <c:ser>
          <c:idx val="12"/>
          <c:order val="12"/>
          <c:tx>
            <c:strRef>
              <c:f>Percentiles!$A$120</c:f>
              <c:strCache>
                <c:ptCount val="1"/>
                <c:pt idx="0">
                  <c:v>Cash transfer - gifts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D9D9D9"/>
              </a:solidFill>
              <a:ln>
                <a:solidFill>
                  <a:srgbClr val="C0C0C0"/>
                </a:solidFill>
                <a:prstDash val="solid"/>
              </a:ln>
            </c:spPr>
          </c:marker>
          <c:trendline>
            <c:spPr>
              <a:ln w="3175">
                <a:solidFill>
                  <a:srgbClr val="C0C0C0"/>
                </a:solidFill>
                <a:prstDash val="solid"/>
              </a:ln>
            </c:spPr>
            <c:trendlineType val="poly"/>
            <c:order val="2"/>
            <c:forward val="17.0"/>
            <c:backward val="13.0"/>
            <c:dispRSqr val="0"/>
            <c:dispEq val="1"/>
            <c:trendlineLbl>
              <c:layout>
                <c:manualLayout>
                  <c:x val="-0.232777509800058"/>
                  <c:y val="0.189762056596633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C0C0C0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Percentiles!$C$107:$E$107</c:f>
              <c:numCache>
                <c:formatCode>0.0</c:formatCode>
                <c:ptCount val="3"/>
                <c:pt idx="0">
                  <c:v>36.33333333333333</c:v>
                </c:pt>
                <c:pt idx="1">
                  <c:v>70.0</c:v>
                </c:pt>
                <c:pt idx="2">
                  <c:v>90.33333333333333</c:v>
                </c:pt>
              </c:numCache>
            </c:numRef>
          </c:xVal>
          <c:yVal>
            <c:numRef>
              <c:f>Percentiles!$C$120:$E$120</c:f>
              <c:numCache>
                <c:formatCode>0.000</c:formatCode>
                <c:ptCount val="3"/>
                <c:pt idx="0">
                  <c:v>88.35246332425699</c:v>
                </c:pt>
                <c:pt idx="1">
                  <c:v>-23.11396012892083</c:v>
                </c:pt>
                <c:pt idx="2">
                  <c:v>284.2237973605728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40750568"/>
        <c:axId val="-2057178216"/>
      </c:scatterChart>
      <c:valAx>
        <c:axId val="-2055236296"/>
        <c:scaling>
          <c:orientation val="minMax"/>
        </c:scaling>
        <c:delete val="0"/>
        <c:axPos val="b"/>
        <c:majorGridlines>
          <c:spPr>
            <a:ln w="3175">
              <a:solidFill>
                <a:srgbClr val="808080"/>
              </a:solidFill>
              <a:prstDash val="sysDash"/>
            </a:ln>
          </c:spPr>
        </c:majorGridlines>
        <c:numFmt formatCode="0.0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2055688088"/>
        <c:crosses val="autoZero"/>
        <c:crossBetween val="midCat"/>
      </c:valAx>
      <c:valAx>
        <c:axId val="-2055688088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ysDash"/>
            </a:ln>
          </c:spPr>
        </c:minorGridlines>
        <c:numFmt formatCode="0.000" sourceLinked="1"/>
        <c:majorTickMark val="out"/>
        <c:minorTickMark val="out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2055236296"/>
        <c:crosses val="autoZero"/>
        <c:crossBetween val="midCat"/>
      </c:valAx>
      <c:valAx>
        <c:axId val="-2140750568"/>
        <c:scaling>
          <c:orientation val="minMax"/>
        </c:scaling>
        <c:delete val="1"/>
        <c:axPos val="b"/>
        <c:numFmt formatCode="0.0" sourceLinked="1"/>
        <c:majorTickMark val="out"/>
        <c:minorTickMark val="none"/>
        <c:tickLblPos val="none"/>
        <c:crossAx val="-2057178216"/>
        <c:crosses val="autoZero"/>
        <c:crossBetween val="midCat"/>
      </c:valAx>
      <c:valAx>
        <c:axId val="-2057178216"/>
        <c:scaling>
          <c:orientation val="minMax"/>
        </c:scaling>
        <c:delete val="0"/>
        <c:axPos val="r"/>
        <c:numFmt formatCode="0.000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2140750568"/>
        <c:crosses val="max"/>
        <c:crossBetween val="midCat"/>
      </c:valAx>
      <c:spPr>
        <a:solidFill>
          <a:srgbClr val="FFFFFF"/>
        </a:solidFill>
        <a:ln w="25400">
          <a:noFill/>
        </a:ln>
      </c:spPr>
    </c:plotArea>
    <c:legend>
      <c:legendPos val="r"/>
      <c:layout>
        <c:manualLayout>
          <c:xMode val="edge"/>
          <c:yMode val="edge"/>
          <c:x val="0.750000651822496"/>
          <c:y val="0.0385852090032154"/>
          <c:w val="0.231788209834698"/>
          <c:h val="0.903537990227106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65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Percentiles!$A$59</c:f>
              <c:strCache>
                <c:ptCount val="1"/>
                <c:pt idx="0">
                  <c:v>Own crops Consumed</c:v>
                </c:pt>
              </c:strCache>
            </c:strRef>
          </c:tx>
          <c:spPr>
            <a:solidFill>
              <a:srgbClr val="00B050"/>
            </a:solidFill>
            <a:ln w="25400">
              <a:noFill/>
            </a:ln>
          </c:spPr>
          <c:cat>
            <c:numRef>
              <c:f>Percentiles!$F$22:$DA$22</c:f>
              <c:numCache>
                <c:formatCode>0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Percentiles!$F$59:$DA$59</c:f>
              <c:numCache>
                <c:formatCode>0</c:formatCode>
                <c:ptCount val="100"/>
                <c:pt idx="0">
                  <c:v>3455.879273965561</c:v>
                </c:pt>
                <c:pt idx="1">
                  <c:v>3455.879273965561</c:v>
                </c:pt>
                <c:pt idx="2">
                  <c:v>3455.879273965561</c:v>
                </c:pt>
                <c:pt idx="3">
                  <c:v>3455.879273965561</c:v>
                </c:pt>
                <c:pt idx="4">
                  <c:v>3455.879273965561</c:v>
                </c:pt>
                <c:pt idx="5">
                  <c:v>3455.879273965561</c:v>
                </c:pt>
                <c:pt idx="6">
                  <c:v>3455.879273965561</c:v>
                </c:pt>
                <c:pt idx="7">
                  <c:v>3455.879273965561</c:v>
                </c:pt>
                <c:pt idx="8">
                  <c:v>3455.879273965561</c:v>
                </c:pt>
                <c:pt idx="9">
                  <c:v>3455.879273965561</c:v>
                </c:pt>
                <c:pt idx="10">
                  <c:v>3455.879273965561</c:v>
                </c:pt>
                <c:pt idx="11">
                  <c:v>3455.879273965561</c:v>
                </c:pt>
                <c:pt idx="12">
                  <c:v>3455.879273965561</c:v>
                </c:pt>
                <c:pt idx="13">
                  <c:v>3455.879273965561</c:v>
                </c:pt>
                <c:pt idx="14">
                  <c:v>3455.879273965561</c:v>
                </c:pt>
                <c:pt idx="15">
                  <c:v>3455.879273965561</c:v>
                </c:pt>
                <c:pt idx="16">
                  <c:v>3455.879273965561</c:v>
                </c:pt>
                <c:pt idx="17">
                  <c:v>3455.879273965561</c:v>
                </c:pt>
                <c:pt idx="18">
                  <c:v>3455.879273965561</c:v>
                </c:pt>
                <c:pt idx="19">
                  <c:v>3504.998351673923</c:v>
                </c:pt>
                <c:pt idx="20">
                  <c:v>3563.941244923956</c:v>
                </c:pt>
                <c:pt idx="21">
                  <c:v>3622.88413817399</c:v>
                </c:pt>
                <c:pt idx="22">
                  <c:v>3681.827031424024</c:v>
                </c:pt>
                <c:pt idx="23">
                  <c:v>3740.769924674057</c:v>
                </c:pt>
                <c:pt idx="24">
                  <c:v>3799.712817924091</c:v>
                </c:pt>
                <c:pt idx="25">
                  <c:v>3858.655711174124</c:v>
                </c:pt>
                <c:pt idx="26">
                  <c:v>3917.598604424158</c:v>
                </c:pt>
                <c:pt idx="27">
                  <c:v>3976.541497674191</c:v>
                </c:pt>
                <c:pt idx="28">
                  <c:v>4035.484390924224</c:v>
                </c:pt>
                <c:pt idx="29">
                  <c:v>4094.427284174258</c:v>
                </c:pt>
                <c:pt idx="30">
                  <c:v>4153.370177424292</c:v>
                </c:pt>
                <c:pt idx="31">
                  <c:v>4212.313070674325</c:v>
                </c:pt>
                <c:pt idx="32">
                  <c:v>4271.25596392436</c:v>
                </c:pt>
                <c:pt idx="33">
                  <c:v>4330.198857174392</c:v>
                </c:pt>
                <c:pt idx="34">
                  <c:v>4389.141750424425</c:v>
                </c:pt>
                <c:pt idx="35">
                  <c:v>4448.08464367446</c:v>
                </c:pt>
                <c:pt idx="36">
                  <c:v>4507.027536924493</c:v>
                </c:pt>
                <c:pt idx="37">
                  <c:v>4565.970430174527</c:v>
                </c:pt>
                <c:pt idx="38">
                  <c:v>4624.91332342456</c:v>
                </c:pt>
                <c:pt idx="39">
                  <c:v>4683.856216674594</c:v>
                </c:pt>
                <c:pt idx="40">
                  <c:v>4742.799109924627</c:v>
                </c:pt>
                <c:pt idx="41">
                  <c:v>4801.74200317466</c:v>
                </c:pt>
                <c:pt idx="42">
                  <c:v>4860.684896424695</c:v>
                </c:pt>
                <c:pt idx="43">
                  <c:v>4919.627789674727</c:v>
                </c:pt>
                <c:pt idx="44">
                  <c:v>4978.570682924761</c:v>
                </c:pt>
                <c:pt idx="45">
                  <c:v>5037.513576174795</c:v>
                </c:pt>
                <c:pt idx="46">
                  <c:v>5096.456469424828</c:v>
                </c:pt>
                <c:pt idx="47">
                  <c:v>5155.399362674861</c:v>
                </c:pt>
                <c:pt idx="48">
                  <c:v>5214.342255924896</c:v>
                </c:pt>
                <c:pt idx="49">
                  <c:v>5273.285149174928</c:v>
                </c:pt>
                <c:pt idx="50">
                  <c:v>5332.228042424963</c:v>
                </c:pt>
                <c:pt idx="51">
                  <c:v>5391.170935674996</c:v>
                </c:pt>
                <c:pt idx="52">
                  <c:v>5450.11382892503</c:v>
                </c:pt>
                <c:pt idx="53">
                  <c:v>5509.056722175063</c:v>
                </c:pt>
                <c:pt idx="54">
                  <c:v>5528.376502637046</c:v>
                </c:pt>
                <c:pt idx="55">
                  <c:v>5539.771660541417</c:v>
                </c:pt>
                <c:pt idx="56">
                  <c:v>5551.166818445788</c:v>
                </c:pt>
                <c:pt idx="57">
                  <c:v>5562.56197635016</c:v>
                </c:pt>
                <c:pt idx="58">
                  <c:v>5573.957134254531</c:v>
                </c:pt>
                <c:pt idx="59">
                  <c:v>5585.352292158902</c:v>
                </c:pt>
                <c:pt idx="60">
                  <c:v>5596.747450063275</c:v>
                </c:pt>
                <c:pt idx="61">
                  <c:v>5608.142607967646</c:v>
                </c:pt>
                <c:pt idx="62">
                  <c:v>5619.537765872018</c:v>
                </c:pt>
                <c:pt idx="63">
                  <c:v>5630.93292377639</c:v>
                </c:pt>
                <c:pt idx="64">
                  <c:v>5642.32808168076</c:v>
                </c:pt>
                <c:pt idx="65">
                  <c:v>5653.723239585133</c:v>
                </c:pt>
                <c:pt idx="66">
                  <c:v>5665.118397489505</c:v>
                </c:pt>
                <c:pt idx="67">
                  <c:v>5676.513555393876</c:v>
                </c:pt>
                <c:pt idx="68">
                  <c:v>5687.908713298248</c:v>
                </c:pt>
                <c:pt idx="69">
                  <c:v>5699.30387120262</c:v>
                </c:pt>
                <c:pt idx="70">
                  <c:v>5710.69902910699</c:v>
                </c:pt>
                <c:pt idx="71">
                  <c:v>5722.094187011363</c:v>
                </c:pt>
                <c:pt idx="72">
                  <c:v>5733.489344915734</c:v>
                </c:pt>
                <c:pt idx="73">
                  <c:v>5744.884502820106</c:v>
                </c:pt>
                <c:pt idx="74">
                  <c:v>5756.279660724477</c:v>
                </c:pt>
                <c:pt idx="75">
                  <c:v>5767.67481862885</c:v>
                </c:pt>
                <c:pt idx="76">
                  <c:v>5779.06997653322</c:v>
                </c:pt>
                <c:pt idx="77">
                  <c:v>5790.465134437592</c:v>
                </c:pt>
                <c:pt idx="78">
                  <c:v>5801.860292341964</c:v>
                </c:pt>
                <c:pt idx="79">
                  <c:v>5813.255450246335</c:v>
                </c:pt>
                <c:pt idx="80">
                  <c:v>5824.650608150706</c:v>
                </c:pt>
                <c:pt idx="81">
                  <c:v>5828.028116309528</c:v>
                </c:pt>
                <c:pt idx="82">
                  <c:v>5829.80209451924</c:v>
                </c:pt>
                <c:pt idx="83">
                  <c:v>5831.576072728953</c:v>
                </c:pt>
                <c:pt idx="84">
                  <c:v>5833.350050938665</c:v>
                </c:pt>
                <c:pt idx="85">
                  <c:v>5835.124029148376</c:v>
                </c:pt>
                <c:pt idx="86">
                  <c:v>5836.898007358089</c:v>
                </c:pt>
                <c:pt idx="87">
                  <c:v>5838.6719855678</c:v>
                </c:pt>
                <c:pt idx="88">
                  <c:v>5840.445963777512</c:v>
                </c:pt>
                <c:pt idx="89">
                  <c:v>5842.219941987224</c:v>
                </c:pt>
                <c:pt idx="90">
                  <c:v>5843.993920196936</c:v>
                </c:pt>
                <c:pt idx="91">
                  <c:v>5845.767898406648</c:v>
                </c:pt>
                <c:pt idx="92">
                  <c:v>5847.54187661636</c:v>
                </c:pt>
                <c:pt idx="93">
                  <c:v>5849.315854826072</c:v>
                </c:pt>
                <c:pt idx="94">
                  <c:v>5851.089833035783</c:v>
                </c:pt>
                <c:pt idx="95">
                  <c:v>5852.863811245496</c:v>
                </c:pt>
                <c:pt idx="96">
                  <c:v>5941.792807613781</c:v>
                </c:pt>
                <c:pt idx="97">
                  <c:v>6048.152807613781</c:v>
                </c:pt>
                <c:pt idx="98">
                  <c:v>6154.512807613781</c:v>
                </c:pt>
                <c:pt idx="99">
                  <c:v>6260.872807613782</c:v>
                </c:pt>
              </c:numCache>
            </c:numRef>
          </c:val>
        </c:ser>
        <c:ser>
          <c:idx val="1"/>
          <c:order val="1"/>
          <c:tx>
            <c:strRef>
              <c:f>Percentiles!$A$60</c:f>
              <c:strCache>
                <c:ptCount val="1"/>
                <c:pt idx="0">
                  <c:v>Own crops sold</c:v>
                </c:pt>
              </c:strCache>
            </c:strRef>
          </c:tx>
          <c:spPr>
            <a:solidFill>
              <a:srgbClr val="92D050"/>
            </a:solidFill>
            <a:ln w="25400">
              <a:noFill/>
            </a:ln>
          </c:spPr>
          <c:cat>
            <c:numRef>
              <c:f>Percentiles!$F$22:$DA$22</c:f>
              <c:numCache>
                <c:formatCode>0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Percentiles!$F$60:$DA$60</c:f>
              <c:numCache>
                <c:formatCode>0</c:formatCode>
                <c:ptCount val="100"/>
                <c:pt idx="0">
                  <c:v>7353.53268010181</c:v>
                </c:pt>
                <c:pt idx="1">
                  <c:v>7013.272680101808</c:v>
                </c:pt>
                <c:pt idx="2">
                  <c:v>6673.012680101808</c:v>
                </c:pt>
                <c:pt idx="3">
                  <c:v>6332.752680101808</c:v>
                </c:pt>
                <c:pt idx="4">
                  <c:v>5992.49268010181</c:v>
                </c:pt>
                <c:pt idx="5">
                  <c:v>5652.232680101808</c:v>
                </c:pt>
                <c:pt idx="6">
                  <c:v>5311.972680101808</c:v>
                </c:pt>
                <c:pt idx="7">
                  <c:v>4971.712680101808</c:v>
                </c:pt>
                <c:pt idx="8">
                  <c:v>4631.452680101808</c:v>
                </c:pt>
                <c:pt idx="9">
                  <c:v>4291.192680101808</c:v>
                </c:pt>
                <c:pt idx="10">
                  <c:v>3950.932680101809</c:v>
                </c:pt>
                <c:pt idx="11">
                  <c:v>3610.672680101809</c:v>
                </c:pt>
                <c:pt idx="12">
                  <c:v>3270.412680101808</c:v>
                </c:pt>
                <c:pt idx="13">
                  <c:v>2930.152680101809</c:v>
                </c:pt>
                <c:pt idx="14">
                  <c:v>2589.892680101809</c:v>
                </c:pt>
                <c:pt idx="15">
                  <c:v>2249.632680101809</c:v>
                </c:pt>
                <c:pt idx="16">
                  <c:v>1909.372680101809</c:v>
                </c:pt>
                <c:pt idx="17">
                  <c:v>1569.112680101809</c:v>
                </c:pt>
                <c:pt idx="18">
                  <c:v>1228.852680101809</c:v>
                </c:pt>
                <c:pt idx="19">
                  <c:v>1197.701785563469</c:v>
                </c:pt>
                <c:pt idx="20">
                  <c:v>1228.372712117462</c:v>
                </c:pt>
                <c:pt idx="21">
                  <c:v>1259.043638671454</c:v>
                </c:pt>
                <c:pt idx="22">
                  <c:v>1289.714565225446</c:v>
                </c:pt>
                <c:pt idx="23">
                  <c:v>1320.385491779438</c:v>
                </c:pt>
                <c:pt idx="24">
                  <c:v>1351.05641833343</c:v>
                </c:pt>
                <c:pt idx="25">
                  <c:v>1381.727344887422</c:v>
                </c:pt>
                <c:pt idx="26">
                  <c:v>1412.398271441414</c:v>
                </c:pt>
                <c:pt idx="27">
                  <c:v>1443.069197995406</c:v>
                </c:pt>
                <c:pt idx="28">
                  <c:v>1473.740124549398</c:v>
                </c:pt>
                <c:pt idx="29">
                  <c:v>1504.41105110339</c:v>
                </c:pt>
                <c:pt idx="30">
                  <c:v>1535.081977657382</c:v>
                </c:pt>
                <c:pt idx="31">
                  <c:v>1565.752904211374</c:v>
                </c:pt>
                <c:pt idx="32">
                  <c:v>1596.423830765366</c:v>
                </c:pt>
                <c:pt idx="33">
                  <c:v>1627.094757319358</c:v>
                </c:pt>
                <c:pt idx="34">
                  <c:v>1657.765683873351</c:v>
                </c:pt>
                <c:pt idx="35">
                  <c:v>1688.436610427342</c:v>
                </c:pt>
                <c:pt idx="36">
                  <c:v>1719.107536981335</c:v>
                </c:pt>
                <c:pt idx="37">
                  <c:v>1749.778463535327</c:v>
                </c:pt>
                <c:pt idx="38">
                  <c:v>1780.449390089319</c:v>
                </c:pt>
                <c:pt idx="39">
                  <c:v>1811.120316643311</c:v>
                </c:pt>
                <c:pt idx="40">
                  <c:v>1841.791243197303</c:v>
                </c:pt>
                <c:pt idx="41">
                  <c:v>1872.462169751295</c:v>
                </c:pt>
                <c:pt idx="42">
                  <c:v>1903.133096305287</c:v>
                </c:pt>
                <c:pt idx="43">
                  <c:v>1933.804022859279</c:v>
                </c:pt>
                <c:pt idx="44">
                  <c:v>1964.474949413271</c:v>
                </c:pt>
                <c:pt idx="45">
                  <c:v>1995.145875967263</c:v>
                </c:pt>
                <c:pt idx="46">
                  <c:v>2025.816802521255</c:v>
                </c:pt>
                <c:pt idx="47">
                  <c:v>2056.487729075247</c:v>
                </c:pt>
                <c:pt idx="48">
                  <c:v>2087.158655629239</c:v>
                </c:pt>
                <c:pt idx="49">
                  <c:v>2117.829582183231</c:v>
                </c:pt>
                <c:pt idx="50">
                  <c:v>2148.500508737223</c:v>
                </c:pt>
                <c:pt idx="51">
                  <c:v>2179.171435291215</c:v>
                </c:pt>
                <c:pt idx="52">
                  <c:v>2209.842361845208</c:v>
                </c:pt>
                <c:pt idx="53">
                  <c:v>2240.5132883992</c:v>
                </c:pt>
                <c:pt idx="54">
                  <c:v>2870.15002826703</c:v>
                </c:pt>
                <c:pt idx="55">
                  <c:v>3619.579930797627</c:v>
                </c:pt>
                <c:pt idx="56">
                  <c:v>4369.009833328223</c:v>
                </c:pt>
                <c:pt idx="57">
                  <c:v>5118.439735858819</c:v>
                </c:pt>
                <c:pt idx="58">
                  <c:v>5867.869638389415</c:v>
                </c:pt>
                <c:pt idx="59">
                  <c:v>6617.299540920012</c:v>
                </c:pt>
                <c:pt idx="60">
                  <c:v>7366.729443450608</c:v>
                </c:pt>
                <c:pt idx="61">
                  <c:v>8116.159345981205</c:v>
                </c:pt>
                <c:pt idx="62">
                  <c:v>8865.5892485118</c:v>
                </c:pt>
                <c:pt idx="63">
                  <c:v>9615.019151042397</c:v>
                </c:pt>
                <c:pt idx="64">
                  <c:v>10364.44905357299</c:v>
                </c:pt>
                <c:pt idx="65">
                  <c:v>11113.87895610359</c:v>
                </c:pt>
                <c:pt idx="66">
                  <c:v>11863.30885863419</c:v>
                </c:pt>
                <c:pt idx="67">
                  <c:v>12612.73876116478</c:v>
                </c:pt>
                <c:pt idx="68">
                  <c:v>13362.16866369538</c:v>
                </c:pt>
                <c:pt idx="69">
                  <c:v>14111.59856622598</c:v>
                </c:pt>
                <c:pt idx="70">
                  <c:v>14861.02846875657</c:v>
                </c:pt>
                <c:pt idx="71">
                  <c:v>15610.45837128717</c:v>
                </c:pt>
                <c:pt idx="72">
                  <c:v>16359.88827381776</c:v>
                </c:pt>
                <c:pt idx="73">
                  <c:v>17109.31817634836</c:v>
                </c:pt>
                <c:pt idx="74">
                  <c:v>17858.74807887895</c:v>
                </c:pt>
                <c:pt idx="75">
                  <c:v>18608.17798140955</c:v>
                </c:pt>
                <c:pt idx="76">
                  <c:v>19357.60788394015</c:v>
                </c:pt>
                <c:pt idx="77">
                  <c:v>20107.03778647074</c:v>
                </c:pt>
                <c:pt idx="78">
                  <c:v>20856.46768900134</c:v>
                </c:pt>
                <c:pt idx="79">
                  <c:v>21605.89759153194</c:v>
                </c:pt>
                <c:pt idx="80">
                  <c:v>22355.32749406253</c:v>
                </c:pt>
                <c:pt idx="81">
                  <c:v>23239.1287157044</c:v>
                </c:pt>
                <c:pt idx="82">
                  <c:v>24149.80420116852</c:v>
                </c:pt>
                <c:pt idx="83">
                  <c:v>25060.47968663264</c:v>
                </c:pt>
                <c:pt idx="84">
                  <c:v>25971.15517209676</c:v>
                </c:pt>
                <c:pt idx="85">
                  <c:v>26881.83065756088</c:v>
                </c:pt>
                <c:pt idx="86">
                  <c:v>27792.506143025</c:v>
                </c:pt>
                <c:pt idx="87">
                  <c:v>28703.18162848911</c:v>
                </c:pt>
                <c:pt idx="88">
                  <c:v>29613.85711395323</c:v>
                </c:pt>
                <c:pt idx="89">
                  <c:v>30524.53259941735</c:v>
                </c:pt>
                <c:pt idx="90">
                  <c:v>31435.20808488147</c:v>
                </c:pt>
                <c:pt idx="91">
                  <c:v>32345.88357034559</c:v>
                </c:pt>
                <c:pt idx="92">
                  <c:v>33256.55905580971</c:v>
                </c:pt>
                <c:pt idx="93">
                  <c:v>34167.23454127383</c:v>
                </c:pt>
                <c:pt idx="94">
                  <c:v>35077.91002673795</c:v>
                </c:pt>
                <c:pt idx="95">
                  <c:v>35988.58551220206</c:v>
                </c:pt>
                <c:pt idx="96">
                  <c:v>36744.41475977942</c:v>
                </c:pt>
                <c:pt idx="97">
                  <c:v>37469.27475977942</c:v>
                </c:pt>
                <c:pt idx="98">
                  <c:v>38194.13475977942</c:v>
                </c:pt>
                <c:pt idx="99">
                  <c:v>38918.99475977942</c:v>
                </c:pt>
              </c:numCache>
            </c:numRef>
          </c:val>
        </c:ser>
        <c:ser>
          <c:idx val="2"/>
          <c:order val="2"/>
          <c:tx>
            <c:strRef>
              <c:f>Percentiles!$A$61</c:f>
              <c:strCache>
                <c:ptCount val="1"/>
                <c:pt idx="0">
                  <c:v>Animal products consumed</c:v>
                </c:pt>
              </c:strCache>
            </c:strRef>
          </c:tx>
          <c:spPr>
            <a:solidFill>
              <a:srgbClr val="FFFFFF"/>
            </a:solidFill>
            <a:ln w="3175">
              <a:solidFill>
                <a:srgbClr val="000000"/>
              </a:solidFill>
              <a:prstDash val="solid"/>
            </a:ln>
          </c:spPr>
          <c:cat>
            <c:numRef>
              <c:f>Percentiles!$F$22:$DA$22</c:f>
              <c:numCache>
                <c:formatCode>0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Percentiles!$F$61:$DA$61</c:f>
              <c:numCache>
                <c:formatCode>0</c:formatCode>
                <c:ptCount val="100"/>
                <c:pt idx="0">
                  <c:v>573.6683149701675</c:v>
                </c:pt>
                <c:pt idx="1">
                  <c:v>573.6683149701675</c:v>
                </c:pt>
                <c:pt idx="2">
                  <c:v>573.6683149701675</c:v>
                </c:pt>
                <c:pt idx="3">
                  <c:v>573.6683149701675</c:v>
                </c:pt>
                <c:pt idx="4">
                  <c:v>573.6683149701675</c:v>
                </c:pt>
                <c:pt idx="5">
                  <c:v>573.6683149701675</c:v>
                </c:pt>
                <c:pt idx="6">
                  <c:v>573.6683149701675</c:v>
                </c:pt>
                <c:pt idx="7">
                  <c:v>573.6683149701675</c:v>
                </c:pt>
                <c:pt idx="8">
                  <c:v>573.6683149701675</c:v>
                </c:pt>
                <c:pt idx="9">
                  <c:v>573.6683149701675</c:v>
                </c:pt>
                <c:pt idx="10">
                  <c:v>573.6683149701675</c:v>
                </c:pt>
                <c:pt idx="11">
                  <c:v>573.6683149701675</c:v>
                </c:pt>
                <c:pt idx="12">
                  <c:v>573.6683149701675</c:v>
                </c:pt>
                <c:pt idx="13">
                  <c:v>573.6683149701675</c:v>
                </c:pt>
                <c:pt idx="14">
                  <c:v>573.6683149701675</c:v>
                </c:pt>
                <c:pt idx="15">
                  <c:v>573.6683149701675</c:v>
                </c:pt>
                <c:pt idx="16">
                  <c:v>573.6683149701675</c:v>
                </c:pt>
                <c:pt idx="17">
                  <c:v>573.6683149701675</c:v>
                </c:pt>
                <c:pt idx="18">
                  <c:v>573.6683149701675</c:v>
                </c:pt>
                <c:pt idx="19">
                  <c:v>586.906613652603</c:v>
                </c:pt>
                <c:pt idx="20">
                  <c:v>602.7925720715256</c:v>
                </c:pt>
                <c:pt idx="21">
                  <c:v>618.6785304904482</c:v>
                </c:pt>
                <c:pt idx="22">
                  <c:v>634.5644889093708</c:v>
                </c:pt>
                <c:pt idx="23">
                  <c:v>650.4504473282934</c:v>
                </c:pt>
                <c:pt idx="24">
                  <c:v>666.336405747216</c:v>
                </c:pt>
                <c:pt idx="25">
                  <c:v>682.2223641661386</c:v>
                </c:pt>
                <c:pt idx="26">
                  <c:v>698.1083225850611</c:v>
                </c:pt>
                <c:pt idx="27">
                  <c:v>713.9942810039838</c:v>
                </c:pt>
                <c:pt idx="28">
                  <c:v>729.8802394229064</c:v>
                </c:pt>
                <c:pt idx="29">
                  <c:v>745.7661978418289</c:v>
                </c:pt>
                <c:pt idx="30">
                  <c:v>761.6521562607516</c:v>
                </c:pt>
                <c:pt idx="31">
                  <c:v>777.538114679674</c:v>
                </c:pt>
                <c:pt idx="32">
                  <c:v>793.4240730985966</c:v>
                </c:pt>
                <c:pt idx="33">
                  <c:v>809.3100315175192</c:v>
                </c:pt>
                <c:pt idx="34">
                  <c:v>825.1959899364418</c:v>
                </c:pt>
                <c:pt idx="35">
                  <c:v>841.0819483553643</c:v>
                </c:pt>
                <c:pt idx="36">
                  <c:v>856.967906774287</c:v>
                </c:pt>
                <c:pt idx="37">
                  <c:v>872.8538651932096</c:v>
                </c:pt>
                <c:pt idx="38">
                  <c:v>888.739823612132</c:v>
                </c:pt>
                <c:pt idx="39">
                  <c:v>904.6257820310547</c:v>
                </c:pt>
                <c:pt idx="40">
                  <c:v>920.5117404499774</c:v>
                </c:pt>
                <c:pt idx="41">
                  <c:v>936.3976988688999</c:v>
                </c:pt>
                <c:pt idx="42">
                  <c:v>952.2836572878225</c:v>
                </c:pt>
                <c:pt idx="43">
                  <c:v>968.1696157067452</c:v>
                </c:pt>
                <c:pt idx="44">
                  <c:v>984.0555741256677</c:v>
                </c:pt>
                <c:pt idx="45">
                  <c:v>999.9415325445902</c:v>
                </c:pt>
                <c:pt idx="46">
                  <c:v>1015.827490963513</c:v>
                </c:pt>
                <c:pt idx="47">
                  <c:v>1031.713449382436</c:v>
                </c:pt>
                <c:pt idx="48">
                  <c:v>1047.599407801358</c:v>
                </c:pt>
                <c:pt idx="49">
                  <c:v>1063.485366220281</c:v>
                </c:pt>
                <c:pt idx="50">
                  <c:v>1079.371324639203</c:v>
                </c:pt>
                <c:pt idx="51">
                  <c:v>1095.257283058126</c:v>
                </c:pt>
                <c:pt idx="52">
                  <c:v>1111.143241477048</c:v>
                </c:pt>
                <c:pt idx="53">
                  <c:v>1127.029199895971</c:v>
                </c:pt>
                <c:pt idx="54">
                  <c:v>1139.848081371155</c:v>
                </c:pt>
                <c:pt idx="55">
                  <c:v>1152.053547457591</c:v>
                </c:pt>
                <c:pt idx="56">
                  <c:v>1164.259013544027</c:v>
                </c:pt>
                <c:pt idx="57">
                  <c:v>1176.464479630464</c:v>
                </c:pt>
                <c:pt idx="58">
                  <c:v>1188.6699457169</c:v>
                </c:pt>
                <c:pt idx="59">
                  <c:v>1200.875411803336</c:v>
                </c:pt>
                <c:pt idx="60">
                  <c:v>1213.080877889772</c:v>
                </c:pt>
                <c:pt idx="61">
                  <c:v>1225.286343976209</c:v>
                </c:pt>
                <c:pt idx="62">
                  <c:v>1237.491810062645</c:v>
                </c:pt>
                <c:pt idx="63">
                  <c:v>1249.697276149081</c:v>
                </c:pt>
                <c:pt idx="64">
                  <c:v>1261.902742235518</c:v>
                </c:pt>
                <c:pt idx="65">
                  <c:v>1274.108208321954</c:v>
                </c:pt>
                <c:pt idx="66">
                  <c:v>1286.31367440839</c:v>
                </c:pt>
                <c:pt idx="67">
                  <c:v>1298.519140494826</c:v>
                </c:pt>
                <c:pt idx="68">
                  <c:v>1310.724606581262</c:v>
                </c:pt>
                <c:pt idx="69">
                  <c:v>1322.930072667699</c:v>
                </c:pt>
                <c:pt idx="70">
                  <c:v>1335.135538754135</c:v>
                </c:pt>
                <c:pt idx="71">
                  <c:v>1347.341004840571</c:v>
                </c:pt>
                <c:pt idx="72">
                  <c:v>1359.546470927007</c:v>
                </c:pt>
                <c:pt idx="73">
                  <c:v>1371.751937013444</c:v>
                </c:pt>
                <c:pt idx="74">
                  <c:v>1383.95740309988</c:v>
                </c:pt>
                <c:pt idx="75">
                  <c:v>1396.162869186316</c:v>
                </c:pt>
                <c:pt idx="76">
                  <c:v>1408.368335272753</c:v>
                </c:pt>
                <c:pt idx="77">
                  <c:v>1420.573801359189</c:v>
                </c:pt>
                <c:pt idx="78">
                  <c:v>1432.779267445625</c:v>
                </c:pt>
                <c:pt idx="79">
                  <c:v>1444.984733532061</c:v>
                </c:pt>
                <c:pt idx="80">
                  <c:v>1457.190199618497</c:v>
                </c:pt>
                <c:pt idx="81">
                  <c:v>1511.683063274203</c:v>
                </c:pt>
                <c:pt idx="82">
                  <c:v>1574.633406443761</c:v>
                </c:pt>
                <c:pt idx="83">
                  <c:v>1637.583749613319</c:v>
                </c:pt>
                <c:pt idx="84">
                  <c:v>1700.534092782877</c:v>
                </c:pt>
                <c:pt idx="85">
                  <c:v>1763.484435952436</c:v>
                </c:pt>
                <c:pt idx="86">
                  <c:v>1826.434779121994</c:v>
                </c:pt>
                <c:pt idx="87">
                  <c:v>1889.385122291552</c:v>
                </c:pt>
                <c:pt idx="88">
                  <c:v>1952.335465461111</c:v>
                </c:pt>
                <c:pt idx="89">
                  <c:v>2015.285808630669</c:v>
                </c:pt>
                <c:pt idx="90">
                  <c:v>2078.236151800227</c:v>
                </c:pt>
                <c:pt idx="91">
                  <c:v>2141.186494969786</c:v>
                </c:pt>
                <c:pt idx="92">
                  <c:v>2204.136838139344</c:v>
                </c:pt>
                <c:pt idx="93">
                  <c:v>2267.087181308902</c:v>
                </c:pt>
                <c:pt idx="94">
                  <c:v>2330.03752447846</c:v>
                </c:pt>
                <c:pt idx="95">
                  <c:v>2392.987867648018</c:v>
                </c:pt>
                <c:pt idx="96">
                  <c:v>2410.505424842945</c:v>
                </c:pt>
                <c:pt idx="97">
                  <c:v>2418.936424842945</c:v>
                </c:pt>
                <c:pt idx="98">
                  <c:v>2427.367424842944</c:v>
                </c:pt>
                <c:pt idx="99">
                  <c:v>2435.798424842944</c:v>
                </c:pt>
              </c:numCache>
            </c:numRef>
          </c:val>
        </c:ser>
        <c:ser>
          <c:idx val="3"/>
          <c:order val="3"/>
          <c:tx>
            <c:strRef>
              <c:f>Percentiles!$A$62</c:f>
              <c:strCache>
                <c:ptCount val="1"/>
                <c:pt idx="0">
                  <c:v>Animal products sold</c:v>
                </c:pt>
              </c:strCache>
            </c:strRef>
          </c:tx>
          <c:spPr>
            <a:solidFill>
              <a:srgbClr val="FCF305"/>
            </a:solidFill>
            <a:ln w="25400">
              <a:noFill/>
            </a:ln>
          </c:spPr>
          <c:cat>
            <c:numRef>
              <c:f>Percentiles!$F$22:$DA$22</c:f>
              <c:numCache>
                <c:formatCode>0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Percentiles!$F$62:$DA$62</c:f>
              <c:numCache>
                <c:formatCode>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ser>
          <c:idx val="4"/>
          <c:order val="4"/>
          <c:tx>
            <c:strRef>
              <c:f>Percentiles!$A$63</c:f>
              <c:strCache>
                <c:ptCount val="1"/>
                <c:pt idx="0">
                  <c:v>Animals sold</c:v>
                </c:pt>
              </c:strCache>
            </c:strRef>
          </c:tx>
          <c:spPr>
            <a:solidFill>
              <a:srgbClr val="FAC090"/>
            </a:solidFill>
            <a:ln w="25400">
              <a:noFill/>
            </a:ln>
          </c:spPr>
          <c:cat>
            <c:numRef>
              <c:f>Percentiles!$F$22:$DA$22</c:f>
              <c:numCache>
                <c:formatCode>0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Percentiles!$F$63:$DA$63</c:f>
              <c:numCache>
                <c:formatCode>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137.7819267673718</c:v>
                </c:pt>
                <c:pt idx="20">
                  <c:v>303.1202388882176</c:v>
                </c:pt>
                <c:pt idx="21">
                  <c:v>468.4585510090633</c:v>
                </c:pt>
                <c:pt idx="22">
                  <c:v>633.7968631299091</c:v>
                </c:pt>
                <c:pt idx="23">
                  <c:v>799.1351752507547</c:v>
                </c:pt>
                <c:pt idx="24">
                  <c:v>964.4734873716005</c:v>
                </c:pt>
                <c:pt idx="25">
                  <c:v>1129.811799492446</c:v>
                </c:pt>
                <c:pt idx="26">
                  <c:v>1295.150111613292</c:v>
                </c:pt>
                <c:pt idx="27">
                  <c:v>1460.488423734138</c:v>
                </c:pt>
                <c:pt idx="28">
                  <c:v>1625.826735854983</c:v>
                </c:pt>
                <c:pt idx="29">
                  <c:v>1791.165047975829</c:v>
                </c:pt>
                <c:pt idx="30">
                  <c:v>1956.503360096675</c:v>
                </c:pt>
                <c:pt idx="31">
                  <c:v>2121.84167221752</c:v>
                </c:pt>
                <c:pt idx="32">
                  <c:v>2287.179984338366</c:v>
                </c:pt>
                <c:pt idx="33">
                  <c:v>2452.518296459212</c:v>
                </c:pt>
                <c:pt idx="34">
                  <c:v>2617.856608580058</c:v>
                </c:pt>
                <c:pt idx="35">
                  <c:v>2783.194920700903</c:v>
                </c:pt>
                <c:pt idx="36">
                  <c:v>2948.53323282175</c:v>
                </c:pt>
                <c:pt idx="37">
                  <c:v>3113.871544942594</c:v>
                </c:pt>
                <c:pt idx="38">
                  <c:v>3279.209857063441</c:v>
                </c:pt>
                <c:pt idx="39">
                  <c:v>3444.548169184287</c:v>
                </c:pt>
                <c:pt idx="40">
                  <c:v>3609.886481305132</c:v>
                </c:pt>
                <c:pt idx="41">
                  <c:v>3775.224793425978</c:v>
                </c:pt>
                <c:pt idx="42">
                  <c:v>3940.563105546823</c:v>
                </c:pt>
                <c:pt idx="43">
                  <c:v>4105.90141766767</c:v>
                </c:pt>
                <c:pt idx="44">
                  <c:v>4271.239729788515</c:v>
                </c:pt>
                <c:pt idx="45">
                  <c:v>4436.578041909361</c:v>
                </c:pt>
                <c:pt idx="46">
                  <c:v>4601.916354030206</c:v>
                </c:pt>
                <c:pt idx="47">
                  <c:v>4767.254666151052</c:v>
                </c:pt>
                <c:pt idx="48">
                  <c:v>4932.592978271897</c:v>
                </c:pt>
                <c:pt idx="49">
                  <c:v>5097.931290392744</c:v>
                </c:pt>
                <c:pt idx="50">
                  <c:v>5263.26960251359</c:v>
                </c:pt>
                <c:pt idx="51">
                  <c:v>5428.607914634435</c:v>
                </c:pt>
                <c:pt idx="52">
                  <c:v>5593.94622675528</c:v>
                </c:pt>
                <c:pt idx="53">
                  <c:v>5759.284538876127</c:v>
                </c:pt>
                <c:pt idx="54">
                  <c:v>6158.29503244937</c:v>
                </c:pt>
                <c:pt idx="55">
                  <c:v>6604.039962313094</c:v>
                </c:pt>
                <c:pt idx="56">
                  <c:v>7049.784892176817</c:v>
                </c:pt>
                <c:pt idx="57">
                  <c:v>7495.529822040541</c:v>
                </c:pt>
                <c:pt idx="58">
                  <c:v>7941.274751904264</c:v>
                </c:pt>
                <c:pt idx="59">
                  <c:v>8387.019681767988</c:v>
                </c:pt>
                <c:pt idx="60">
                  <c:v>8832.764611631711</c:v>
                </c:pt>
                <c:pt idx="61">
                  <c:v>9278.509541495433</c:v>
                </c:pt>
                <c:pt idx="62">
                  <c:v>9724.254471359157</c:v>
                </c:pt>
                <c:pt idx="63">
                  <c:v>10169.99940122288</c:v>
                </c:pt>
                <c:pt idx="64">
                  <c:v>10615.7443310866</c:v>
                </c:pt>
                <c:pt idx="65">
                  <c:v>11061.48926095033</c:v>
                </c:pt>
                <c:pt idx="66">
                  <c:v>11507.23419081405</c:v>
                </c:pt>
                <c:pt idx="67">
                  <c:v>11952.97912067777</c:v>
                </c:pt>
                <c:pt idx="68">
                  <c:v>12398.7240505415</c:v>
                </c:pt>
                <c:pt idx="69">
                  <c:v>12844.46898040522</c:v>
                </c:pt>
                <c:pt idx="70">
                  <c:v>13290.21391026894</c:v>
                </c:pt>
                <c:pt idx="71">
                  <c:v>13735.95884013267</c:v>
                </c:pt>
                <c:pt idx="72">
                  <c:v>14181.7037699964</c:v>
                </c:pt>
                <c:pt idx="73">
                  <c:v>14627.44869986012</c:v>
                </c:pt>
                <c:pt idx="74">
                  <c:v>15073.19362972384</c:v>
                </c:pt>
                <c:pt idx="75">
                  <c:v>15518.93855958756</c:v>
                </c:pt>
                <c:pt idx="76">
                  <c:v>15964.68348945128</c:v>
                </c:pt>
                <c:pt idx="77">
                  <c:v>16410.42841931501</c:v>
                </c:pt>
                <c:pt idx="78">
                  <c:v>16856.17334917873</c:v>
                </c:pt>
                <c:pt idx="79">
                  <c:v>17301.91827904245</c:v>
                </c:pt>
                <c:pt idx="80">
                  <c:v>17747.66320890618</c:v>
                </c:pt>
                <c:pt idx="81">
                  <c:v>18559.15950495412</c:v>
                </c:pt>
                <c:pt idx="82">
                  <c:v>19443.80607423891</c:v>
                </c:pt>
                <c:pt idx="83">
                  <c:v>20328.45264352369</c:v>
                </c:pt>
                <c:pt idx="84">
                  <c:v>21213.09921280847</c:v>
                </c:pt>
                <c:pt idx="85">
                  <c:v>22097.74578209325</c:v>
                </c:pt>
                <c:pt idx="86">
                  <c:v>22982.39235137804</c:v>
                </c:pt>
                <c:pt idx="87">
                  <c:v>23867.03892066282</c:v>
                </c:pt>
                <c:pt idx="88">
                  <c:v>24751.6854899476</c:v>
                </c:pt>
                <c:pt idx="89">
                  <c:v>25636.33205923238</c:v>
                </c:pt>
                <c:pt idx="90">
                  <c:v>26520.97862851716</c:v>
                </c:pt>
                <c:pt idx="91">
                  <c:v>27405.62519780195</c:v>
                </c:pt>
                <c:pt idx="92">
                  <c:v>28290.27176708673</c:v>
                </c:pt>
                <c:pt idx="93">
                  <c:v>29174.91833637151</c:v>
                </c:pt>
                <c:pt idx="94">
                  <c:v>30059.5649056563</c:v>
                </c:pt>
                <c:pt idx="95">
                  <c:v>30944.21147494108</c:v>
                </c:pt>
                <c:pt idx="96">
                  <c:v>31091.65256982186</c:v>
                </c:pt>
                <c:pt idx="97">
                  <c:v>31091.65256982186</c:v>
                </c:pt>
                <c:pt idx="98">
                  <c:v>31091.65256982186</c:v>
                </c:pt>
                <c:pt idx="99">
                  <c:v>31091.65256982186</c:v>
                </c:pt>
              </c:numCache>
            </c:numRef>
          </c:val>
        </c:ser>
        <c:ser>
          <c:idx val="5"/>
          <c:order val="5"/>
          <c:tx>
            <c:strRef>
              <c:f>Percentiles!$A$64</c:f>
              <c:strCache>
                <c:ptCount val="1"/>
                <c:pt idx="0">
                  <c:v>Wild foods consumed and sold</c:v>
                </c:pt>
              </c:strCache>
            </c:strRef>
          </c:tx>
          <c:spPr>
            <a:solidFill>
              <a:srgbClr val="B3A2C7"/>
            </a:solidFill>
            <a:ln w="25400">
              <a:noFill/>
            </a:ln>
          </c:spPr>
          <c:cat>
            <c:numRef>
              <c:f>Percentiles!$F$22:$DA$22</c:f>
              <c:numCache>
                <c:formatCode>0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Percentiles!$F$64:$DA$64</c:f>
              <c:numCache>
                <c:formatCode>0</c:formatCode>
                <c:ptCount val="100"/>
                <c:pt idx="0">
                  <c:v>657.7350047472464</c:v>
                </c:pt>
                <c:pt idx="1">
                  <c:v>657.7350047472464</c:v>
                </c:pt>
                <c:pt idx="2">
                  <c:v>657.7350047472464</c:v>
                </c:pt>
                <c:pt idx="3">
                  <c:v>657.7350047472464</c:v>
                </c:pt>
                <c:pt idx="4">
                  <c:v>657.7350047472464</c:v>
                </c:pt>
                <c:pt idx="5">
                  <c:v>657.7350047472464</c:v>
                </c:pt>
                <c:pt idx="6">
                  <c:v>657.7350047472464</c:v>
                </c:pt>
                <c:pt idx="7">
                  <c:v>657.7350047472464</c:v>
                </c:pt>
                <c:pt idx="8">
                  <c:v>657.7350047472464</c:v>
                </c:pt>
                <c:pt idx="9">
                  <c:v>657.7350047472464</c:v>
                </c:pt>
                <c:pt idx="10">
                  <c:v>657.7350047472464</c:v>
                </c:pt>
                <c:pt idx="11">
                  <c:v>657.7350047472464</c:v>
                </c:pt>
                <c:pt idx="12">
                  <c:v>657.7350047472464</c:v>
                </c:pt>
                <c:pt idx="13">
                  <c:v>657.7350047472464</c:v>
                </c:pt>
                <c:pt idx="14">
                  <c:v>657.7350047472464</c:v>
                </c:pt>
                <c:pt idx="15">
                  <c:v>657.7350047472464</c:v>
                </c:pt>
                <c:pt idx="16">
                  <c:v>657.7350047472464</c:v>
                </c:pt>
                <c:pt idx="17">
                  <c:v>657.7350047472464</c:v>
                </c:pt>
                <c:pt idx="18">
                  <c:v>657.7350047472464</c:v>
                </c:pt>
                <c:pt idx="19">
                  <c:v>669.3049701825659</c:v>
                </c:pt>
                <c:pt idx="20">
                  <c:v>683.188928704949</c:v>
                </c:pt>
                <c:pt idx="21">
                  <c:v>697.0728872273323</c:v>
                </c:pt>
                <c:pt idx="22">
                  <c:v>710.9568457497155</c:v>
                </c:pt>
                <c:pt idx="23">
                  <c:v>724.8408042720988</c:v>
                </c:pt>
                <c:pt idx="24">
                  <c:v>738.7247627944821</c:v>
                </c:pt>
                <c:pt idx="25">
                  <c:v>752.6087213168652</c:v>
                </c:pt>
                <c:pt idx="26">
                  <c:v>766.4926798392486</c:v>
                </c:pt>
                <c:pt idx="27">
                  <c:v>780.3766383616317</c:v>
                </c:pt>
                <c:pt idx="28">
                  <c:v>794.2605968840151</c:v>
                </c:pt>
                <c:pt idx="29">
                  <c:v>808.1445554063982</c:v>
                </c:pt>
                <c:pt idx="30">
                  <c:v>822.0285139287815</c:v>
                </c:pt>
                <c:pt idx="31">
                  <c:v>835.9124724511648</c:v>
                </c:pt>
                <c:pt idx="32">
                  <c:v>849.796430973548</c:v>
                </c:pt>
                <c:pt idx="33">
                  <c:v>863.6803894959313</c:v>
                </c:pt>
                <c:pt idx="34">
                  <c:v>877.5643480183146</c:v>
                </c:pt>
                <c:pt idx="35">
                  <c:v>891.4483065406977</c:v>
                </c:pt>
                <c:pt idx="36">
                  <c:v>905.332265063081</c:v>
                </c:pt>
                <c:pt idx="37">
                  <c:v>919.2162235854643</c:v>
                </c:pt>
                <c:pt idx="38">
                  <c:v>933.1001821078475</c:v>
                </c:pt>
                <c:pt idx="39">
                  <c:v>946.9841406302307</c:v>
                </c:pt>
                <c:pt idx="40">
                  <c:v>960.868099152614</c:v>
                </c:pt>
                <c:pt idx="41">
                  <c:v>974.7520576749973</c:v>
                </c:pt>
                <c:pt idx="42">
                  <c:v>988.6360161973805</c:v>
                </c:pt>
                <c:pt idx="43">
                  <c:v>1002.519974719764</c:v>
                </c:pt>
                <c:pt idx="44">
                  <c:v>1016.403933242147</c:v>
                </c:pt>
                <c:pt idx="45">
                  <c:v>1030.28789176453</c:v>
                </c:pt>
                <c:pt idx="46">
                  <c:v>1044.171850286913</c:v>
                </c:pt>
                <c:pt idx="47">
                  <c:v>1058.055808809297</c:v>
                </c:pt>
                <c:pt idx="48">
                  <c:v>1071.93976733168</c:v>
                </c:pt>
                <c:pt idx="49">
                  <c:v>1085.823725854063</c:v>
                </c:pt>
                <c:pt idx="50">
                  <c:v>1099.707684376446</c:v>
                </c:pt>
                <c:pt idx="51">
                  <c:v>1113.59164289883</c:v>
                </c:pt>
                <c:pt idx="52">
                  <c:v>1127.475601421213</c:v>
                </c:pt>
                <c:pt idx="53">
                  <c:v>1141.359559943596</c:v>
                </c:pt>
                <c:pt idx="54">
                  <c:v>1108.374986579096</c:v>
                </c:pt>
                <c:pt idx="55">
                  <c:v>1066.01670683722</c:v>
                </c:pt>
                <c:pt idx="56">
                  <c:v>1023.658427095344</c:v>
                </c:pt>
                <c:pt idx="57">
                  <c:v>981.3001473534674</c:v>
                </c:pt>
                <c:pt idx="58">
                  <c:v>938.9418676115911</c:v>
                </c:pt>
                <c:pt idx="59">
                  <c:v>896.5835878697148</c:v>
                </c:pt>
                <c:pt idx="60">
                  <c:v>854.2253081278385</c:v>
                </c:pt>
                <c:pt idx="61">
                  <c:v>811.8670283859622</c:v>
                </c:pt>
                <c:pt idx="62">
                  <c:v>769.508748644086</c:v>
                </c:pt>
                <c:pt idx="63">
                  <c:v>727.1504689022096</c:v>
                </c:pt>
                <c:pt idx="64">
                  <c:v>684.7921891603332</c:v>
                </c:pt>
                <c:pt idx="65">
                  <c:v>642.433909418457</c:v>
                </c:pt>
                <c:pt idx="66">
                  <c:v>600.0756296765806</c:v>
                </c:pt>
                <c:pt idx="67">
                  <c:v>557.7173499347043</c:v>
                </c:pt>
                <c:pt idx="68">
                  <c:v>515.3590701928281</c:v>
                </c:pt>
                <c:pt idx="69">
                  <c:v>473.0007904509517</c:v>
                </c:pt>
                <c:pt idx="70">
                  <c:v>430.6425107090754</c:v>
                </c:pt>
                <c:pt idx="71">
                  <c:v>388.2842309671992</c:v>
                </c:pt>
                <c:pt idx="72">
                  <c:v>345.9259512253228</c:v>
                </c:pt>
                <c:pt idx="73">
                  <c:v>303.5676714834464</c:v>
                </c:pt>
                <c:pt idx="74">
                  <c:v>261.2093917415701</c:v>
                </c:pt>
                <c:pt idx="75">
                  <c:v>218.8511119996939</c:v>
                </c:pt>
                <c:pt idx="76">
                  <c:v>176.4928322578176</c:v>
                </c:pt>
                <c:pt idx="77">
                  <c:v>134.1345525159412</c:v>
                </c:pt>
                <c:pt idx="78">
                  <c:v>91.77627277406486</c:v>
                </c:pt>
                <c:pt idx="79">
                  <c:v>49.41799303218863</c:v>
                </c:pt>
                <c:pt idx="80">
                  <c:v>7.059713290312402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43.49166666666706</c:v>
                </c:pt>
                <c:pt idx="97">
                  <c:v>95.68166666666694</c:v>
                </c:pt>
                <c:pt idx="98">
                  <c:v>147.8716666666668</c:v>
                </c:pt>
                <c:pt idx="99">
                  <c:v>200.0616666666667</c:v>
                </c:pt>
              </c:numCache>
            </c:numRef>
          </c:val>
        </c:ser>
        <c:ser>
          <c:idx val="6"/>
          <c:order val="6"/>
          <c:tx>
            <c:strRef>
              <c:f>Percentiles!$A$65</c:f>
              <c:strCache>
                <c:ptCount val="1"/>
                <c:pt idx="0">
                  <c:v>Labour - casual</c:v>
                </c:pt>
              </c:strCache>
            </c:strRef>
          </c:tx>
          <c:spPr>
            <a:solidFill>
              <a:srgbClr val="D99694"/>
            </a:solidFill>
            <a:ln w="25400">
              <a:noFill/>
            </a:ln>
          </c:spPr>
          <c:cat>
            <c:numRef>
              <c:f>Percentiles!$F$22:$DA$22</c:f>
              <c:numCache>
                <c:formatCode>0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Percentiles!$F$65:$DA$65</c:f>
              <c:numCache>
                <c:formatCode>0</c:formatCode>
                <c:ptCount val="100"/>
                <c:pt idx="0">
                  <c:v>8001.6947213181</c:v>
                </c:pt>
                <c:pt idx="1">
                  <c:v>8001.6947213181</c:v>
                </c:pt>
                <c:pt idx="2">
                  <c:v>8001.6947213181</c:v>
                </c:pt>
                <c:pt idx="3">
                  <c:v>8001.6947213181</c:v>
                </c:pt>
                <c:pt idx="4">
                  <c:v>8001.6947213181</c:v>
                </c:pt>
                <c:pt idx="5">
                  <c:v>8001.6947213181</c:v>
                </c:pt>
                <c:pt idx="6">
                  <c:v>8001.6947213181</c:v>
                </c:pt>
                <c:pt idx="7">
                  <c:v>8001.6947213181</c:v>
                </c:pt>
                <c:pt idx="8">
                  <c:v>8001.6947213181</c:v>
                </c:pt>
                <c:pt idx="9">
                  <c:v>8001.6947213181</c:v>
                </c:pt>
                <c:pt idx="10">
                  <c:v>8001.6947213181</c:v>
                </c:pt>
                <c:pt idx="11">
                  <c:v>8001.6947213181</c:v>
                </c:pt>
                <c:pt idx="12">
                  <c:v>8001.6947213181</c:v>
                </c:pt>
                <c:pt idx="13">
                  <c:v>8001.6947213181</c:v>
                </c:pt>
                <c:pt idx="14">
                  <c:v>8001.6947213181</c:v>
                </c:pt>
                <c:pt idx="15">
                  <c:v>8001.6947213181</c:v>
                </c:pt>
                <c:pt idx="16">
                  <c:v>8001.6947213181</c:v>
                </c:pt>
                <c:pt idx="17">
                  <c:v>8001.6947213181</c:v>
                </c:pt>
                <c:pt idx="18">
                  <c:v>8001.6947213181</c:v>
                </c:pt>
                <c:pt idx="19">
                  <c:v>8151.548092397947</c:v>
                </c:pt>
                <c:pt idx="20">
                  <c:v>8331.372137693763</c:v>
                </c:pt>
                <c:pt idx="21">
                  <c:v>8511.196182989577</c:v>
                </c:pt>
                <c:pt idx="22">
                  <c:v>8691.020228285393</c:v>
                </c:pt>
                <c:pt idx="23">
                  <c:v>8870.84427358121</c:v>
                </c:pt>
                <c:pt idx="24">
                  <c:v>9050.668318877025</c:v>
                </c:pt>
                <c:pt idx="25">
                  <c:v>9230.49236417284</c:v>
                </c:pt>
                <c:pt idx="26">
                  <c:v>9410.316409468658</c:v>
                </c:pt>
                <c:pt idx="27">
                  <c:v>9590.140454764474</c:v>
                </c:pt>
                <c:pt idx="28">
                  <c:v>9769.96450006029</c:v>
                </c:pt>
                <c:pt idx="29">
                  <c:v>9949.788545356104</c:v>
                </c:pt>
                <c:pt idx="30">
                  <c:v>10129.61259065192</c:v>
                </c:pt>
                <c:pt idx="31">
                  <c:v>10309.43663594774</c:v>
                </c:pt>
                <c:pt idx="32">
                  <c:v>10489.26068124355</c:v>
                </c:pt>
                <c:pt idx="33">
                  <c:v>10669.08472653937</c:v>
                </c:pt>
                <c:pt idx="34">
                  <c:v>10848.90877183519</c:v>
                </c:pt>
                <c:pt idx="35">
                  <c:v>11028.732817131</c:v>
                </c:pt>
                <c:pt idx="36">
                  <c:v>11208.55686242682</c:v>
                </c:pt>
                <c:pt idx="37">
                  <c:v>11388.38090772263</c:v>
                </c:pt>
                <c:pt idx="38">
                  <c:v>11568.20495301845</c:v>
                </c:pt>
                <c:pt idx="39">
                  <c:v>11748.02899831426</c:v>
                </c:pt>
                <c:pt idx="40">
                  <c:v>11927.85304361008</c:v>
                </c:pt>
                <c:pt idx="41">
                  <c:v>12107.6770889059</c:v>
                </c:pt>
                <c:pt idx="42">
                  <c:v>12287.50113420171</c:v>
                </c:pt>
                <c:pt idx="43">
                  <c:v>12467.32517949753</c:v>
                </c:pt>
                <c:pt idx="44">
                  <c:v>12647.14922479335</c:v>
                </c:pt>
                <c:pt idx="45">
                  <c:v>12826.97327008916</c:v>
                </c:pt>
                <c:pt idx="46">
                  <c:v>13006.79731538498</c:v>
                </c:pt>
                <c:pt idx="47">
                  <c:v>13186.62136068079</c:v>
                </c:pt>
                <c:pt idx="48">
                  <c:v>13366.44540597661</c:v>
                </c:pt>
                <c:pt idx="49">
                  <c:v>13546.26945127242</c:v>
                </c:pt>
                <c:pt idx="50">
                  <c:v>13726.09349656824</c:v>
                </c:pt>
                <c:pt idx="51">
                  <c:v>13905.91754186406</c:v>
                </c:pt>
                <c:pt idx="52">
                  <c:v>14085.74158715987</c:v>
                </c:pt>
                <c:pt idx="53">
                  <c:v>14265.56563245569</c:v>
                </c:pt>
                <c:pt idx="54">
                  <c:v>13854.3160502929</c:v>
                </c:pt>
                <c:pt idx="55">
                  <c:v>13324.8517426384</c:v>
                </c:pt>
                <c:pt idx="56">
                  <c:v>12795.38743498389</c:v>
                </c:pt>
                <c:pt idx="57">
                  <c:v>12265.92312732938</c:v>
                </c:pt>
                <c:pt idx="58">
                  <c:v>11736.45881967488</c:v>
                </c:pt>
                <c:pt idx="59">
                  <c:v>11206.99451202037</c:v>
                </c:pt>
                <c:pt idx="60">
                  <c:v>10677.53020436586</c:v>
                </c:pt>
                <c:pt idx="61">
                  <c:v>10148.06589671136</c:v>
                </c:pt>
                <c:pt idx="62">
                  <c:v>9618.601589056852</c:v>
                </c:pt>
                <c:pt idx="63">
                  <c:v>9089.137281402347</c:v>
                </c:pt>
                <c:pt idx="64">
                  <c:v>8559.672973747842</c:v>
                </c:pt>
                <c:pt idx="65">
                  <c:v>8030.208666093335</c:v>
                </c:pt>
                <c:pt idx="66">
                  <c:v>7500.744358438829</c:v>
                </c:pt>
                <c:pt idx="67">
                  <c:v>6971.280050784324</c:v>
                </c:pt>
                <c:pt idx="68">
                  <c:v>6441.815743129817</c:v>
                </c:pt>
                <c:pt idx="69">
                  <c:v>5912.35143547531</c:v>
                </c:pt>
                <c:pt idx="70">
                  <c:v>5382.887127820806</c:v>
                </c:pt>
                <c:pt idx="71">
                  <c:v>4853.4228201663</c:v>
                </c:pt>
                <c:pt idx="72">
                  <c:v>4323.958512511794</c:v>
                </c:pt>
                <c:pt idx="73">
                  <c:v>3794.494204857288</c:v>
                </c:pt>
                <c:pt idx="74">
                  <c:v>3265.029897202783</c:v>
                </c:pt>
                <c:pt idx="75">
                  <c:v>2735.565589548276</c:v>
                </c:pt>
                <c:pt idx="76">
                  <c:v>2206.101281893771</c:v>
                </c:pt>
                <c:pt idx="77">
                  <c:v>1676.636974239265</c:v>
                </c:pt>
                <c:pt idx="78">
                  <c:v>1147.172666584758</c:v>
                </c:pt>
                <c:pt idx="79">
                  <c:v>617.7083589302528</c:v>
                </c:pt>
                <c:pt idx="80">
                  <c:v>88.24405127574755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ser>
          <c:idx val="7"/>
          <c:order val="7"/>
          <c:tx>
            <c:strRef>
              <c:f>Percentiles!$A$66</c:f>
              <c:strCache>
                <c:ptCount val="1"/>
                <c:pt idx="0">
                  <c:v>Labour - formal emp</c:v>
                </c:pt>
              </c:strCache>
            </c:strRef>
          </c:tx>
          <c:spPr>
            <a:solidFill>
              <a:srgbClr val="C0504D"/>
            </a:solidFill>
            <a:ln w="25400">
              <a:noFill/>
            </a:ln>
          </c:spPr>
          <c:cat>
            <c:numRef>
              <c:f>Percentiles!$F$22:$DA$22</c:f>
              <c:numCache>
                <c:formatCode>0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Percentiles!$F$66:$DA$66</c:f>
              <c:numCache>
                <c:formatCode>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308.5324116085174</c:v>
                </c:pt>
                <c:pt idx="20">
                  <c:v>678.771305538737</c:v>
                </c:pt>
                <c:pt idx="21">
                  <c:v>1049.010199468957</c:v>
                </c:pt>
                <c:pt idx="22">
                  <c:v>1419.249093399177</c:v>
                </c:pt>
                <c:pt idx="23">
                  <c:v>1789.487987329396</c:v>
                </c:pt>
                <c:pt idx="24">
                  <c:v>2159.726881259616</c:v>
                </c:pt>
                <c:pt idx="25">
                  <c:v>2529.965775189836</c:v>
                </c:pt>
                <c:pt idx="26">
                  <c:v>2900.204669120056</c:v>
                </c:pt>
                <c:pt idx="27">
                  <c:v>3270.443563050276</c:v>
                </c:pt>
                <c:pt idx="28">
                  <c:v>3640.682456980495</c:v>
                </c:pt>
                <c:pt idx="29">
                  <c:v>4010.921350910715</c:v>
                </c:pt>
                <c:pt idx="30">
                  <c:v>4381.160244840934</c:v>
                </c:pt>
                <c:pt idx="31">
                  <c:v>4751.399138771154</c:v>
                </c:pt>
                <c:pt idx="32">
                  <c:v>5121.638032701375</c:v>
                </c:pt>
                <c:pt idx="33">
                  <c:v>5491.876926631593</c:v>
                </c:pt>
                <c:pt idx="34">
                  <c:v>5862.115820561813</c:v>
                </c:pt>
                <c:pt idx="35">
                  <c:v>6232.354714492034</c:v>
                </c:pt>
                <c:pt idx="36">
                  <c:v>6602.593608422254</c:v>
                </c:pt>
                <c:pt idx="37">
                  <c:v>6972.832502352473</c:v>
                </c:pt>
                <c:pt idx="38">
                  <c:v>7343.071396282693</c:v>
                </c:pt>
                <c:pt idx="39">
                  <c:v>7713.310290212913</c:v>
                </c:pt>
                <c:pt idx="40">
                  <c:v>8083.549184143133</c:v>
                </c:pt>
                <c:pt idx="41">
                  <c:v>8453.788078073352</c:v>
                </c:pt>
                <c:pt idx="42">
                  <c:v>8824.026972003572</c:v>
                </c:pt>
                <c:pt idx="43">
                  <c:v>9194.265865933792</c:v>
                </c:pt>
                <c:pt idx="44">
                  <c:v>9564.504759864012</c:v>
                </c:pt>
                <c:pt idx="45">
                  <c:v>9934.743653794232</c:v>
                </c:pt>
                <c:pt idx="46">
                  <c:v>10304.98254772445</c:v>
                </c:pt>
                <c:pt idx="47">
                  <c:v>10675.22144165467</c:v>
                </c:pt>
                <c:pt idx="48">
                  <c:v>11045.46033558489</c:v>
                </c:pt>
                <c:pt idx="49">
                  <c:v>11415.69922951511</c:v>
                </c:pt>
                <c:pt idx="50">
                  <c:v>11785.93812344533</c:v>
                </c:pt>
                <c:pt idx="51">
                  <c:v>12156.17701737555</c:v>
                </c:pt>
                <c:pt idx="52">
                  <c:v>12526.41591130577</c:v>
                </c:pt>
                <c:pt idx="53">
                  <c:v>12896.654805236</c:v>
                </c:pt>
                <c:pt idx="54">
                  <c:v>13934.86117615031</c:v>
                </c:pt>
                <c:pt idx="55">
                  <c:v>15106.66104246144</c:v>
                </c:pt>
                <c:pt idx="56">
                  <c:v>16278.46090877257</c:v>
                </c:pt>
                <c:pt idx="57">
                  <c:v>17450.26077508371</c:v>
                </c:pt>
                <c:pt idx="58">
                  <c:v>18622.06064139484</c:v>
                </c:pt>
                <c:pt idx="59">
                  <c:v>19793.86050770598</c:v>
                </c:pt>
                <c:pt idx="60">
                  <c:v>20965.66037401711</c:v>
                </c:pt>
                <c:pt idx="61">
                  <c:v>22137.46024032824</c:v>
                </c:pt>
                <c:pt idx="62">
                  <c:v>23309.26010663938</c:v>
                </c:pt>
                <c:pt idx="63">
                  <c:v>24481.05997295051</c:v>
                </c:pt>
                <c:pt idx="64">
                  <c:v>25652.85983926165</c:v>
                </c:pt>
                <c:pt idx="65">
                  <c:v>26824.65970557278</c:v>
                </c:pt>
                <c:pt idx="66">
                  <c:v>27996.45957188391</c:v>
                </c:pt>
                <c:pt idx="67">
                  <c:v>29168.25943819505</c:v>
                </c:pt>
                <c:pt idx="68">
                  <c:v>30340.05930450618</c:v>
                </c:pt>
                <c:pt idx="69">
                  <c:v>31511.85917081732</c:v>
                </c:pt>
                <c:pt idx="70">
                  <c:v>32683.65903712845</c:v>
                </c:pt>
                <c:pt idx="71">
                  <c:v>33855.45890343958</c:v>
                </c:pt>
                <c:pt idx="72">
                  <c:v>35027.25876975072</c:v>
                </c:pt>
                <c:pt idx="73">
                  <c:v>36199.05863606185</c:v>
                </c:pt>
                <c:pt idx="74">
                  <c:v>37370.85850237298</c:v>
                </c:pt>
                <c:pt idx="75">
                  <c:v>38542.65836868412</c:v>
                </c:pt>
                <c:pt idx="76">
                  <c:v>39714.45823499525</c:v>
                </c:pt>
                <c:pt idx="77">
                  <c:v>40886.2581013064</c:v>
                </c:pt>
                <c:pt idx="78">
                  <c:v>42058.05796761752</c:v>
                </c:pt>
                <c:pt idx="79">
                  <c:v>43229.85783392865</c:v>
                </c:pt>
                <c:pt idx="80">
                  <c:v>44401.65770023979</c:v>
                </c:pt>
                <c:pt idx="81">
                  <c:v>53899.6773613061</c:v>
                </c:pt>
                <c:pt idx="82">
                  <c:v>65062.94098132334</c:v>
                </c:pt>
                <c:pt idx="83">
                  <c:v>76226.20460134058</c:v>
                </c:pt>
                <c:pt idx="84">
                  <c:v>87389.46822135781</c:v>
                </c:pt>
                <c:pt idx="85">
                  <c:v>98552.73184137503</c:v>
                </c:pt>
                <c:pt idx="86">
                  <c:v>109715.9954613923</c:v>
                </c:pt>
                <c:pt idx="87">
                  <c:v>120879.2590814095</c:v>
                </c:pt>
                <c:pt idx="88">
                  <c:v>132042.5227014268</c:v>
                </c:pt>
                <c:pt idx="89">
                  <c:v>143205.786321444</c:v>
                </c:pt>
                <c:pt idx="90">
                  <c:v>154369.0499414612</c:v>
                </c:pt>
                <c:pt idx="91">
                  <c:v>165532.3135614785</c:v>
                </c:pt>
                <c:pt idx="92">
                  <c:v>176695.5771814957</c:v>
                </c:pt>
                <c:pt idx="93">
                  <c:v>187858.840801513</c:v>
                </c:pt>
                <c:pt idx="94">
                  <c:v>199022.1044215302</c:v>
                </c:pt>
                <c:pt idx="95">
                  <c:v>210185.3680415474</c:v>
                </c:pt>
                <c:pt idx="96">
                  <c:v>214272.3286448835</c:v>
                </c:pt>
                <c:pt idx="97">
                  <c:v>216944.0286448835</c:v>
                </c:pt>
                <c:pt idx="98">
                  <c:v>219615.7286448835</c:v>
                </c:pt>
                <c:pt idx="99">
                  <c:v>222287.4286448835</c:v>
                </c:pt>
              </c:numCache>
            </c:numRef>
          </c:val>
        </c:ser>
        <c:ser>
          <c:idx val="8"/>
          <c:order val="8"/>
          <c:tx>
            <c:strRef>
              <c:f>Percentiles!$A$67</c:f>
              <c:strCache>
                <c:ptCount val="1"/>
                <c:pt idx="0">
                  <c:v>Self - employment</c:v>
                </c:pt>
              </c:strCache>
            </c:strRef>
          </c:tx>
          <c:spPr>
            <a:solidFill>
              <a:srgbClr val="FFCCFF"/>
            </a:solidFill>
            <a:ln w="25400">
              <a:noFill/>
            </a:ln>
          </c:spPr>
          <c:cat>
            <c:numRef>
              <c:f>Percentiles!$F$22:$DA$22</c:f>
              <c:numCache>
                <c:formatCode>0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Percentiles!$F$67:$DA$67</c:f>
              <c:numCache>
                <c:formatCode>0</c:formatCode>
                <c:ptCount val="100"/>
                <c:pt idx="0">
                  <c:v>1125.021366328872</c:v>
                </c:pt>
                <c:pt idx="1">
                  <c:v>1125.021366328872</c:v>
                </c:pt>
                <c:pt idx="2">
                  <c:v>1125.021366328872</c:v>
                </c:pt>
                <c:pt idx="3">
                  <c:v>1125.021366328872</c:v>
                </c:pt>
                <c:pt idx="4">
                  <c:v>1125.021366328872</c:v>
                </c:pt>
                <c:pt idx="5">
                  <c:v>1125.021366328872</c:v>
                </c:pt>
                <c:pt idx="6">
                  <c:v>1125.021366328872</c:v>
                </c:pt>
                <c:pt idx="7">
                  <c:v>1125.021366328872</c:v>
                </c:pt>
                <c:pt idx="8">
                  <c:v>1125.021366328872</c:v>
                </c:pt>
                <c:pt idx="9">
                  <c:v>1125.021366328872</c:v>
                </c:pt>
                <c:pt idx="10">
                  <c:v>1125.021366328872</c:v>
                </c:pt>
                <c:pt idx="11">
                  <c:v>1125.021366328872</c:v>
                </c:pt>
                <c:pt idx="12">
                  <c:v>1125.021366328872</c:v>
                </c:pt>
                <c:pt idx="13">
                  <c:v>1125.021366328872</c:v>
                </c:pt>
                <c:pt idx="14">
                  <c:v>1125.021366328872</c:v>
                </c:pt>
                <c:pt idx="15">
                  <c:v>1125.021366328872</c:v>
                </c:pt>
                <c:pt idx="16">
                  <c:v>1125.021366328872</c:v>
                </c:pt>
                <c:pt idx="17">
                  <c:v>1125.021366328872</c:v>
                </c:pt>
                <c:pt idx="18">
                  <c:v>1125.021366328872</c:v>
                </c:pt>
                <c:pt idx="19">
                  <c:v>1246.774800576506</c:v>
                </c:pt>
                <c:pt idx="20">
                  <c:v>1392.878921673666</c:v>
                </c:pt>
                <c:pt idx="21">
                  <c:v>1538.983042770827</c:v>
                </c:pt>
                <c:pt idx="22">
                  <c:v>1685.087163867987</c:v>
                </c:pt>
                <c:pt idx="23">
                  <c:v>1831.191284965147</c:v>
                </c:pt>
                <c:pt idx="24">
                  <c:v>1977.295406062307</c:v>
                </c:pt>
                <c:pt idx="25">
                  <c:v>2123.399527159468</c:v>
                </c:pt>
                <c:pt idx="26">
                  <c:v>2269.503648256628</c:v>
                </c:pt>
                <c:pt idx="27">
                  <c:v>2415.607769353788</c:v>
                </c:pt>
                <c:pt idx="28">
                  <c:v>2561.711890450949</c:v>
                </c:pt>
                <c:pt idx="29">
                  <c:v>2707.816011548108</c:v>
                </c:pt>
                <c:pt idx="30">
                  <c:v>2853.92013264527</c:v>
                </c:pt>
                <c:pt idx="31">
                  <c:v>3000.02425374243</c:v>
                </c:pt>
                <c:pt idx="32">
                  <c:v>3146.12837483959</c:v>
                </c:pt>
                <c:pt idx="33">
                  <c:v>3292.23249593675</c:v>
                </c:pt>
                <c:pt idx="34">
                  <c:v>3438.33661703391</c:v>
                </c:pt>
                <c:pt idx="35">
                  <c:v>3584.44073813107</c:v>
                </c:pt>
                <c:pt idx="36">
                  <c:v>3730.544859228231</c:v>
                </c:pt>
                <c:pt idx="37">
                  <c:v>3876.648980325391</c:v>
                </c:pt>
                <c:pt idx="38">
                  <c:v>4022.753101422551</c:v>
                </c:pt>
                <c:pt idx="39">
                  <c:v>4168.85722251971</c:v>
                </c:pt>
                <c:pt idx="40">
                  <c:v>4314.961343616871</c:v>
                </c:pt>
                <c:pt idx="41">
                  <c:v>4461.065464714031</c:v>
                </c:pt>
                <c:pt idx="42">
                  <c:v>4607.169585811192</c:v>
                </c:pt>
                <c:pt idx="43">
                  <c:v>4753.273706908352</c:v>
                </c:pt>
                <c:pt idx="44">
                  <c:v>4899.377828005512</c:v>
                </c:pt>
                <c:pt idx="45">
                  <c:v>5045.481949102673</c:v>
                </c:pt>
                <c:pt idx="46">
                  <c:v>5191.586070199833</c:v>
                </c:pt>
                <c:pt idx="47">
                  <c:v>5337.690191296993</c:v>
                </c:pt>
                <c:pt idx="48">
                  <c:v>5483.794312394154</c:v>
                </c:pt>
                <c:pt idx="49">
                  <c:v>5629.898433491313</c:v>
                </c:pt>
                <c:pt idx="50">
                  <c:v>5776.002554588474</c:v>
                </c:pt>
                <c:pt idx="51">
                  <c:v>5922.106675685634</c:v>
                </c:pt>
                <c:pt idx="52">
                  <c:v>6068.210796782795</c:v>
                </c:pt>
                <c:pt idx="53">
                  <c:v>6214.314917879955</c:v>
                </c:pt>
                <c:pt idx="54">
                  <c:v>6066.890790550412</c:v>
                </c:pt>
                <c:pt idx="55">
                  <c:v>5860.76101353553</c:v>
                </c:pt>
                <c:pt idx="56">
                  <c:v>5654.631236520648</c:v>
                </c:pt>
                <c:pt idx="57">
                  <c:v>5448.501459505766</c:v>
                </c:pt>
                <c:pt idx="58">
                  <c:v>5242.371682490885</c:v>
                </c:pt>
                <c:pt idx="59">
                  <c:v>5036.241905476003</c:v>
                </c:pt>
                <c:pt idx="60">
                  <c:v>4830.11212846112</c:v>
                </c:pt>
                <c:pt idx="61">
                  <c:v>4623.98235144624</c:v>
                </c:pt>
                <c:pt idx="62">
                  <c:v>4417.852574431357</c:v>
                </c:pt>
                <c:pt idx="63">
                  <c:v>4211.722797416475</c:v>
                </c:pt>
                <c:pt idx="64">
                  <c:v>4005.593020401593</c:v>
                </c:pt>
                <c:pt idx="65">
                  <c:v>3799.463243386712</c:v>
                </c:pt>
                <c:pt idx="66">
                  <c:v>3593.33346637183</c:v>
                </c:pt>
                <c:pt idx="67">
                  <c:v>3387.203689356948</c:v>
                </c:pt>
                <c:pt idx="68">
                  <c:v>3181.073912342066</c:v>
                </c:pt>
                <c:pt idx="69">
                  <c:v>2974.944135327185</c:v>
                </c:pt>
                <c:pt idx="70">
                  <c:v>2768.814358312302</c:v>
                </c:pt>
                <c:pt idx="71">
                  <c:v>2562.684581297421</c:v>
                </c:pt>
                <c:pt idx="72">
                  <c:v>2356.554804282539</c:v>
                </c:pt>
                <c:pt idx="73">
                  <c:v>2150.425027267657</c:v>
                </c:pt>
                <c:pt idx="74">
                  <c:v>1944.295250252775</c:v>
                </c:pt>
                <c:pt idx="75">
                  <c:v>1738.165473237893</c:v>
                </c:pt>
                <c:pt idx="76">
                  <c:v>1532.035696223012</c:v>
                </c:pt>
                <c:pt idx="77">
                  <c:v>1325.905919208129</c:v>
                </c:pt>
                <c:pt idx="78">
                  <c:v>1119.776142193247</c:v>
                </c:pt>
                <c:pt idx="79">
                  <c:v>913.646365178366</c:v>
                </c:pt>
                <c:pt idx="80">
                  <c:v>707.5165881634839</c:v>
                </c:pt>
                <c:pt idx="81">
                  <c:v>635.7637572539124</c:v>
                </c:pt>
                <c:pt idx="82">
                  <c:v>590.886315565401</c:v>
                </c:pt>
                <c:pt idx="83">
                  <c:v>546.0088738768895</c:v>
                </c:pt>
                <c:pt idx="84">
                  <c:v>501.131432188378</c:v>
                </c:pt>
                <c:pt idx="85">
                  <c:v>456.2539904998665</c:v>
                </c:pt>
                <c:pt idx="86">
                  <c:v>411.376548811355</c:v>
                </c:pt>
                <c:pt idx="87">
                  <c:v>366.4991071228435</c:v>
                </c:pt>
                <c:pt idx="88">
                  <c:v>321.621665434332</c:v>
                </c:pt>
                <c:pt idx="89">
                  <c:v>276.7442237458205</c:v>
                </c:pt>
                <c:pt idx="90">
                  <c:v>231.866782057309</c:v>
                </c:pt>
                <c:pt idx="91">
                  <c:v>186.9893403687975</c:v>
                </c:pt>
                <c:pt idx="92">
                  <c:v>142.111898680286</c:v>
                </c:pt>
                <c:pt idx="93">
                  <c:v>97.23445699177455</c:v>
                </c:pt>
                <c:pt idx="94">
                  <c:v>52.35701530326298</c:v>
                </c:pt>
                <c:pt idx="95">
                  <c:v>7.47957361475153</c:v>
                </c:pt>
                <c:pt idx="96">
                  <c:v>691.2750000000078</c:v>
                </c:pt>
                <c:pt idx="97">
                  <c:v>1520.805000000008</c:v>
                </c:pt>
                <c:pt idx="98">
                  <c:v>2350.335000000008</c:v>
                </c:pt>
                <c:pt idx="99">
                  <c:v>3179.865000000008</c:v>
                </c:pt>
              </c:numCache>
            </c:numRef>
          </c:val>
        </c:ser>
        <c:ser>
          <c:idx val="9"/>
          <c:order val="9"/>
          <c:tx>
            <c:strRef>
              <c:f>Percentiles!$A$68</c:f>
              <c:strCache>
                <c:ptCount val="1"/>
                <c:pt idx="0">
                  <c:v>Small business/petty trading</c:v>
                </c:pt>
              </c:strCache>
            </c:strRef>
          </c:tx>
          <c:spPr>
            <a:solidFill>
              <a:srgbClr val="CC66FF"/>
            </a:solidFill>
            <a:ln w="25400">
              <a:noFill/>
            </a:ln>
          </c:spPr>
          <c:cat>
            <c:numRef>
              <c:f>Percentiles!$F$22:$DA$22</c:f>
              <c:numCache>
                <c:formatCode>0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Percentiles!$F$68:$DA$68</c:f>
              <c:numCache>
                <c:formatCode>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33.65808126638372</c:v>
                </c:pt>
                <c:pt idx="20">
                  <c:v>74.04777878604406</c:v>
                </c:pt>
                <c:pt idx="21">
                  <c:v>114.4374763057044</c:v>
                </c:pt>
                <c:pt idx="22">
                  <c:v>154.8271738253648</c:v>
                </c:pt>
                <c:pt idx="23">
                  <c:v>195.2168713450251</c:v>
                </c:pt>
                <c:pt idx="24">
                  <c:v>235.6065688646854</c:v>
                </c:pt>
                <c:pt idx="25">
                  <c:v>275.9962663843458</c:v>
                </c:pt>
                <c:pt idx="26">
                  <c:v>316.3859639040061</c:v>
                </c:pt>
                <c:pt idx="27">
                  <c:v>356.7756614236664</c:v>
                </c:pt>
                <c:pt idx="28">
                  <c:v>397.1653589433268</c:v>
                </c:pt>
                <c:pt idx="29">
                  <c:v>437.5550564629872</c:v>
                </c:pt>
                <c:pt idx="30">
                  <c:v>477.9447539826475</c:v>
                </c:pt>
                <c:pt idx="31">
                  <c:v>518.3344515023078</c:v>
                </c:pt>
                <c:pt idx="32">
                  <c:v>558.7241490219682</c:v>
                </c:pt>
                <c:pt idx="33">
                  <c:v>599.1138465416285</c:v>
                </c:pt>
                <c:pt idx="34">
                  <c:v>639.5035440612888</c:v>
                </c:pt>
                <c:pt idx="35">
                  <c:v>679.8932415809493</c:v>
                </c:pt>
                <c:pt idx="36">
                  <c:v>720.2829391006096</c:v>
                </c:pt>
                <c:pt idx="37">
                  <c:v>760.67263662027</c:v>
                </c:pt>
                <c:pt idx="38">
                  <c:v>801.0623341399303</c:v>
                </c:pt>
                <c:pt idx="39">
                  <c:v>841.4520316595906</c:v>
                </c:pt>
                <c:pt idx="40">
                  <c:v>881.8417291792509</c:v>
                </c:pt>
                <c:pt idx="41">
                  <c:v>922.2314266989113</c:v>
                </c:pt>
                <c:pt idx="42">
                  <c:v>962.6211242185716</c:v>
                </c:pt>
                <c:pt idx="43">
                  <c:v>1003.010821738232</c:v>
                </c:pt>
                <c:pt idx="44">
                  <c:v>1043.400519257892</c:v>
                </c:pt>
                <c:pt idx="45">
                  <c:v>1083.790216777553</c:v>
                </c:pt>
                <c:pt idx="46">
                  <c:v>1124.179914297213</c:v>
                </c:pt>
                <c:pt idx="47">
                  <c:v>1164.569611816873</c:v>
                </c:pt>
                <c:pt idx="48">
                  <c:v>1204.959309336534</c:v>
                </c:pt>
                <c:pt idx="49">
                  <c:v>1245.349006856194</c:v>
                </c:pt>
                <c:pt idx="50">
                  <c:v>1285.738704375854</c:v>
                </c:pt>
                <c:pt idx="51">
                  <c:v>1326.128401895515</c:v>
                </c:pt>
                <c:pt idx="52">
                  <c:v>1366.518099415175</c:v>
                </c:pt>
                <c:pt idx="53">
                  <c:v>1406.907796934835</c:v>
                </c:pt>
                <c:pt idx="54">
                  <c:v>3232.976439665274</c:v>
                </c:pt>
                <c:pt idx="55">
                  <c:v>5416.18087143786</c:v>
                </c:pt>
                <c:pt idx="56">
                  <c:v>7599.385303210449</c:v>
                </c:pt>
                <c:pt idx="57">
                  <c:v>9782.589734983036</c:v>
                </c:pt>
                <c:pt idx="58">
                  <c:v>11965.79416675562</c:v>
                </c:pt>
                <c:pt idx="59">
                  <c:v>14148.99859852821</c:v>
                </c:pt>
                <c:pt idx="60">
                  <c:v>16332.2030303008</c:v>
                </c:pt>
                <c:pt idx="61">
                  <c:v>18515.40746207339</c:v>
                </c:pt>
                <c:pt idx="62">
                  <c:v>20698.61189384598</c:v>
                </c:pt>
                <c:pt idx="63">
                  <c:v>22881.81632561857</c:v>
                </c:pt>
                <c:pt idx="64">
                  <c:v>25065.02075739115</c:v>
                </c:pt>
                <c:pt idx="65">
                  <c:v>27248.22518916374</c:v>
                </c:pt>
                <c:pt idx="66">
                  <c:v>29431.42962093633</c:v>
                </c:pt>
                <c:pt idx="67">
                  <c:v>31614.63405270892</c:v>
                </c:pt>
                <c:pt idx="68">
                  <c:v>33797.8384844815</c:v>
                </c:pt>
                <c:pt idx="69">
                  <c:v>35981.04291625408</c:v>
                </c:pt>
                <c:pt idx="70">
                  <c:v>38164.24734802667</c:v>
                </c:pt>
                <c:pt idx="71">
                  <c:v>40347.45177979926</c:v>
                </c:pt>
                <c:pt idx="72">
                  <c:v>42530.65621157185</c:v>
                </c:pt>
                <c:pt idx="73">
                  <c:v>44713.86064334443</c:v>
                </c:pt>
                <c:pt idx="74">
                  <c:v>46897.06507511703</c:v>
                </c:pt>
                <c:pt idx="75">
                  <c:v>49080.26950688961</c:v>
                </c:pt>
                <c:pt idx="76">
                  <c:v>51263.4739386622</c:v>
                </c:pt>
                <c:pt idx="77">
                  <c:v>53446.6783704348</c:v>
                </c:pt>
                <c:pt idx="78">
                  <c:v>55629.88280220737</c:v>
                </c:pt>
                <c:pt idx="79">
                  <c:v>57813.08723397996</c:v>
                </c:pt>
                <c:pt idx="80">
                  <c:v>59996.29166575255</c:v>
                </c:pt>
                <c:pt idx="81">
                  <c:v>60152.3515841181</c:v>
                </c:pt>
                <c:pt idx="82">
                  <c:v>59902.98259980227</c:v>
                </c:pt>
                <c:pt idx="83">
                  <c:v>59653.61361548644</c:v>
                </c:pt>
                <c:pt idx="84">
                  <c:v>59404.24463117062</c:v>
                </c:pt>
                <c:pt idx="85">
                  <c:v>59154.87564685479</c:v>
                </c:pt>
                <c:pt idx="86">
                  <c:v>58905.50666253896</c:v>
                </c:pt>
                <c:pt idx="87">
                  <c:v>58656.13767822313</c:v>
                </c:pt>
                <c:pt idx="88">
                  <c:v>58406.7686939073</c:v>
                </c:pt>
                <c:pt idx="89">
                  <c:v>58157.39970959147</c:v>
                </c:pt>
                <c:pt idx="90">
                  <c:v>57908.03072527565</c:v>
                </c:pt>
                <c:pt idx="91">
                  <c:v>57658.66174095982</c:v>
                </c:pt>
                <c:pt idx="92">
                  <c:v>57409.29275664399</c:v>
                </c:pt>
                <c:pt idx="93">
                  <c:v>57159.92377232816</c:v>
                </c:pt>
                <c:pt idx="94">
                  <c:v>56910.55478801233</c:v>
                </c:pt>
                <c:pt idx="95">
                  <c:v>56661.1858036965</c:v>
                </c:pt>
                <c:pt idx="96">
                  <c:v>61789.20763964393</c:v>
                </c:pt>
                <c:pt idx="97">
                  <c:v>67992.70763964392</c:v>
                </c:pt>
                <c:pt idx="98">
                  <c:v>74196.20763964392</c:v>
                </c:pt>
                <c:pt idx="99">
                  <c:v>80399.70763964392</c:v>
                </c:pt>
              </c:numCache>
            </c:numRef>
          </c:val>
        </c:ser>
        <c:ser>
          <c:idx val="10"/>
          <c:order val="10"/>
          <c:tx>
            <c:strRef>
              <c:f>Percentiles!$A$69</c:f>
              <c:strCache>
                <c:ptCount val="1"/>
                <c:pt idx="0">
                  <c:v>Food transfer - official</c:v>
                </c:pt>
              </c:strCache>
            </c:strRef>
          </c:tx>
          <c:spPr>
            <a:solidFill>
              <a:srgbClr val="558ED5"/>
            </a:solidFill>
            <a:ln w="25400">
              <a:noFill/>
            </a:ln>
          </c:spPr>
          <c:cat>
            <c:numRef>
              <c:f>Percentiles!$F$22:$DA$22</c:f>
              <c:numCache>
                <c:formatCode>0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Percentiles!$F$69:$DA$69</c:f>
              <c:numCache>
                <c:formatCode>0</c:formatCode>
                <c:ptCount val="100"/>
                <c:pt idx="0">
                  <c:v>1674.939960235139</c:v>
                </c:pt>
                <c:pt idx="1">
                  <c:v>1674.939960235139</c:v>
                </c:pt>
                <c:pt idx="2">
                  <c:v>1674.939960235139</c:v>
                </c:pt>
                <c:pt idx="3">
                  <c:v>1674.939960235139</c:v>
                </c:pt>
                <c:pt idx="4">
                  <c:v>1674.939960235139</c:v>
                </c:pt>
                <c:pt idx="5">
                  <c:v>1674.939960235139</c:v>
                </c:pt>
                <c:pt idx="6">
                  <c:v>1674.939960235139</c:v>
                </c:pt>
                <c:pt idx="7">
                  <c:v>1674.939960235139</c:v>
                </c:pt>
                <c:pt idx="8">
                  <c:v>1674.939960235139</c:v>
                </c:pt>
                <c:pt idx="9">
                  <c:v>1674.939960235139</c:v>
                </c:pt>
                <c:pt idx="10">
                  <c:v>1674.939960235139</c:v>
                </c:pt>
                <c:pt idx="11">
                  <c:v>1674.939960235139</c:v>
                </c:pt>
                <c:pt idx="12">
                  <c:v>1674.939960235139</c:v>
                </c:pt>
                <c:pt idx="13">
                  <c:v>1674.939960235139</c:v>
                </c:pt>
                <c:pt idx="14">
                  <c:v>1674.939960235139</c:v>
                </c:pt>
                <c:pt idx="15">
                  <c:v>1674.939960235139</c:v>
                </c:pt>
                <c:pt idx="16">
                  <c:v>1674.939960235139</c:v>
                </c:pt>
                <c:pt idx="17">
                  <c:v>1674.939960235139</c:v>
                </c:pt>
                <c:pt idx="18">
                  <c:v>1674.939960235139</c:v>
                </c:pt>
                <c:pt idx="19">
                  <c:v>1672.623516749288</c:v>
                </c:pt>
                <c:pt idx="20">
                  <c:v>1669.843784566267</c:v>
                </c:pt>
                <c:pt idx="21">
                  <c:v>1667.064052383247</c:v>
                </c:pt>
                <c:pt idx="22">
                  <c:v>1664.284320200226</c:v>
                </c:pt>
                <c:pt idx="23">
                  <c:v>1661.504588017205</c:v>
                </c:pt>
                <c:pt idx="24">
                  <c:v>1658.724855834184</c:v>
                </c:pt>
                <c:pt idx="25">
                  <c:v>1655.945123651163</c:v>
                </c:pt>
                <c:pt idx="26">
                  <c:v>1653.165391468143</c:v>
                </c:pt>
                <c:pt idx="27">
                  <c:v>1650.385659285122</c:v>
                </c:pt>
                <c:pt idx="28">
                  <c:v>1647.605927102101</c:v>
                </c:pt>
                <c:pt idx="29">
                  <c:v>1644.82619491908</c:v>
                </c:pt>
                <c:pt idx="30">
                  <c:v>1642.046462736059</c:v>
                </c:pt>
                <c:pt idx="31">
                  <c:v>1639.266730553039</c:v>
                </c:pt>
                <c:pt idx="32">
                  <c:v>1636.486998370018</c:v>
                </c:pt>
                <c:pt idx="33">
                  <c:v>1633.707266186997</c:v>
                </c:pt>
                <c:pt idx="34">
                  <c:v>1630.927534003976</c:v>
                </c:pt>
                <c:pt idx="35">
                  <c:v>1628.147801820955</c:v>
                </c:pt>
                <c:pt idx="36">
                  <c:v>1625.368069637934</c:v>
                </c:pt>
                <c:pt idx="37">
                  <c:v>1622.588337454914</c:v>
                </c:pt>
                <c:pt idx="38">
                  <c:v>1619.808605271893</c:v>
                </c:pt>
                <c:pt idx="39">
                  <c:v>1617.028873088872</c:v>
                </c:pt>
                <c:pt idx="40">
                  <c:v>1614.249140905851</c:v>
                </c:pt>
                <c:pt idx="41">
                  <c:v>1611.469408722831</c:v>
                </c:pt>
                <c:pt idx="42">
                  <c:v>1608.68967653981</c:v>
                </c:pt>
                <c:pt idx="43">
                  <c:v>1605.909944356789</c:v>
                </c:pt>
                <c:pt idx="44">
                  <c:v>1603.130212173768</c:v>
                </c:pt>
                <c:pt idx="45">
                  <c:v>1600.350479990747</c:v>
                </c:pt>
                <c:pt idx="46">
                  <c:v>1597.570747807727</c:v>
                </c:pt>
                <c:pt idx="47">
                  <c:v>1594.791015624706</c:v>
                </c:pt>
                <c:pt idx="48">
                  <c:v>1592.011283441685</c:v>
                </c:pt>
                <c:pt idx="49">
                  <c:v>1589.231551258664</c:v>
                </c:pt>
                <c:pt idx="50">
                  <c:v>1586.451819075643</c:v>
                </c:pt>
                <c:pt idx="51">
                  <c:v>1583.672086892622</c:v>
                </c:pt>
                <c:pt idx="52">
                  <c:v>1580.892354709602</c:v>
                </c:pt>
                <c:pt idx="53">
                  <c:v>1578.112622526581</c:v>
                </c:pt>
                <c:pt idx="54">
                  <c:v>1549.569250826481</c:v>
                </c:pt>
                <c:pt idx="55">
                  <c:v>1515.873151222966</c:v>
                </c:pt>
                <c:pt idx="56">
                  <c:v>1482.17705161945</c:v>
                </c:pt>
                <c:pt idx="57">
                  <c:v>1448.480952015935</c:v>
                </c:pt>
                <c:pt idx="58">
                  <c:v>1414.784852412419</c:v>
                </c:pt>
                <c:pt idx="59">
                  <c:v>1381.088752808904</c:v>
                </c:pt>
                <c:pt idx="60">
                  <c:v>1347.392653205388</c:v>
                </c:pt>
                <c:pt idx="61">
                  <c:v>1313.696553601873</c:v>
                </c:pt>
                <c:pt idx="62">
                  <c:v>1280.000453998357</c:v>
                </c:pt>
                <c:pt idx="63">
                  <c:v>1246.304354394842</c:v>
                </c:pt>
                <c:pt idx="64">
                  <c:v>1212.608254791326</c:v>
                </c:pt>
                <c:pt idx="65">
                  <c:v>1178.912155187811</c:v>
                </c:pt>
                <c:pt idx="66">
                  <c:v>1145.216055584295</c:v>
                </c:pt>
                <c:pt idx="67">
                  <c:v>1111.51995598078</c:v>
                </c:pt>
                <c:pt idx="68">
                  <c:v>1077.823856377264</c:v>
                </c:pt>
                <c:pt idx="69">
                  <c:v>1044.127756773749</c:v>
                </c:pt>
                <c:pt idx="70">
                  <c:v>1010.431657170233</c:v>
                </c:pt>
                <c:pt idx="71">
                  <c:v>976.735557566718</c:v>
                </c:pt>
                <c:pt idx="72">
                  <c:v>943.0394579632023</c:v>
                </c:pt>
                <c:pt idx="73">
                  <c:v>909.343358359687</c:v>
                </c:pt>
                <c:pt idx="74">
                  <c:v>875.6472587561714</c:v>
                </c:pt>
                <c:pt idx="75">
                  <c:v>841.9511591526559</c:v>
                </c:pt>
                <c:pt idx="76">
                  <c:v>808.2550595491404</c:v>
                </c:pt>
                <c:pt idx="77">
                  <c:v>774.558959945625</c:v>
                </c:pt>
                <c:pt idx="78">
                  <c:v>740.8628603421096</c:v>
                </c:pt>
                <c:pt idx="79">
                  <c:v>707.166760738594</c:v>
                </c:pt>
                <c:pt idx="80">
                  <c:v>673.4706611350786</c:v>
                </c:pt>
                <c:pt idx="81">
                  <c:v>667.854644534493</c:v>
                </c:pt>
                <c:pt idx="82">
                  <c:v>667.854644534493</c:v>
                </c:pt>
                <c:pt idx="83">
                  <c:v>667.854644534493</c:v>
                </c:pt>
                <c:pt idx="84">
                  <c:v>667.854644534493</c:v>
                </c:pt>
                <c:pt idx="85">
                  <c:v>667.854644534493</c:v>
                </c:pt>
                <c:pt idx="86">
                  <c:v>667.854644534493</c:v>
                </c:pt>
                <c:pt idx="87">
                  <c:v>667.854644534493</c:v>
                </c:pt>
                <c:pt idx="88">
                  <c:v>667.854644534493</c:v>
                </c:pt>
                <c:pt idx="89">
                  <c:v>667.854644534493</c:v>
                </c:pt>
                <c:pt idx="90">
                  <c:v>667.854644534493</c:v>
                </c:pt>
                <c:pt idx="91">
                  <c:v>667.854644534493</c:v>
                </c:pt>
                <c:pt idx="92">
                  <c:v>667.854644534493</c:v>
                </c:pt>
                <c:pt idx="93">
                  <c:v>667.854644534493</c:v>
                </c:pt>
                <c:pt idx="94">
                  <c:v>667.854644534493</c:v>
                </c:pt>
                <c:pt idx="95">
                  <c:v>667.854644534493</c:v>
                </c:pt>
                <c:pt idx="96">
                  <c:v>680.1296445344931</c:v>
                </c:pt>
                <c:pt idx="97">
                  <c:v>694.8596445344931</c:v>
                </c:pt>
                <c:pt idx="98">
                  <c:v>709.5896445344931</c:v>
                </c:pt>
                <c:pt idx="99">
                  <c:v>724.3196445344931</c:v>
                </c:pt>
              </c:numCache>
            </c:numRef>
          </c:val>
        </c:ser>
        <c:ser>
          <c:idx val="11"/>
          <c:order val="11"/>
          <c:tx>
            <c:strRef>
              <c:f>Percentiles!$A$70</c:f>
              <c:strCache>
                <c:ptCount val="1"/>
                <c:pt idx="0">
                  <c:v>Cash transfer - official</c:v>
                </c:pt>
              </c:strCache>
            </c:strRef>
          </c:tx>
          <c:spPr>
            <a:solidFill>
              <a:srgbClr val="A6A6A6"/>
            </a:solidFill>
            <a:ln w="25400">
              <a:noFill/>
            </a:ln>
          </c:spPr>
          <c:cat>
            <c:numRef>
              <c:f>Percentiles!$F$22:$DA$22</c:f>
              <c:numCache>
                <c:formatCode>0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Percentiles!$F$70:$DA$70</c:f>
              <c:numCache>
                <c:formatCode>0</c:formatCode>
                <c:ptCount val="100"/>
                <c:pt idx="0">
                  <c:v>31983.59172338103</c:v>
                </c:pt>
                <c:pt idx="1">
                  <c:v>31983.59172338103</c:v>
                </c:pt>
                <c:pt idx="2">
                  <c:v>31983.59172338103</c:v>
                </c:pt>
                <c:pt idx="3">
                  <c:v>31983.59172338103</c:v>
                </c:pt>
                <c:pt idx="4">
                  <c:v>31983.59172338103</c:v>
                </c:pt>
                <c:pt idx="5">
                  <c:v>31983.59172338103</c:v>
                </c:pt>
                <c:pt idx="6">
                  <c:v>31983.59172338103</c:v>
                </c:pt>
                <c:pt idx="7">
                  <c:v>31983.59172338103</c:v>
                </c:pt>
                <c:pt idx="8">
                  <c:v>31983.59172338103</c:v>
                </c:pt>
                <c:pt idx="9">
                  <c:v>31983.59172338103</c:v>
                </c:pt>
                <c:pt idx="10">
                  <c:v>31983.59172338103</c:v>
                </c:pt>
                <c:pt idx="11">
                  <c:v>31983.59172338103</c:v>
                </c:pt>
                <c:pt idx="12">
                  <c:v>31983.59172338103</c:v>
                </c:pt>
                <c:pt idx="13">
                  <c:v>31983.59172338103</c:v>
                </c:pt>
                <c:pt idx="14">
                  <c:v>31983.59172338103</c:v>
                </c:pt>
                <c:pt idx="15">
                  <c:v>31983.59172338103</c:v>
                </c:pt>
                <c:pt idx="16">
                  <c:v>31983.59172338103</c:v>
                </c:pt>
                <c:pt idx="17">
                  <c:v>31983.59172338103</c:v>
                </c:pt>
                <c:pt idx="18">
                  <c:v>31983.59172338103</c:v>
                </c:pt>
                <c:pt idx="19">
                  <c:v>31983.59172338103</c:v>
                </c:pt>
                <c:pt idx="20">
                  <c:v>31983.59172338103</c:v>
                </c:pt>
                <c:pt idx="21">
                  <c:v>31983.59172338103</c:v>
                </c:pt>
                <c:pt idx="22">
                  <c:v>31983.59172338103</c:v>
                </c:pt>
                <c:pt idx="23">
                  <c:v>31983.59172338103</c:v>
                </c:pt>
                <c:pt idx="24">
                  <c:v>31983.59172338103</c:v>
                </c:pt>
                <c:pt idx="25">
                  <c:v>31983.59172338103</c:v>
                </c:pt>
                <c:pt idx="26">
                  <c:v>31983.59172338103</c:v>
                </c:pt>
                <c:pt idx="27">
                  <c:v>31983.59172338103</c:v>
                </c:pt>
                <c:pt idx="28">
                  <c:v>31983.59172338103</c:v>
                </c:pt>
                <c:pt idx="29">
                  <c:v>31983.59172338103</c:v>
                </c:pt>
                <c:pt idx="30">
                  <c:v>31983.59172338103</c:v>
                </c:pt>
                <c:pt idx="31">
                  <c:v>31983.59172338103</c:v>
                </c:pt>
                <c:pt idx="32">
                  <c:v>31983.59172338103</c:v>
                </c:pt>
                <c:pt idx="33">
                  <c:v>31983.59172338103</c:v>
                </c:pt>
                <c:pt idx="34">
                  <c:v>31983.59172338103</c:v>
                </c:pt>
                <c:pt idx="35">
                  <c:v>31983.59172338103</c:v>
                </c:pt>
                <c:pt idx="36">
                  <c:v>31983.59172338103</c:v>
                </c:pt>
                <c:pt idx="37">
                  <c:v>31983.59172338103</c:v>
                </c:pt>
                <c:pt idx="38">
                  <c:v>31983.59172338103</c:v>
                </c:pt>
                <c:pt idx="39">
                  <c:v>31983.59172338103</c:v>
                </c:pt>
                <c:pt idx="40">
                  <c:v>31983.59172338103</c:v>
                </c:pt>
                <c:pt idx="41">
                  <c:v>31983.59172338103</c:v>
                </c:pt>
                <c:pt idx="42">
                  <c:v>31983.59172338103</c:v>
                </c:pt>
                <c:pt idx="43">
                  <c:v>31983.59172338103</c:v>
                </c:pt>
                <c:pt idx="44">
                  <c:v>31983.59172338103</c:v>
                </c:pt>
                <c:pt idx="45">
                  <c:v>31983.59172338103</c:v>
                </c:pt>
                <c:pt idx="46">
                  <c:v>31983.59172338103</c:v>
                </c:pt>
                <c:pt idx="47">
                  <c:v>31983.59172338103</c:v>
                </c:pt>
                <c:pt idx="48">
                  <c:v>31983.59172338103</c:v>
                </c:pt>
                <c:pt idx="49">
                  <c:v>31983.59172338103</c:v>
                </c:pt>
                <c:pt idx="50">
                  <c:v>31983.59172338103</c:v>
                </c:pt>
                <c:pt idx="51">
                  <c:v>31983.59172338103</c:v>
                </c:pt>
                <c:pt idx="52">
                  <c:v>31983.59172338103</c:v>
                </c:pt>
                <c:pt idx="53">
                  <c:v>31983.59172338103</c:v>
                </c:pt>
                <c:pt idx="54">
                  <c:v>31407.82037949544</c:v>
                </c:pt>
                <c:pt idx="55">
                  <c:v>30716.89476683273</c:v>
                </c:pt>
                <c:pt idx="56">
                  <c:v>30025.96915417002</c:v>
                </c:pt>
                <c:pt idx="57">
                  <c:v>29335.04354150732</c:v>
                </c:pt>
                <c:pt idx="58">
                  <c:v>28644.11792884461</c:v>
                </c:pt>
                <c:pt idx="59">
                  <c:v>27953.1923161819</c:v>
                </c:pt>
                <c:pt idx="60">
                  <c:v>27262.2667035192</c:v>
                </c:pt>
                <c:pt idx="61">
                  <c:v>26571.34109085648</c:v>
                </c:pt>
                <c:pt idx="62">
                  <c:v>25880.41547819378</c:v>
                </c:pt>
                <c:pt idx="63">
                  <c:v>25189.48986553106</c:v>
                </c:pt>
                <c:pt idx="64">
                  <c:v>24498.56425286836</c:v>
                </c:pt>
                <c:pt idx="65">
                  <c:v>23807.63864020565</c:v>
                </c:pt>
                <c:pt idx="66">
                  <c:v>23116.71302754294</c:v>
                </c:pt>
                <c:pt idx="67">
                  <c:v>22425.78741488023</c:v>
                </c:pt>
                <c:pt idx="68">
                  <c:v>21734.86180221752</c:v>
                </c:pt>
                <c:pt idx="69">
                  <c:v>21043.93618955481</c:v>
                </c:pt>
                <c:pt idx="70">
                  <c:v>20353.01057689211</c:v>
                </c:pt>
                <c:pt idx="71">
                  <c:v>19662.0849642294</c:v>
                </c:pt>
                <c:pt idx="72">
                  <c:v>18971.15935156669</c:v>
                </c:pt>
                <c:pt idx="73">
                  <c:v>18280.23373890398</c:v>
                </c:pt>
                <c:pt idx="74">
                  <c:v>17589.30812624127</c:v>
                </c:pt>
                <c:pt idx="75">
                  <c:v>16898.38251357857</c:v>
                </c:pt>
                <c:pt idx="76">
                  <c:v>16207.45690091586</c:v>
                </c:pt>
                <c:pt idx="77">
                  <c:v>15516.53128825315</c:v>
                </c:pt>
                <c:pt idx="78">
                  <c:v>14825.60567559044</c:v>
                </c:pt>
                <c:pt idx="79">
                  <c:v>14134.68006292773</c:v>
                </c:pt>
                <c:pt idx="80">
                  <c:v>13443.75445026502</c:v>
                </c:pt>
                <c:pt idx="81">
                  <c:v>13328.60018148791</c:v>
                </c:pt>
                <c:pt idx="82">
                  <c:v>13328.60018148791</c:v>
                </c:pt>
                <c:pt idx="83">
                  <c:v>13328.60018148791</c:v>
                </c:pt>
                <c:pt idx="84">
                  <c:v>13328.60018148791</c:v>
                </c:pt>
                <c:pt idx="85">
                  <c:v>13328.60018148791</c:v>
                </c:pt>
                <c:pt idx="86">
                  <c:v>13328.60018148791</c:v>
                </c:pt>
                <c:pt idx="87">
                  <c:v>13328.60018148791</c:v>
                </c:pt>
                <c:pt idx="88">
                  <c:v>13328.60018148791</c:v>
                </c:pt>
                <c:pt idx="89">
                  <c:v>13328.60018148791</c:v>
                </c:pt>
                <c:pt idx="90">
                  <c:v>13328.60018148791</c:v>
                </c:pt>
                <c:pt idx="91">
                  <c:v>13328.60018148791</c:v>
                </c:pt>
                <c:pt idx="92">
                  <c:v>13328.60018148791</c:v>
                </c:pt>
                <c:pt idx="93">
                  <c:v>13328.60018148791</c:v>
                </c:pt>
                <c:pt idx="94">
                  <c:v>13328.60018148791</c:v>
                </c:pt>
                <c:pt idx="95">
                  <c:v>13328.60018148791</c:v>
                </c:pt>
                <c:pt idx="96">
                  <c:v>12388.74184815457</c:v>
                </c:pt>
                <c:pt idx="97">
                  <c:v>11260.91184815457</c:v>
                </c:pt>
                <c:pt idx="98">
                  <c:v>10133.08184815457</c:v>
                </c:pt>
                <c:pt idx="99">
                  <c:v>9005.25184815457</c:v>
                </c:pt>
              </c:numCache>
            </c:numRef>
          </c:val>
        </c:ser>
        <c:ser>
          <c:idx val="14"/>
          <c:order val="12"/>
          <c:tx>
            <c:strRef>
              <c:f>Percentiles!$A$71</c:f>
              <c:strCache>
                <c:ptCount val="1"/>
                <c:pt idx="0">
                  <c:v>Cash transfer - gifts</c:v>
                </c:pt>
              </c:strCache>
            </c:strRef>
          </c:tx>
          <c:spPr>
            <a:solidFill>
              <a:srgbClr val="D9D9D9"/>
            </a:solidFill>
            <a:ln w="25400">
              <a:noFill/>
            </a:ln>
          </c:spPr>
          <c:cat>
            <c:numRef>
              <c:f>Percentiles!$F$22:$DA$22</c:f>
              <c:numCache>
                <c:formatCode>0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Percentiles!$F$71:$DA$71</c:f>
              <c:numCache>
                <c:formatCode>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73.62705277021436</c:v>
                </c:pt>
                <c:pt idx="20">
                  <c:v>161.9795160944714</c:v>
                </c:pt>
                <c:pt idx="21">
                  <c:v>250.3319794187283</c:v>
                </c:pt>
                <c:pt idx="22">
                  <c:v>338.6844427429853</c:v>
                </c:pt>
                <c:pt idx="23">
                  <c:v>427.0369060672423</c:v>
                </c:pt>
                <c:pt idx="24">
                  <c:v>515.3893693914993</c:v>
                </c:pt>
                <c:pt idx="25">
                  <c:v>603.7418327157563</c:v>
                </c:pt>
                <c:pt idx="26">
                  <c:v>692.0942960400133</c:v>
                </c:pt>
                <c:pt idx="27">
                  <c:v>780.4467593642703</c:v>
                </c:pt>
                <c:pt idx="28">
                  <c:v>868.7992226885272</c:v>
                </c:pt>
                <c:pt idx="29">
                  <c:v>957.1516860127842</c:v>
                </c:pt>
                <c:pt idx="30">
                  <c:v>1045.504149337041</c:v>
                </c:pt>
                <c:pt idx="31">
                  <c:v>1133.856612661298</c:v>
                </c:pt>
                <c:pt idx="32">
                  <c:v>1222.209075985555</c:v>
                </c:pt>
                <c:pt idx="33">
                  <c:v>1310.561539309812</c:v>
                </c:pt>
                <c:pt idx="34">
                  <c:v>1398.914002634069</c:v>
                </c:pt>
                <c:pt idx="35">
                  <c:v>1487.266465958326</c:v>
                </c:pt>
                <c:pt idx="36">
                  <c:v>1575.618929282583</c:v>
                </c:pt>
                <c:pt idx="37">
                  <c:v>1663.97139260684</c:v>
                </c:pt>
                <c:pt idx="38">
                  <c:v>1752.323855931097</c:v>
                </c:pt>
                <c:pt idx="39">
                  <c:v>1840.676319255354</c:v>
                </c:pt>
                <c:pt idx="40">
                  <c:v>1929.028782579611</c:v>
                </c:pt>
                <c:pt idx="41">
                  <c:v>2017.381245903868</c:v>
                </c:pt>
                <c:pt idx="42">
                  <c:v>2105.733709228125</c:v>
                </c:pt>
                <c:pt idx="43">
                  <c:v>2194.086172552382</c:v>
                </c:pt>
                <c:pt idx="44">
                  <c:v>2282.43863587664</c:v>
                </c:pt>
                <c:pt idx="45">
                  <c:v>2370.791099200896</c:v>
                </c:pt>
                <c:pt idx="46">
                  <c:v>2459.143562525153</c:v>
                </c:pt>
                <c:pt idx="47">
                  <c:v>2547.49602584941</c:v>
                </c:pt>
                <c:pt idx="48">
                  <c:v>2635.848489173667</c:v>
                </c:pt>
                <c:pt idx="49">
                  <c:v>2724.200952497924</c:v>
                </c:pt>
                <c:pt idx="50">
                  <c:v>2812.553415822181</c:v>
                </c:pt>
                <c:pt idx="51">
                  <c:v>2900.905879146438</c:v>
                </c:pt>
                <c:pt idx="52">
                  <c:v>2989.258342470695</c:v>
                </c:pt>
                <c:pt idx="53">
                  <c:v>3077.610805794952</c:v>
                </c:pt>
                <c:pt idx="54">
                  <c:v>3073.074582908227</c:v>
                </c:pt>
                <c:pt idx="55">
                  <c:v>3049.960622779307</c:v>
                </c:pt>
                <c:pt idx="56">
                  <c:v>3026.846662650385</c:v>
                </c:pt>
                <c:pt idx="57">
                  <c:v>3003.732702521465</c:v>
                </c:pt>
                <c:pt idx="58">
                  <c:v>2980.618742392544</c:v>
                </c:pt>
                <c:pt idx="59">
                  <c:v>2957.504782263623</c:v>
                </c:pt>
                <c:pt idx="60">
                  <c:v>2934.390822134702</c:v>
                </c:pt>
                <c:pt idx="61">
                  <c:v>2911.276862005781</c:v>
                </c:pt>
                <c:pt idx="62">
                  <c:v>2888.162901876861</c:v>
                </c:pt>
                <c:pt idx="63">
                  <c:v>2865.04894174794</c:v>
                </c:pt>
                <c:pt idx="64">
                  <c:v>2841.934981619019</c:v>
                </c:pt>
                <c:pt idx="65">
                  <c:v>2818.821021490098</c:v>
                </c:pt>
                <c:pt idx="66">
                  <c:v>2795.707061361177</c:v>
                </c:pt>
                <c:pt idx="67">
                  <c:v>2772.593101232256</c:v>
                </c:pt>
                <c:pt idx="68">
                  <c:v>2749.479141103336</c:v>
                </c:pt>
                <c:pt idx="69">
                  <c:v>2726.365180974414</c:v>
                </c:pt>
                <c:pt idx="70">
                  <c:v>2703.251220845494</c:v>
                </c:pt>
                <c:pt idx="71">
                  <c:v>2680.137260716573</c:v>
                </c:pt>
                <c:pt idx="72">
                  <c:v>2657.023300587652</c:v>
                </c:pt>
                <c:pt idx="73">
                  <c:v>2633.909340458732</c:v>
                </c:pt>
                <c:pt idx="74">
                  <c:v>2610.795380329811</c:v>
                </c:pt>
                <c:pt idx="75">
                  <c:v>2587.68142020089</c:v>
                </c:pt>
                <c:pt idx="76">
                  <c:v>2564.567460071969</c:v>
                </c:pt>
                <c:pt idx="77">
                  <c:v>2541.453499943048</c:v>
                </c:pt>
                <c:pt idx="78">
                  <c:v>2518.339539814127</c:v>
                </c:pt>
                <c:pt idx="79">
                  <c:v>2495.225579685206</c:v>
                </c:pt>
                <c:pt idx="80">
                  <c:v>2472.111619556285</c:v>
                </c:pt>
                <c:pt idx="81">
                  <c:v>2705.11245733528</c:v>
                </c:pt>
                <c:pt idx="82">
                  <c:v>2989.336254695852</c:v>
                </c:pt>
                <c:pt idx="83">
                  <c:v>3273.560052056425</c:v>
                </c:pt>
                <c:pt idx="84">
                  <c:v>3557.783849416997</c:v>
                </c:pt>
                <c:pt idx="85">
                  <c:v>3842.00764677757</c:v>
                </c:pt>
                <c:pt idx="86">
                  <c:v>4126.231444138143</c:v>
                </c:pt>
                <c:pt idx="87">
                  <c:v>4410.455241498715</c:v>
                </c:pt>
                <c:pt idx="88">
                  <c:v>4694.679038859288</c:v>
                </c:pt>
                <c:pt idx="89">
                  <c:v>4978.902836219861</c:v>
                </c:pt>
                <c:pt idx="90">
                  <c:v>5263.126633580433</c:v>
                </c:pt>
                <c:pt idx="91">
                  <c:v>5547.350430941007</c:v>
                </c:pt>
                <c:pt idx="92">
                  <c:v>5831.57422830158</c:v>
                </c:pt>
                <c:pt idx="93">
                  <c:v>6115.798025662152</c:v>
                </c:pt>
                <c:pt idx="94">
                  <c:v>6400.021823022725</c:v>
                </c:pt>
                <c:pt idx="95">
                  <c:v>6684.245620383298</c:v>
                </c:pt>
                <c:pt idx="96">
                  <c:v>6978.557919943394</c:v>
                </c:pt>
                <c:pt idx="97">
                  <c:v>7274.887919943394</c:v>
                </c:pt>
                <c:pt idx="98">
                  <c:v>7571.217919943394</c:v>
                </c:pt>
                <c:pt idx="99">
                  <c:v>7867.547919943394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57966888"/>
        <c:axId val="2115353288"/>
      </c:areaChart>
      <c:lineChart>
        <c:grouping val="standard"/>
        <c:varyColors val="0"/>
        <c:ser>
          <c:idx val="12"/>
          <c:order val="13"/>
          <c:tx>
            <c:strRef>
              <c:f>Percentiles!$A$39</c:f>
              <c:strCache>
                <c:ptCount val="1"/>
                <c:pt idx="0">
                  <c:v>Food Poverty line</c:v>
                </c:pt>
              </c:strCache>
            </c:strRef>
          </c:tx>
          <c:spPr>
            <a:ln w="25400">
              <a:solidFill>
                <a:srgbClr val="DD0806"/>
              </a:solidFill>
              <a:prstDash val="solid"/>
            </a:ln>
          </c:spPr>
          <c:marker>
            <c:symbol val="none"/>
          </c:marker>
          <c:val>
            <c:numRef>
              <c:f>Percentiles!$F$39:$DA$39</c:f>
              <c:numCache>
                <c:formatCode>0</c:formatCode>
                <c:ptCount val="100"/>
                <c:pt idx="0">
                  <c:v>40474.95168787119</c:v>
                </c:pt>
                <c:pt idx="1">
                  <c:v>40474.95168787119</c:v>
                </c:pt>
                <c:pt idx="2">
                  <c:v>40474.95168787119</c:v>
                </c:pt>
                <c:pt idx="3">
                  <c:v>40474.95168787119</c:v>
                </c:pt>
                <c:pt idx="4">
                  <c:v>40474.95168787119</c:v>
                </c:pt>
                <c:pt idx="5">
                  <c:v>40474.95168787119</c:v>
                </c:pt>
                <c:pt idx="6">
                  <c:v>40474.95168787119</c:v>
                </c:pt>
                <c:pt idx="7">
                  <c:v>40474.95168787119</c:v>
                </c:pt>
                <c:pt idx="8">
                  <c:v>40474.95168787119</c:v>
                </c:pt>
                <c:pt idx="9">
                  <c:v>40474.95168787119</c:v>
                </c:pt>
                <c:pt idx="10">
                  <c:v>40474.95168787119</c:v>
                </c:pt>
                <c:pt idx="11">
                  <c:v>40474.95168787119</c:v>
                </c:pt>
                <c:pt idx="12">
                  <c:v>40474.95168787119</c:v>
                </c:pt>
                <c:pt idx="13">
                  <c:v>40474.95168787119</c:v>
                </c:pt>
                <c:pt idx="14">
                  <c:v>40474.95168787119</c:v>
                </c:pt>
                <c:pt idx="15">
                  <c:v>40474.95168787119</c:v>
                </c:pt>
                <c:pt idx="16">
                  <c:v>40474.95168787119</c:v>
                </c:pt>
                <c:pt idx="17">
                  <c:v>40474.95168787119</c:v>
                </c:pt>
                <c:pt idx="18">
                  <c:v>40474.95168787119</c:v>
                </c:pt>
                <c:pt idx="19">
                  <c:v>40474.95168787119</c:v>
                </c:pt>
                <c:pt idx="20">
                  <c:v>40474.95168787119</c:v>
                </c:pt>
                <c:pt idx="21">
                  <c:v>40474.95168787119</c:v>
                </c:pt>
                <c:pt idx="22">
                  <c:v>40474.95168787119</c:v>
                </c:pt>
                <c:pt idx="23">
                  <c:v>40474.95168787119</c:v>
                </c:pt>
                <c:pt idx="24">
                  <c:v>40474.95168787119</c:v>
                </c:pt>
                <c:pt idx="25">
                  <c:v>40474.95168787119</c:v>
                </c:pt>
                <c:pt idx="26">
                  <c:v>40474.95168787119</c:v>
                </c:pt>
                <c:pt idx="27">
                  <c:v>40474.95168787119</c:v>
                </c:pt>
                <c:pt idx="28">
                  <c:v>40474.95168787119</c:v>
                </c:pt>
                <c:pt idx="29">
                  <c:v>40474.95168787119</c:v>
                </c:pt>
                <c:pt idx="30">
                  <c:v>40474.95168787119</c:v>
                </c:pt>
                <c:pt idx="31">
                  <c:v>40474.95168787119</c:v>
                </c:pt>
                <c:pt idx="32">
                  <c:v>40474.95168787119</c:v>
                </c:pt>
                <c:pt idx="33">
                  <c:v>40474.95168787119</c:v>
                </c:pt>
                <c:pt idx="34">
                  <c:v>40474.95168787119</c:v>
                </c:pt>
                <c:pt idx="35">
                  <c:v>40474.95168787119</c:v>
                </c:pt>
                <c:pt idx="36">
                  <c:v>40474.95168787119</c:v>
                </c:pt>
                <c:pt idx="37">
                  <c:v>40474.95168787119</c:v>
                </c:pt>
                <c:pt idx="38">
                  <c:v>40474.95168787119</c:v>
                </c:pt>
                <c:pt idx="39">
                  <c:v>40474.95168787119</c:v>
                </c:pt>
                <c:pt idx="40">
                  <c:v>40474.95168787119</c:v>
                </c:pt>
                <c:pt idx="41">
                  <c:v>40474.95168787119</c:v>
                </c:pt>
                <c:pt idx="42">
                  <c:v>40474.95168787119</c:v>
                </c:pt>
                <c:pt idx="43">
                  <c:v>40474.95168787119</c:v>
                </c:pt>
                <c:pt idx="44">
                  <c:v>40474.95168787119</c:v>
                </c:pt>
                <c:pt idx="45">
                  <c:v>40474.95168787119</c:v>
                </c:pt>
                <c:pt idx="46">
                  <c:v>40474.95168787119</c:v>
                </c:pt>
                <c:pt idx="47">
                  <c:v>40474.95168787119</c:v>
                </c:pt>
                <c:pt idx="48">
                  <c:v>40474.95168787119</c:v>
                </c:pt>
                <c:pt idx="49">
                  <c:v>40474.95168787119</c:v>
                </c:pt>
                <c:pt idx="50">
                  <c:v>40474.95168787119</c:v>
                </c:pt>
                <c:pt idx="51">
                  <c:v>40474.95168787119</c:v>
                </c:pt>
                <c:pt idx="52">
                  <c:v>40474.95168787119</c:v>
                </c:pt>
                <c:pt idx="53">
                  <c:v>40474.95168787119</c:v>
                </c:pt>
                <c:pt idx="54">
                  <c:v>40474.95168787119</c:v>
                </c:pt>
                <c:pt idx="55">
                  <c:v>40474.95168787119</c:v>
                </c:pt>
                <c:pt idx="56">
                  <c:v>40474.95168787119</c:v>
                </c:pt>
                <c:pt idx="57">
                  <c:v>40474.95168787119</c:v>
                </c:pt>
                <c:pt idx="58">
                  <c:v>40474.95168787119</c:v>
                </c:pt>
                <c:pt idx="59">
                  <c:v>40474.95168787119</c:v>
                </c:pt>
                <c:pt idx="60">
                  <c:v>40474.95168787119</c:v>
                </c:pt>
                <c:pt idx="61">
                  <c:v>40474.95168787119</c:v>
                </c:pt>
                <c:pt idx="62">
                  <c:v>40474.95168787119</c:v>
                </c:pt>
                <c:pt idx="63">
                  <c:v>40474.95168787119</c:v>
                </c:pt>
                <c:pt idx="64">
                  <c:v>40474.95168787119</c:v>
                </c:pt>
                <c:pt idx="65">
                  <c:v>40474.95168787119</c:v>
                </c:pt>
                <c:pt idx="66">
                  <c:v>40474.95168787119</c:v>
                </c:pt>
                <c:pt idx="67">
                  <c:v>40474.95168787119</c:v>
                </c:pt>
                <c:pt idx="68">
                  <c:v>40474.95168787119</c:v>
                </c:pt>
                <c:pt idx="69">
                  <c:v>40474.95168787119</c:v>
                </c:pt>
                <c:pt idx="70">
                  <c:v>40474.95168787113</c:v>
                </c:pt>
                <c:pt idx="71">
                  <c:v>40474.95168787113</c:v>
                </c:pt>
                <c:pt idx="72">
                  <c:v>40474.95168787113</c:v>
                </c:pt>
                <c:pt idx="73">
                  <c:v>40474.95168787113</c:v>
                </c:pt>
                <c:pt idx="74">
                  <c:v>40474.95168787113</c:v>
                </c:pt>
                <c:pt idx="75">
                  <c:v>40474.95168787113</c:v>
                </c:pt>
                <c:pt idx="76">
                  <c:v>40474.95168787113</c:v>
                </c:pt>
                <c:pt idx="77">
                  <c:v>40474.95168787113</c:v>
                </c:pt>
                <c:pt idx="78">
                  <c:v>40474.95168787113</c:v>
                </c:pt>
                <c:pt idx="79">
                  <c:v>40474.95168787113</c:v>
                </c:pt>
                <c:pt idx="80">
                  <c:v>40474.95168787113</c:v>
                </c:pt>
                <c:pt idx="81">
                  <c:v>40474.95168787113</c:v>
                </c:pt>
                <c:pt idx="82">
                  <c:v>40474.95168787113</c:v>
                </c:pt>
                <c:pt idx="83">
                  <c:v>40474.95168787113</c:v>
                </c:pt>
                <c:pt idx="84">
                  <c:v>40474.95168787113</c:v>
                </c:pt>
                <c:pt idx="85">
                  <c:v>40474.95168787113</c:v>
                </c:pt>
                <c:pt idx="86">
                  <c:v>40474.95168787113</c:v>
                </c:pt>
                <c:pt idx="87">
                  <c:v>40474.95168787113</c:v>
                </c:pt>
                <c:pt idx="88">
                  <c:v>40474.95168787113</c:v>
                </c:pt>
                <c:pt idx="89">
                  <c:v>40474.95168787113</c:v>
                </c:pt>
                <c:pt idx="90">
                  <c:v>40474.95168787113</c:v>
                </c:pt>
                <c:pt idx="91">
                  <c:v>40474.95168787113</c:v>
                </c:pt>
                <c:pt idx="92">
                  <c:v>40474.95168787113</c:v>
                </c:pt>
                <c:pt idx="93">
                  <c:v>40474.95168787113</c:v>
                </c:pt>
                <c:pt idx="94">
                  <c:v>40474.95168787113</c:v>
                </c:pt>
                <c:pt idx="95">
                  <c:v>40474.95168787113</c:v>
                </c:pt>
                <c:pt idx="96">
                  <c:v>40474.95168787113</c:v>
                </c:pt>
                <c:pt idx="97">
                  <c:v>40474.95168787113</c:v>
                </c:pt>
                <c:pt idx="98">
                  <c:v>40474.95168787113</c:v>
                </c:pt>
                <c:pt idx="99">
                  <c:v>40474.95168787113</c:v>
                </c:pt>
              </c:numCache>
            </c:numRef>
          </c:val>
          <c:smooth val="0"/>
        </c:ser>
        <c:ser>
          <c:idx val="13"/>
          <c:order val="14"/>
          <c:tx>
            <c:strRef>
              <c:f>Percentiles!$A$72</c:f>
              <c:strCache>
                <c:ptCount val="1"/>
                <c:pt idx="0">
                  <c:v>TOTAL</c:v>
                </c:pt>
              </c:strCache>
            </c:strRef>
          </c:tx>
          <c:spPr>
            <a:ln w="25400">
              <a:solidFill>
                <a:srgbClr val="003366"/>
              </a:solidFill>
              <a:prstDash val="solid"/>
            </a:ln>
          </c:spPr>
          <c:marker>
            <c:symbol val="none"/>
          </c:marker>
          <c:trendline>
            <c:spPr>
              <a:ln w="3175">
                <a:solidFill>
                  <a:srgbClr val="000000"/>
                </a:solidFill>
                <a:prstDash val="solid"/>
              </a:ln>
            </c:spPr>
            <c:trendlineType val="poly"/>
            <c:order val="6"/>
            <c:dispRSqr val="0"/>
            <c:dispEq val="0"/>
          </c:trendline>
          <c:val>
            <c:numRef>
              <c:f>Percentiles!$F$72:$DA$72</c:f>
              <c:numCache>
                <c:formatCode>0</c:formatCode>
                <c:ptCount val="100"/>
                <c:pt idx="0">
                  <c:v>54826.06304504793</c:v>
                </c:pt>
                <c:pt idx="1">
                  <c:v>54485.80304504792</c:v>
                </c:pt>
                <c:pt idx="2">
                  <c:v>54145.54304504793</c:v>
                </c:pt>
                <c:pt idx="3">
                  <c:v>53805.28304504793</c:v>
                </c:pt>
                <c:pt idx="4">
                  <c:v>53465.02304504793</c:v>
                </c:pt>
                <c:pt idx="5">
                  <c:v>53124.76304504793</c:v>
                </c:pt>
                <c:pt idx="6">
                  <c:v>52784.50304504793</c:v>
                </c:pt>
                <c:pt idx="7">
                  <c:v>52444.24304504793</c:v>
                </c:pt>
                <c:pt idx="8">
                  <c:v>52103.98304504792</c:v>
                </c:pt>
                <c:pt idx="9">
                  <c:v>51763.72304504793</c:v>
                </c:pt>
                <c:pt idx="10">
                  <c:v>51423.46304504793</c:v>
                </c:pt>
                <c:pt idx="11">
                  <c:v>51083.20304504793</c:v>
                </c:pt>
                <c:pt idx="12">
                  <c:v>50742.94304504792</c:v>
                </c:pt>
                <c:pt idx="13">
                  <c:v>50402.68304504793</c:v>
                </c:pt>
                <c:pt idx="14">
                  <c:v>50062.42304504793</c:v>
                </c:pt>
                <c:pt idx="15">
                  <c:v>49722.16304504793</c:v>
                </c:pt>
                <c:pt idx="16">
                  <c:v>49381.90304504792</c:v>
                </c:pt>
                <c:pt idx="17">
                  <c:v>49041.64304504792</c:v>
                </c:pt>
                <c:pt idx="18">
                  <c:v>48701.38304504792</c:v>
                </c:pt>
                <c:pt idx="19">
                  <c:v>49567.04932658983</c:v>
                </c:pt>
                <c:pt idx="20">
                  <c:v>50673.90086444008</c:v>
                </c:pt>
                <c:pt idx="21">
                  <c:v>51780.75240229036</c:v>
                </c:pt>
                <c:pt idx="22">
                  <c:v>52887.60394014062</c:v>
                </c:pt>
                <c:pt idx="23">
                  <c:v>53994.4554779909</c:v>
                </c:pt>
                <c:pt idx="24">
                  <c:v>55101.30701584117</c:v>
                </c:pt>
                <c:pt idx="25">
                  <c:v>56208.15855369144</c:v>
                </c:pt>
                <c:pt idx="26">
                  <c:v>57315.01009154171</c:v>
                </c:pt>
                <c:pt idx="27">
                  <c:v>58421.86162939198</c:v>
                </c:pt>
                <c:pt idx="28">
                  <c:v>59528.71316724225</c:v>
                </c:pt>
                <c:pt idx="29">
                  <c:v>60635.56470509251</c:v>
                </c:pt>
                <c:pt idx="30">
                  <c:v>61742.41624294278</c:v>
                </c:pt>
                <c:pt idx="31">
                  <c:v>62849.26778079306</c:v>
                </c:pt>
                <c:pt idx="32">
                  <c:v>63956.11931864333</c:v>
                </c:pt>
                <c:pt idx="33">
                  <c:v>65062.9708564936</c:v>
                </c:pt>
                <c:pt idx="34">
                  <c:v>66169.82239434386</c:v>
                </c:pt>
                <c:pt idx="35">
                  <c:v>67276.67393219412</c:v>
                </c:pt>
                <c:pt idx="36">
                  <c:v>68383.52547004442</c:v>
                </c:pt>
                <c:pt idx="37">
                  <c:v>69490.37700789466</c:v>
                </c:pt>
                <c:pt idx="38">
                  <c:v>70597.22854574494</c:v>
                </c:pt>
                <c:pt idx="39">
                  <c:v>71704.0800835952</c:v>
                </c:pt>
                <c:pt idx="40">
                  <c:v>72810.93162144549</c:v>
                </c:pt>
                <c:pt idx="41">
                  <c:v>73917.78315929576</c:v>
                </c:pt>
                <c:pt idx="42">
                  <c:v>75024.63469714603</c:v>
                </c:pt>
                <c:pt idx="43">
                  <c:v>76131.48623499629</c:v>
                </c:pt>
                <c:pt idx="44">
                  <c:v>77238.33777284656</c:v>
                </c:pt>
                <c:pt idx="45">
                  <c:v>78345.18931069683</c:v>
                </c:pt>
                <c:pt idx="46">
                  <c:v>79452.0408485471</c:v>
                </c:pt>
                <c:pt idx="47">
                  <c:v>80558.89238639736</c:v>
                </c:pt>
                <c:pt idx="48">
                  <c:v>81665.74392424764</c:v>
                </c:pt>
                <c:pt idx="49">
                  <c:v>82772.5954620979</c:v>
                </c:pt>
                <c:pt idx="50">
                  <c:v>83879.4469999482</c:v>
                </c:pt>
                <c:pt idx="51">
                  <c:v>84986.29853779844</c:v>
                </c:pt>
                <c:pt idx="52">
                  <c:v>86093.15007564872</c:v>
                </c:pt>
                <c:pt idx="53">
                  <c:v>87200.00161349898</c:v>
                </c:pt>
                <c:pt idx="54">
                  <c:v>89924.55330119275</c:v>
                </c:pt>
                <c:pt idx="55">
                  <c:v>92972.64501885518</c:v>
                </c:pt>
                <c:pt idx="56">
                  <c:v>96020.7367365176</c:v>
                </c:pt>
                <c:pt idx="57">
                  <c:v>99068.82845418005</c:v>
                </c:pt>
                <c:pt idx="58">
                  <c:v>102116.9201718425</c:v>
                </c:pt>
                <c:pt idx="59">
                  <c:v>105165.011889505</c:v>
                </c:pt>
                <c:pt idx="60">
                  <c:v>108213.1036071674</c:v>
                </c:pt>
                <c:pt idx="61">
                  <c:v>111261.1953248298</c:v>
                </c:pt>
                <c:pt idx="62">
                  <c:v>114309.2870424923</c:v>
                </c:pt>
                <c:pt idx="63">
                  <c:v>117357.3787601547</c:v>
                </c:pt>
                <c:pt idx="64">
                  <c:v>120405.4704778171</c:v>
                </c:pt>
                <c:pt idx="65">
                  <c:v>123453.5621954796</c:v>
                </c:pt>
                <c:pt idx="66">
                  <c:v>126501.653913142</c:v>
                </c:pt>
                <c:pt idx="67">
                  <c:v>129549.7456308045</c:v>
                </c:pt>
                <c:pt idx="68">
                  <c:v>132597.8373484669</c:v>
                </c:pt>
                <c:pt idx="69">
                  <c:v>135645.9290661293</c:v>
                </c:pt>
                <c:pt idx="70">
                  <c:v>138694.0207837918</c:v>
                </c:pt>
                <c:pt idx="71">
                  <c:v>141742.1125014542</c:v>
                </c:pt>
                <c:pt idx="72">
                  <c:v>144790.2042191167</c:v>
                </c:pt>
                <c:pt idx="73">
                  <c:v>147838.2959367791</c:v>
                </c:pt>
                <c:pt idx="74">
                  <c:v>150886.3876544416</c:v>
                </c:pt>
                <c:pt idx="75">
                  <c:v>153934.479372104</c:v>
                </c:pt>
                <c:pt idx="76">
                  <c:v>156982.5710897665</c:v>
                </c:pt>
                <c:pt idx="77">
                  <c:v>160030.6628074289</c:v>
                </c:pt>
                <c:pt idx="78">
                  <c:v>163078.7545250913</c:v>
                </c:pt>
                <c:pt idx="79">
                  <c:v>166126.8462427538</c:v>
                </c:pt>
                <c:pt idx="80">
                  <c:v>169174.9379604162</c:v>
                </c:pt>
                <c:pt idx="81">
                  <c:v>180527.3593862781</c:v>
                </c:pt>
                <c:pt idx="82">
                  <c:v>193540.6467537797</c:v>
                </c:pt>
                <c:pt idx="83">
                  <c:v>206553.9341212813</c:v>
                </c:pt>
                <c:pt idx="84">
                  <c:v>219567.221488783</c:v>
                </c:pt>
                <c:pt idx="85">
                  <c:v>232580.5088562846</c:v>
                </c:pt>
                <c:pt idx="86">
                  <c:v>245593.7962237863</c:v>
                </c:pt>
                <c:pt idx="87">
                  <c:v>258607.0835912879</c:v>
                </c:pt>
                <c:pt idx="88">
                  <c:v>271620.3709587895</c:v>
                </c:pt>
                <c:pt idx="89">
                  <c:v>284633.6583262912</c:v>
                </c:pt>
                <c:pt idx="90">
                  <c:v>297646.9456937928</c:v>
                </c:pt>
                <c:pt idx="91">
                  <c:v>310660.2330612944</c:v>
                </c:pt>
                <c:pt idx="92">
                  <c:v>323673.5204287961</c:v>
                </c:pt>
                <c:pt idx="93">
                  <c:v>336686.8077962977</c:v>
                </c:pt>
                <c:pt idx="94">
                  <c:v>349700.0951637993</c:v>
                </c:pt>
                <c:pt idx="95">
                  <c:v>362713.382531301</c:v>
                </c:pt>
                <c:pt idx="96">
                  <c:v>373032.0979258846</c:v>
                </c:pt>
                <c:pt idx="97">
                  <c:v>382811.8989258845</c:v>
                </c:pt>
                <c:pt idx="98">
                  <c:v>392591.6999258845</c:v>
                </c:pt>
                <c:pt idx="99">
                  <c:v>402371.5009258846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57966888"/>
        <c:axId val="2115353288"/>
      </c:lineChart>
      <c:catAx>
        <c:axId val="-20579668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Percentile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115353288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2115353288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Annual Total Income (ZAR)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2057966888"/>
        <c:crossesAt val="1.0"/>
        <c:crossBetween val="midCat"/>
      </c:valAx>
      <c:spPr>
        <a:solidFill>
          <a:srgbClr val="FFFFFF"/>
        </a:solidFill>
        <a:ln w="25400">
          <a:noFill/>
        </a:ln>
      </c:spPr>
    </c:plotArea>
    <c:legend>
      <c:legendPos val="r"/>
      <c:layout>
        <c:manualLayout>
          <c:xMode val="edge"/>
          <c:yMode val="edge"/>
          <c:x val="0.754190384023226"/>
          <c:y val="0.042042042042042"/>
          <c:w val="0.233240333435974"/>
          <c:h val="0.927928637298716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01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4" Type="http://schemas.openxmlformats.org/officeDocument/2006/relationships/chart" Target="../charts/chart12.xml"/><Relationship Id="rId5" Type="http://schemas.openxmlformats.org/officeDocument/2006/relationships/chart" Target="../charts/chart13.xml"/><Relationship Id="rId6" Type="http://schemas.openxmlformats.org/officeDocument/2006/relationships/chart" Target="../charts/chart14.xml"/><Relationship Id="rId7" Type="http://schemas.openxmlformats.org/officeDocument/2006/relationships/chart" Target="../charts/chart15.xml"/><Relationship Id="rId1" Type="http://schemas.openxmlformats.org/officeDocument/2006/relationships/chart" Target="../charts/chart9.xml"/><Relationship Id="rId2" Type="http://schemas.openxmlformats.org/officeDocument/2006/relationships/chart" Target="../charts/chart10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8.xml"/><Relationship Id="rId4" Type="http://schemas.openxmlformats.org/officeDocument/2006/relationships/chart" Target="../charts/chart19.xml"/><Relationship Id="rId1" Type="http://schemas.openxmlformats.org/officeDocument/2006/relationships/chart" Target="../charts/chart16.xml"/><Relationship Id="rId2" Type="http://schemas.openxmlformats.org/officeDocument/2006/relationships/chart" Target="../charts/chart1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2.xml"/><Relationship Id="rId4" Type="http://schemas.openxmlformats.org/officeDocument/2006/relationships/chart" Target="../charts/chart23.xml"/><Relationship Id="rId1" Type="http://schemas.openxmlformats.org/officeDocument/2006/relationships/chart" Target="../charts/chart20.xml"/><Relationship Id="rId2" Type="http://schemas.openxmlformats.org/officeDocument/2006/relationships/chart" Target="../charts/chart2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12700</xdr:rowOff>
    </xdr:from>
    <xdr:to>
      <xdr:col>10</xdr:col>
      <xdr:colOff>393700</xdr:colOff>
      <xdr:row>33</xdr:row>
      <xdr:rowOff>0</xdr:rowOff>
    </xdr:to>
    <xdr:graphicFrame macro="">
      <xdr:nvGraphicFramePr>
        <xdr:cNvPr id="15482584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705557</xdr:colOff>
      <xdr:row>3</xdr:row>
      <xdr:rowOff>12700</xdr:rowOff>
    </xdr:from>
    <xdr:to>
      <xdr:col>16</xdr:col>
      <xdr:colOff>310445</xdr:colOff>
      <xdr:row>33</xdr:row>
      <xdr:rowOff>98778</xdr:rowOff>
    </xdr:to>
    <xdr:graphicFrame macro="">
      <xdr:nvGraphicFramePr>
        <xdr:cNvPr id="15482585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169333</xdr:colOff>
      <xdr:row>3</xdr:row>
      <xdr:rowOff>0</xdr:rowOff>
    </xdr:from>
    <xdr:to>
      <xdr:col>21</xdr:col>
      <xdr:colOff>550333</xdr:colOff>
      <xdr:row>33</xdr:row>
      <xdr:rowOff>12700</xdr:rowOff>
    </xdr:to>
    <xdr:graphicFrame macro="">
      <xdr:nvGraphicFramePr>
        <xdr:cNvPr id="15482586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3</xdr:row>
      <xdr:rowOff>0</xdr:rowOff>
    </xdr:from>
    <xdr:to>
      <xdr:col>5</xdr:col>
      <xdr:colOff>25400</xdr:colOff>
      <xdr:row>33</xdr:row>
      <xdr:rowOff>0</xdr:rowOff>
    </xdr:to>
    <xdr:graphicFrame macro="">
      <xdr:nvGraphicFramePr>
        <xdr:cNvPr id="15482587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546100</xdr:colOff>
      <xdr:row>33</xdr:row>
      <xdr:rowOff>165100</xdr:rowOff>
    </xdr:from>
    <xdr:to>
      <xdr:col>10</xdr:col>
      <xdr:colOff>546100</xdr:colOff>
      <xdr:row>50</xdr:row>
      <xdr:rowOff>152400</xdr:rowOff>
    </xdr:to>
    <xdr:graphicFrame macro="">
      <xdr:nvGraphicFramePr>
        <xdr:cNvPr id="15482588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495300</xdr:colOff>
      <xdr:row>33</xdr:row>
      <xdr:rowOff>114300</xdr:rowOff>
    </xdr:from>
    <xdr:to>
      <xdr:col>5</xdr:col>
      <xdr:colOff>101600</xdr:colOff>
      <xdr:row>50</xdr:row>
      <xdr:rowOff>101600</xdr:rowOff>
    </xdr:to>
    <xdr:graphicFrame macro="">
      <xdr:nvGraphicFramePr>
        <xdr:cNvPr id="1548258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38100</xdr:colOff>
      <xdr:row>34</xdr:row>
      <xdr:rowOff>12700</xdr:rowOff>
    </xdr:from>
    <xdr:to>
      <xdr:col>16</xdr:col>
      <xdr:colOff>25400</xdr:colOff>
      <xdr:row>51</xdr:row>
      <xdr:rowOff>0</xdr:rowOff>
    </xdr:to>
    <xdr:graphicFrame macro="">
      <xdr:nvGraphicFramePr>
        <xdr:cNvPr id="15482590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16</xdr:col>
      <xdr:colOff>88900</xdr:colOff>
      <xdr:row>34</xdr:row>
      <xdr:rowOff>25400</xdr:rowOff>
    </xdr:from>
    <xdr:to>
      <xdr:col>21</xdr:col>
      <xdr:colOff>76200</xdr:colOff>
      <xdr:row>51</xdr:row>
      <xdr:rowOff>25400</xdr:rowOff>
    </xdr:to>
    <xdr:graphicFrame macro="">
      <xdr:nvGraphicFramePr>
        <xdr:cNvPr id="15482591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12700</xdr:rowOff>
    </xdr:from>
    <xdr:to>
      <xdr:col>10</xdr:col>
      <xdr:colOff>393700</xdr:colOff>
      <xdr:row>33</xdr:row>
      <xdr:rowOff>0</xdr:rowOff>
    </xdr:to>
    <xdr:graphicFrame macro="">
      <xdr:nvGraphicFramePr>
        <xdr:cNvPr id="1634546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190500</xdr:colOff>
      <xdr:row>3</xdr:row>
      <xdr:rowOff>12700</xdr:rowOff>
    </xdr:from>
    <xdr:to>
      <xdr:col>16</xdr:col>
      <xdr:colOff>228600</xdr:colOff>
      <xdr:row>35</xdr:row>
      <xdr:rowOff>165100</xdr:rowOff>
    </xdr:to>
    <xdr:graphicFrame macro="">
      <xdr:nvGraphicFramePr>
        <xdr:cNvPr id="16345470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0</xdr:colOff>
      <xdr:row>3</xdr:row>
      <xdr:rowOff>0</xdr:rowOff>
    </xdr:from>
    <xdr:to>
      <xdr:col>21</xdr:col>
      <xdr:colOff>381000</xdr:colOff>
      <xdr:row>33</xdr:row>
      <xdr:rowOff>12700</xdr:rowOff>
    </xdr:to>
    <xdr:graphicFrame macro="">
      <xdr:nvGraphicFramePr>
        <xdr:cNvPr id="16345471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3</xdr:row>
      <xdr:rowOff>0</xdr:rowOff>
    </xdr:from>
    <xdr:to>
      <xdr:col>5</xdr:col>
      <xdr:colOff>25400</xdr:colOff>
      <xdr:row>33</xdr:row>
      <xdr:rowOff>0</xdr:rowOff>
    </xdr:to>
    <xdr:graphicFrame macro="">
      <xdr:nvGraphicFramePr>
        <xdr:cNvPr id="16345472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520700</xdr:colOff>
      <xdr:row>55</xdr:row>
      <xdr:rowOff>165100</xdr:rowOff>
    </xdr:from>
    <xdr:to>
      <xdr:col>19</xdr:col>
      <xdr:colOff>127000</xdr:colOff>
      <xdr:row>80</xdr:row>
      <xdr:rowOff>88900</xdr:rowOff>
    </xdr:to>
    <xdr:graphicFrame macro="">
      <xdr:nvGraphicFramePr>
        <xdr:cNvPr id="16345473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596900</xdr:colOff>
      <xdr:row>81</xdr:row>
      <xdr:rowOff>12700</xdr:rowOff>
    </xdr:from>
    <xdr:to>
      <xdr:col>17</xdr:col>
      <xdr:colOff>635000</xdr:colOff>
      <xdr:row>104</xdr:row>
      <xdr:rowOff>0</xdr:rowOff>
    </xdr:to>
    <xdr:graphicFrame macro="">
      <xdr:nvGraphicFramePr>
        <xdr:cNvPr id="16345474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139700</xdr:colOff>
      <xdr:row>109</xdr:row>
      <xdr:rowOff>63500</xdr:rowOff>
    </xdr:from>
    <xdr:to>
      <xdr:col>16</xdr:col>
      <xdr:colOff>177800</xdr:colOff>
      <xdr:row>129</xdr:row>
      <xdr:rowOff>101600</xdr:rowOff>
    </xdr:to>
    <xdr:graphicFrame macro="">
      <xdr:nvGraphicFramePr>
        <xdr:cNvPr id="1634547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12700</xdr:rowOff>
    </xdr:from>
    <xdr:to>
      <xdr:col>10</xdr:col>
      <xdr:colOff>393700</xdr:colOff>
      <xdr:row>33</xdr:row>
      <xdr:rowOff>0</xdr:rowOff>
    </xdr:to>
    <xdr:graphicFrame macro="">
      <xdr:nvGraphicFramePr>
        <xdr:cNvPr id="15498604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381000</xdr:colOff>
      <xdr:row>3</xdr:row>
      <xdr:rowOff>12700</xdr:rowOff>
    </xdr:from>
    <xdr:to>
      <xdr:col>16</xdr:col>
      <xdr:colOff>12700</xdr:colOff>
      <xdr:row>33</xdr:row>
      <xdr:rowOff>12700</xdr:rowOff>
    </xdr:to>
    <xdr:graphicFrame macro="">
      <xdr:nvGraphicFramePr>
        <xdr:cNvPr id="15498605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0</xdr:colOff>
      <xdr:row>3</xdr:row>
      <xdr:rowOff>0</xdr:rowOff>
    </xdr:from>
    <xdr:to>
      <xdr:col>21</xdr:col>
      <xdr:colOff>381000</xdr:colOff>
      <xdr:row>33</xdr:row>
      <xdr:rowOff>12700</xdr:rowOff>
    </xdr:to>
    <xdr:graphicFrame macro="">
      <xdr:nvGraphicFramePr>
        <xdr:cNvPr id="15498606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3</xdr:row>
      <xdr:rowOff>0</xdr:rowOff>
    </xdr:from>
    <xdr:to>
      <xdr:col>5</xdr:col>
      <xdr:colOff>25400</xdr:colOff>
      <xdr:row>33</xdr:row>
      <xdr:rowOff>0</xdr:rowOff>
    </xdr:to>
    <xdr:graphicFrame macro="">
      <xdr:nvGraphicFramePr>
        <xdr:cNvPr id="15498607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165100</xdr:colOff>
      <xdr:row>72</xdr:row>
      <xdr:rowOff>114300</xdr:rowOff>
    </xdr:from>
    <xdr:to>
      <xdr:col>15</xdr:col>
      <xdr:colOff>63500</xdr:colOff>
      <xdr:row>103</xdr:row>
      <xdr:rowOff>38100</xdr:rowOff>
    </xdr:to>
    <xdr:graphicFrame macro="">
      <xdr:nvGraphicFramePr>
        <xdr:cNvPr id="15503724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571500</xdr:colOff>
      <xdr:row>72</xdr:row>
      <xdr:rowOff>127000</xdr:rowOff>
    </xdr:from>
    <xdr:to>
      <xdr:col>29</xdr:col>
      <xdr:colOff>419100</xdr:colOff>
      <xdr:row>103</xdr:row>
      <xdr:rowOff>63500</xdr:rowOff>
    </xdr:to>
    <xdr:graphicFrame macro="">
      <xdr:nvGraphicFramePr>
        <xdr:cNvPr id="15503725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63500</xdr:colOff>
      <xdr:row>104</xdr:row>
      <xdr:rowOff>38100</xdr:rowOff>
    </xdr:from>
    <xdr:to>
      <xdr:col>18</xdr:col>
      <xdr:colOff>228600</xdr:colOff>
      <xdr:row>132</xdr:row>
      <xdr:rowOff>76200</xdr:rowOff>
    </xdr:to>
    <xdr:graphicFrame macro="">
      <xdr:nvGraphicFramePr>
        <xdr:cNvPr id="15503726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30</xdr:col>
      <xdr:colOff>25400</xdr:colOff>
      <xdr:row>73</xdr:row>
      <xdr:rowOff>12700</xdr:rowOff>
    </xdr:from>
    <xdr:to>
      <xdr:col>43</xdr:col>
      <xdr:colOff>533400</xdr:colOff>
      <xdr:row>103</xdr:row>
      <xdr:rowOff>50800</xdr:rowOff>
    </xdr:to>
    <xdr:graphicFrame macro="">
      <xdr:nvGraphicFramePr>
        <xdr:cNvPr id="15503727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M269"/>
  <sheetViews>
    <sheetView showGridLines="0" workbookViewId="0">
      <pane xSplit="1" ySplit="2" topLeftCell="B29" activePane="bottomRight" state="frozen"/>
      <selection pane="topRight" activeCell="B1" sqref="B1"/>
      <selection pane="bottomLeft" activeCell="A3" sqref="A3"/>
      <selection pane="bottomRight" activeCell="B1" sqref="A1:B1"/>
    </sheetView>
  </sheetViews>
  <sheetFormatPr baseColWidth="10" defaultColWidth="8" defaultRowHeight="15" x14ac:dyDescent="0"/>
  <cols>
    <col min="1" max="1" width="21.7109375" style="4" customWidth="1"/>
    <col min="2" max="6" width="6.85546875" style="4" customWidth="1"/>
    <col min="7" max="7" width="6.5703125" style="4" customWidth="1"/>
    <col min="8" max="8" width="6.140625" style="4" customWidth="1"/>
    <col min="9" max="14" width="6.85546875" style="4" customWidth="1"/>
    <col min="15" max="33" width="8.42578125" style="4" customWidth="1"/>
    <col min="34" max="36" width="8" style="4" customWidth="1"/>
    <col min="37" max="37" width="9.28515625" style="4" customWidth="1"/>
    <col min="38" max="52" width="8" style="4" customWidth="1"/>
    <col min="53" max="53" width="9.28515625" style="4" customWidth="1"/>
    <col min="54" max="213" width="8" style="4" customWidth="1"/>
    <col min="214" max="214" width="1.42578125" style="4" customWidth="1"/>
    <col min="215" max="16384" width="8" style="4"/>
  </cols>
  <sheetData>
    <row r="1" spans="1:91" ht="18">
      <c r="A1" s="73" t="str">
        <f>Poor!A1</f>
        <v>ZA3XX: 59300</v>
      </c>
      <c r="B1" s="29" t="str">
        <f>Poor!B1</f>
        <v>Open Access cropping</v>
      </c>
      <c r="C1" s="2"/>
      <c r="D1" s="2"/>
      <c r="E1" s="2" t="s">
        <v>45</v>
      </c>
      <c r="F1" s="2"/>
      <c r="G1" s="2"/>
      <c r="H1" s="2" t="s">
        <v>0</v>
      </c>
      <c r="I1" s="2"/>
      <c r="J1" s="3"/>
      <c r="L1" s="2"/>
      <c r="O1" s="2"/>
      <c r="P1" s="2"/>
      <c r="Q1" s="2"/>
      <c r="R1" s="2"/>
      <c r="T1" s="2"/>
      <c r="U1" s="56"/>
      <c r="V1" s="56"/>
      <c r="W1" s="110"/>
      <c r="X1" s="114" t="s">
        <v>67</v>
      </c>
      <c r="Y1" s="115" t="s">
        <v>58</v>
      </c>
      <c r="Z1" s="256" t="str">
        <f>Poor!Z1</f>
        <v>Apr-Jun</v>
      </c>
      <c r="AA1" s="257"/>
      <c r="AB1" s="256" t="str">
        <f>Poor!AB1</f>
        <v>Jul-Sep</v>
      </c>
      <c r="AC1" s="257"/>
      <c r="AD1" s="256" t="str">
        <f>Poor!AD1</f>
        <v>Oct-Dec</v>
      </c>
      <c r="AE1" s="257"/>
      <c r="AF1" s="256" t="str">
        <f>Poor!AF1</f>
        <v>Jan-Mar</v>
      </c>
      <c r="AG1" s="257"/>
      <c r="AH1" s="117"/>
      <c r="AI1" s="110"/>
      <c r="AJ1" s="195" t="str">
        <f>LEFT(Z1,4) &amp; MID(AB1,5,3)</f>
        <v>Apr-Sep</v>
      </c>
      <c r="AK1" s="196" t="str">
        <f>LEFT(AD1,4) &amp; MID(AF1,5,3)</f>
        <v>Oct-Mar</v>
      </c>
      <c r="AS1" s="5"/>
      <c r="AZ1" s="5"/>
      <c r="BI1" s="5"/>
      <c r="BP1" s="5"/>
      <c r="BX1" s="5"/>
      <c r="CE1" s="5"/>
      <c r="CM1" s="6"/>
    </row>
    <row r="2" spans="1:91">
      <c r="A2" s="7" t="s">
        <v>1</v>
      </c>
      <c r="B2" s="14"/>
      <c r="C2" s="11"/>
      <c r="D2" s="10"/>
      <c r="E2" s="7" t="s">
        <v>2</v>
      </c>
      <c r="F2" s="11"/>
      <c r="G2" s="11"/>
      <c r="H2" s="12"/>
      <c r="I2" s="7" t="s">
        <v>3</v>
      </c>
      <c r="J2" s="13"/>
      <c r="K2" s="7" t="s">
        <v>4</v>
      </c>
      <c r="L2" s="11"/>
      <c r="M2" s="14"/>
      <c r="O2" s="2"/>
      <c r="P2" s="2"/>
      <c r="Q2" s="2"/>
      <c r="R2" s="2"/>
      <c r="T2" s="2"/>
      <c r="U2" s="56"/>
      <c r="V2" s="56"/>
      <c r="W2" s="110"/>
      <c r="X2" s="118" t="s">
        <v>59</v>
      </c>
      <c r="Y2" s="115" t="s">
        <v>60</v>
      </c>
      <c r="Z2" s="258" t="str">
        <f>Poor!Z2</f>
        <v>Q1</v>
      </c>
      <c r="AA2" s="259"/>
      <c r="AB2" s="258" t="str">
        <f>Poor!AB2</f>
        <v>Q2</v>
      </c>
      <c r="AC2" s="259"/>
      <c r="AD2" s="258" t="str">
        <f>Poor!AD2</f>
        <v>Q3</v>
      </c>
      <c r="AE2" s="259"/>
      <c r="AF2" s="258" t="str">
        <f>Poor!AF2</f>
        <v>Q4</v>
      </c>
      <c r="AG2" s="259"/>
      <c r="AH2" s="117"/>
      <c r="AI2" s="110"/>
      <c r="AJ2" s="197" t="str">
        <f>Poor!AJ2</f>
        <v>H1</v>
      </c>
      <c r="AK2" s="198" t="str">
        <f>Poor!AK2</f>
        <v>H2</v>
      </c>
      <c r="CM2" s="6"/>
    </row>
    <row r="3" spans="1:91">
      <c r="A3" s="73" t="s">
        <v>52</v>
      </c>
      <c r="B3" s="2"/>
      <c r="C3" s="19"/>
      <c r="D3" s="16"/>
      <c r="E3" s="2"/>
      <c r="F3" s="2"/>
      <c r="H3" s="17"/>
      <c r="I3" s="2"/>
      <c r="J3" s="18"/>
      <c r="L3" s="2"/>
      <c r="O3" s="3" t="s">
        <v>6</v>
      </c>
      <c r="P3" s="19"/>
      <c r="Q3" s="56" t="s">
        <v>68</v>
      </c>
      <c r="R3" s="56"/>
      <c r="S3" s="67"/>
      <c r="T3" s="56"/>
      <c r="U3" s="56"/>
      <c r="V3" s="56"/>
      <c r="W3" s="110"/>
      <c r="X3" s="118"/>
      <c r="Y3" s="115" t="s">
        <v>61</v>
      </c>
      <c r="Z3" s="120"/>
      <c r="AA3" s="119"/>
      <c r="AB3" s="120"/>
      <c r="AC3" s="119"/>
      <c r="AD3" s="120"/>
      <c r="AE3" s="119"/>
      <c r="AF3" s="120"/>
      <c r="AG3" s="119"/>
      <c r="AH3" s="117"/>
      <c r="AI3" s="110"/>
      <c r="AJ3" s="120"/>
      <c r="AK3" s="119"/>
      <c r="AU3" s="21"/>
      <c r="AV3" s="21"/>
      <c r="AW3" s="21"/>
      <c r="AX3" s="21"/>
      <c r="AY3" s="20"/>
      <c r="BB3" s="21"/>
      <c r="BC3" s="21"/>
      <c r="BD3" s="21"/>
      <c r="BE3" s="21"/>
      <c r="BF3" s="21"/>
      <c r="BK3" s="21"/>
      <c r="BL3" s="21"/>
      <c r="BM3" s="21"/>
      <c r="BN3" s="21"/>
      <c r="BO3" s="20"/>
      <c r="BR3" s="21"/>
      <c r="BS3" s="21"/>
      <c r="BT3" s="21"/>
      <c r="BU3" s="21"/>
      <c r="BV3" s="21"/>
      <c r="BZ3" s="21"/>
      <c r="CA3" s="21"/>
      <c r="CB3" s="21"/>
      <c r="CC3" s="21"/>
      <c r="CD3" s="20"/>
      <c r="CG3" s="21"/>
      <c r="CH3" s="21"/>
      <c r="CI3" s="21"/>
      <c r="CJ3" s="21"/>
      <c r="CK3" s="21"/>
      <c r="CM3" s="6"/>
    </row>
    <row r="4" spans="1:91" ht="14" customHeight="1">
      <c r="A4" s="2"/>
      <c r="B4" s="19" t="s">
        <v>7</v>
      </c>
      <c r="C4" s="19" t="s">
        <v>8</v>
      </c>
      <c r="D4" s="16" t="s">
        <v>9</v>
      </c>
      <c r="E4" s="19" t="s">
        <v>10</v>
      </c>
      <c r="F4" s="2" t="s">
        <v>11</v>
      </c>
      <c r="H4" s="16" t="s">
        <v>12</v>
      </c>
      <c r="I4" s="19" t="s">
        <v>13</v>
      </c>
      <c r="J4" s="16" t="s">
        <v>14</v>
      </c>
      <c r="K4" s="19" t="s">
        <v>7</v>
      </c>
      <c r="L4" s="19" t="s">
        <v>15</v>
      </c>
      <c r="M4" s="19" t="str">
        <f>(J4)</f>
        <v>Curr.</v>
      </c>
      <c r="O4" s="19" t="s">
        <v>7</v>
      </c>
      <c r="P4" s="19"/>
      <c r="Q4" s="56" t="s">
        <v>69</v>
      </c>
      <c r="R4" s="56"/>
      <c r="S4" s="29"/>
      <c r="T4" s="56"/>
      <c r="U4" s="56"/>
      <c r="V4" s="56"/>
      <c r="W4" s="110"/>
      <c r="X4" s="118"/>
      <c r="Y4" s="115" t="s">
        <v>62</v>
      </c>
      <c r="Z4" s="120"/>
      <c r="AA4" s="119"/>
      <c r="AB4" s="120"/>
      <c r="AC4" s="119"/>
      <c r="AD4" s="120"/>
      <c r="AE4" s="119"/>
      <c r="AF4" s="120"/>
      <c r="AG4" s="119"/>
      <c r="AH4" s="117"/>
      <c r="AI4" s="110"/>
      <c r="AJ4" s="120"/>
      <c r="AK4" s="119"/>
      <c r="AU4" s="21"/>
      <c r="AV4" s="21"/>
      <c r="AW4" s="21"/>
      <c r="AX4" s="21"/>
      <c r="AY4" s="20"/>
      <c r="BB4" s="21"/>
      <c r="BC4" s="21"/>
      <c r="BD4" s="21"/>
      <c r="BE4" s="21"/>
      <c r="BF4" s="21"/>
      <c r="BK4" s="21"/>
      <c r="BL4" s="21"/>
      <c r="BM4" s="21"/>
      <c r="BN4" s="21"/>
      <c r="BO4" s="20"/>
      <c r="BR4" s="21"/>
      <c r="BS4" s="21"/>
      <c r="BT4" s="21"/>
      <c r="BU4" s="21"/>
      <c r="BV4" s="21"/>
      <c r="BZ4" s="21"/>
      <c r="CA4" s="21"/>
      <c r="CB4" s="21"/>
      <c r="CC4" s="21"/>
      <c r="CD4" s="20"/>
      <c r="CG4" s="21"/>
      <c r="CH4" s="21"/>
      <c r="CI4" s="21"/>
      <c r="CJ4" s="21"/>
      <c r="CK4" s="21"/>
      <c r="CM4" s="6"/>
    </row>
    <row r="5" spans="1:91" ht="14" customHeight="1">
      <c r="A5" s="2"/>
      <c r="B5" s="19" t="s">
        <v>16</v>
      </c>
      <c r="C5" s="19" t="s">
        <v>17</v>
      </c>
      <c r="D5" s="16" t="s">
        <v>16</v>
      </c>
      <c r="E5" s="19" t="s">
        <v>18</v>
      </c>
      <c r="F5" s="56" t="s">
        <v>129</v>
      </c>
      <c r="H5" s="16" t="s">
        <v>18</v>
      </c>
      <c r="I5" s="19" t="s">
        <v>16</v>
      </c>
      <c r="J5" s="16" t="s">
        <v>16</v>
      </c>
      <c r="K5" s="19" t="s">
        <v>16</v>
      </c>
      <c r="L5" s="19" t="s">
        <v>19</v>
      </c>
      <c r="M5" s="23" t="str">
        <f>(J5)</f>
        <v>Access</v>
      </c>
      <c r="O5" s="2" t="s">
        <v>20</v>
      </c>
      <c r="P5" s="19"/>
      <c r="Q5" s="56"/>
      <c r="R5" s="56"/>
      <c r="S5" s="29"/>
      <c r="T5" s="56"/>
      <c r="U5" s="56"/>
      <c r="V5" s="56"/>
      <c r="W5" s="110"/>
      <c r="X5" s="118"/>
      <c r="Y5" s="115"/>
      <c r="Z5" s="120"/>
      <c r="AA5" s="119"/>
      <c r="AB5" s="120"/>
      <c r="AC5" s="119"/>
      <c r="AD5" s="120"/>
      <c r="AE5" s="119"/>
      <c r="AF5" s="120"/>
      <c r="AG5" s="119"/>
      <c r="AH5" s="117"/>
      <c r="AI5" s="110"/>
      <c r="AJ5" s="120"/>
      <c r="AK5" s="119"/>
      <c r="AV5" s="21"/>
      <c r="AW5" s="21"/>
      <c r="AX5" s="21"/>
      <c r="BC5" s="21"/>
      <c r="BD5" s="21"/>
      <c r="BE5" s="21"/>
      <c r="BL5" s="21"/>
      <c r="BM5" s="21"/>
      <c r="BN5" s="21"/>
      <c r="BS5" s="21"/>
      <c r="BT5" s="21"/>
      <c r="BU5" s="21"/>
      <c r="CA5" s="21"/>
      <c r="CB5" s="21"/>
      <c r="CC5" s="21"/>
      <c r="CH5" s="21"/>
      <c r="CI5" s="21"/>
      <c r="CJ5" s="21"/>
    </row>
    <row r="6" spans="1:91" ht="14" customHeight="1">
      <c r="A6" s="74" t="str">
        <f>IF(Poor!A6=0,"",Poor!A6)</f>
        <v>Cows' milk - season 1</v>
      </c>
      <c r="B6" s="215">
        <v>2.0855790784557907E-2</v>
      </c>
      <c r="C6" s="215">
        <v>0</v>
      </c>
      <c r="D6" s="24">
        <f t="shared" ref="D6:D28" si="0">(B6+C6)</f>
        <v>2.0855790784557907E-2</v>
      </c>
      <c r="E6" s="75">
        <f>Poor!E6</f>
        <v>0.5</v>
      </c>
      <c r="F6" s="2" t="s">
        <v>21</v>
      </c>
      <c r="H6" s="24">
        <f t="shared" ref="H6:H29" si="1">(E6*F$7/F$9)</f>
        <v>0.5</v>
      </c>
      <c r="I6" s="22">
        <f t="shared" ref="I6:I29" si="2">(D6*H6)</f>
        <v>1.0427895392278954E-2</v>
      </c>
      <c r="J6" s="24">
        <f t="shared" ref="J6:J13" si="3">IF(I$32&lt;=1+I$131,I6,B6*H6+J$33*(I6-B6*H6))</f>
        <v>1.0427895392278954E-2</v>
      </c>
      <c r="K6" s="22">
        <f t="shared" ref="K6:K31" si="4">B6</f>
        <v>2.0855790784557907E-2</v>
      </c>
      <c r="L6" s="22">
        <f t="shared" ref="L6:L29" si="5">IF(K6="","",K6*H6)</f>
        <v>1.0427895392278954E-2</v>
      </c>
      <c r="M6" s="177">
        <f t="shared" ref="M6:M31" si="6">J6</f>
        <v>1.0427895392278954E-2</v>
      </c>
      <c r="N6" s="229">
        <v>3</v>
      </c>
      <c r="O6" s="22" t="s">
        <v>22</v>
      </c>
      <c r="P6" s="22"/>
      <c r="Q6" s="56"/>
      <c r="R6" s="70" t="s">
        <v>7</v>
      </c>
      <c r="S6" s="70" t="s">
        <v>70</v>
      </c>
      <c r="T6" s="70" t="s">
        <v>22</v>
      </c>
      <c r="U6" s="56"/>
      <c r="V6" s="56"/>
      <c r="W6" s="115"/>
      <c r="X6" s="118"/>
      <c r="Y6" s="183">
        <f>M6*4</f>
        <v>4.1711581569115815E-2</v>
      </c>
      <c r="Z6" s="156">
        <f>Poor!Z6</f>
        <v>0.17</v>
      </c>
      <c r="AA6" s="121">
        <f>$M6*Z6*4</f>
        <v>7.090968866749689E-3</v>
      </c>
      <c r="AB6" s="156">
        <f>Poor!AB6</f>
        <v>0.17</v>
      </c>
      <c r="AC6" s="121">
        <f t="shared" ref="AC6:AC29" si="7">$M6*AB6*4</f>
        <v>7.090968866749689E-3</v>
      </c>
      <c r="AD6" s="156">
        <f>Poor!AD6</f>
        <v>0.33</v>
      </c>
      <c r="AE6" s="121">
        <f t="shared" ref="AE6:AE29" si="8">$M6*AD6*4</f>
        <v>1.376482191780822E-2</v>
      </c>
      <c r="AF6" s="122">
        <f>1-SUM(Z6,AB6,AD6)</f>
        <v>0.32999999999999996</v>
      </c>
      <c r="AG6" s="121">
        <f>$M6*AF6*4</f>
        <v>1.3764821917808217E-2</v>
      </c>
      <c r="AH6" s="123">
        <f>SUM(Z6,AB6,AD6,AF6)</f>
        <v>1</v>
      </c>
      <c r="AI6" s="183">
        <f>SUM(AA6,AC6,AE6,AG6)/4</f>
        <v>1.0427895392278954E-2</v>
      </c>
      <c r="AJ6" s="120">
        <f>(AA6+AC6)/2</f>
        <v>7.090968866749689E-3</v>
      </c>
      <c r="AK6" s="119">
        <f>(AE6+AG6)/2</f>
        <v>1.3764821917808218E-2</v>
      </c>
      <c r="AS6" s="25"/>
      <c r="AT6" s="25"/>
      <c r="AU6" s="25"/>
      <c r="AV6" s="25"/>
      <c r="AW6" s="25"/>
      <c r="AX6" s="25"/>
      <c r="AZ6" s="25"/>
      <c r="BA6" s="25"/>
      <c r="BB6" s="25"/>
      <c r="BC6" s="25"/>
      <c r="BD6" s="25"/>
      <c r="BE6" s="25"/>
      <c r="BF6" s="25"/>
      <c r="BI6" s="25"/>
      <c r="BJ6" s="25"/>
      <c r="BK6" s="25"/>
      <c r="BL6" s="25"/>
      <c r="BM6" s="25"/>
      <c r="BN6" s="25"/>
      <c r="BP6" s="25"/>
      <c r="BQ6" s="25"/>
      <c r="BR6" s="25"/>
      <c r="BS6" s="25"/>
      <c r="BT6" s="25"/>
      <c r="BU6" s="25"/>
      <c r="BV6" s="25"/>
      <c r="BX6" s="25"/>
      <c r="BY6" s="25"/>
      <c r="BZ6" s="25"/>
      <c r="CA6" s="25"/>
      <c r="CB6" s="25"/>
      <c r="CC6" s="25"/>
      <c r="CE6" s="25"/>
      <c r="CF6" s="25"/>
      <c r="CG6" s="25"/>
      <c r="CH6" s="25"/>
      <c r="CI6" s="25"/>
      <c r="CJ6" s="25"/>
      <c r="CK6" s="25"/>
    </row>
    <row r="7" spans="1:91" ht="14" customHeight="1">
      <c r="A7" s="74" t="str">
        <f>IF(Poor!A7=0,"",Poor!A7)</f>
        <v>Cows' milk - season 2</v>
      </c>
      <c r="B7" s="215">
        <v>0</v>
      </c>
      <c r="C7" s="215">
        <v>0</v>
      </c>
      <c r="D7" s="24">
        <f t="shared" si="0"/>
        <v>0</v>
      </c>
      <c r="E7" s="75">
        <f>Poor!E7</f>
        <v>0.5</v>
      </c>
      <c r="F7" s="27">
        <v>8800</v>
      </c>
      <c r="H7" s="24">
        <f t="shared" si="1"/>
        <v>0.5</v>
      </c>
      <c r="I7" s="22">
        <f t="shared" si="2"/>
        <v>0</v>
      </c>
      <c r="J7" s="24">
        <f t="shared" si="3"/>
        <v>0</v>
      </c>
      <c r="K7" s="22">
        <f t="shared" si="4"/>
        <v>0</v>
      </c>
      <c r="L7" s="22">
        <f t="shared" si="5"/>
        <v>0</v>
      </c>
      <c r="M7" s="177">
        <f t="shared" si="6"/>
        <v>0</v>
      </c>
      <c r="N7" s="229">
        <v>3</v>
      </c>
      <c r="O7" s="2"/>
      <c r="P7" s="22"/>
      <c r="Q7" s="59" t="s">
        <v>71</v>
      </c>
      <c r="R7" s="222">
        <f>IF($B$81=0,0,(SUMIF($N$6:$N$28,$U7,K$6:K$28)+SUMIF($N$91:$N$118,$U7,K$91:K$118))*$B$83*$H$84*Poor!$B$81/$B$81)</f>
        <v>3455.8792739655614</v>
      </c>
      <c r="S7" s="222">
        <f>IF($B$81=0,0,(SUMIF($N$6:$N$28,$U7,L$6:L$28)+SUMIF($N$91:$N$118,$U7,L$91:L$118))*$I$83*Poor!$B$81/$B$81)</f>
        <v>4063.8872051995622</v>
      </c>
      <c r="T7" s="222">
        <f>IF($B$81=0,0,(SUMIF($N$6:$N$28,$U7,M$6:M$28)+SUMIF($N$91:$N$118,$U7,M$91:M$118))*$I$83*Poor!$B$81/$B$81)</f>
        <v>4523.7126263254277</v>
      </c>
      <c r="U7" s="223">
        <v>1</v>
      </c>
      <c r="V7" s="56"/>
      <c r="W7" s="115"/>
      <c r="X7" s="118">
        <f>Poor!X7</f>
        <v>4</v>
      </c>
      <c r="Y7" s="183">
        <f t="shared" ref="Y7:Y29" si="9">M7*4</f>
        <v>0</v>
      </c>
      <c r="Z7" s="125">
        <f>IF($Y7=0,0,AA7/$Y7)</f>
        <v>0</v>
      </c>
      <c r="AA7" s="121">
        <f>IF($X7=1,IF(SUM(AA$6,AA$12:AA$29)&lt;1,IF((1-SUM(AA$6,AA$12:AA$29))*$M7/SUM($M$7*IF($X$7=1,1,0),$M$8*IF($X$8=1,1,0),$M$9*IF($X$9=1,1,0),$M$10*IF($X$10=1,1,0),$M$11*IF($X$11=1,1,0))&lt;Y7,(1-SUM(AA$6,AA$12:AA$29))*$M7/SUM($M$7*IF($X$7=1,1,0),$M$8*IF($X$8=1,1,0),$M$9*IF($X$9=1,1,0),$M$10*IF($X$10=1,1,0),$M$11*IF($X$11=1,1,0)),Y7),0),0)</f>
        <v>0</v>
      </c>
      <c r="AB7" s="125">
        <f>IF($Y7=0,0,AC7/$Y7)</f>
        <v>0</v>
      </c>
      <c r="AC7" s="121">
        <f>IF($X7&lt;3,IF(SUM(AC$6,AC$12:AC$29)&lt;1,IF(SUM(AC$6,AC$12:AC$29)+SUM((Y$7-AA$7)*IF($X$7&lt;3,1,0),(Y$8-AA$8)*IF($X$8&lt;3,1,0),(Y$9-AA$9)*IF($X$9&lt;3,1,0),(Y$10-AA$10)*IF($X$10&lt;3,1,0),(Y$11-AA$11)*IF($X$11&lt;3,1,0))&lt;1,Y7-AA7,IF((1-SUM(AC$6,AC$12:AC$29))*$M7/SUM($M$7*IF($X$7&lt;3,1,0),$M$8*IF($X$8&lt;3,1,0),$M$9*IF($X$9&lt;3,1,0),$M$10*IF($X$10&lt;3,1,0),$M$11*IF($X$11&lt;3,1,0))&lt;Y7-AA7,(1-SUM(AC$6,AC$12:AC$29))*$M7/SUM($M$7*IF($X$7&lt;3,1,0),$M$8*IF($X$8&lt;3,1,0),$M$9*IF($X$9&lt;3,1,0),$M$10*IF($X$10&lt;3,1,0),$M$11*IF($X$11&lt;3,1,0)),Y7-AA7)),0),0)</f>
        <v>0</v>
      </c>
      <c r="AD7" s="125">
        <f>IF($Y7=0,0,AE7/$Y7)</f>
        <v>0</v>
      </c>
      <c r="AE7" s="121">
        <f>IF($X7&lt;4,IF(SUM(AE$6:AE$6,AE$12:AE$29)&lt;1,IF(SUM(AE$6:AE$6,AE$12:AE$29)+SUM((Y$7-AA$7-AC$7)*IF($X$7&lt;3,1,0),(Y$8-AA$8-AC$8)*IF($X$8&lt;3,1,0),(Y$9-AA$9-AC$9)*IF($X$9&lt;3,1,0),(Y$10-AA$10-AC$10)*IF($X$10&lt;3,1,0),(Y$11-AA$11-AC$11)*IF($X$11&lt;3,1,0))&lt;1,Y7-AA7-AC7,IF((1-SUM(AE$6:AE$6,AE$12:AE$29))*$M7/SUM($M$7*IF($X$7&lt;4,1,0),$M$8*IF($X$8&lt;4,1,0),$M$9*IF($X$9&lt;4,1,0),$M$10*IF($X$10&lt;4,1,0),$M$11*IF($X$11&lt;4,1,0))&lt;Y7-AA7-AC7,(1-SUM(AE$6:AE$6,AE$12:AE$29))*$M7/SUM($M$7*IF($X$7&lt;4,1,0),$M$8*IF($X$8&lt;4,1,0),$M$9*IF($X$9&lt;4,1,0),$M$10*IF($X$10&lt;4,1,0),$M$11*IF($X$11&lt;4,1,0)),Y7-AA7-AC7)),0),0)</f>
        <v>0</v>
      </c>
      <c r="AF7" s="122">
        <f t="shared" ref="AF7:AF29" si="10">1-SUM(Z7,AB7,AD7)</f>
        <v>1</v>
      </c>
      <c r="AG7" s="121">
        <f t="shared" ref="AG7:AG29" si="11">$M7*AF7*4</f>
        <v>0</v>
      </c>
      <c r="AH7" s="123">
        <f t="shared" ref="AH7:AH30" si="12">SUM(Z7,AB7,AD7,AF7)</f>
        <v>1</v>
      </c>
      <c r="AI7" s="183">
        <f t="shared" ref="AI7:AI30" si="13">SUM(AA7,AC7,AE7,AG7)/4</f>
        <v>0</v>
      </c>
      <c r="AJ7" s="120">
        <f t="shared" ref="AJ7:AJ31" si="14">(AA7+AC7)/2</f>
        <v>0</v>
      </c>
      <c r="AK7" s="119">
        <f t="shared" ref="AK7:AK31" si="15">(AE7+AG7)/2</f>
        <v>0</v>
      </c>
      <c r="AS7" s="25"/>
      <c r="AT7" s="25"/>
      <c r="AU7" s="25"/>
      <c r="AV7" s="25"/>
      <c r="AW7" s="25"/>
      <c r="AX7" s="25"/>
      <c r="AZ7" s="25"/>
      <c r="BA7" s="25"/>
      <c r="BB7" s="25"/>
      <c r="BC7" s="25"/>
      <c r="BD7" s="25"/>
      <c r="BE7" s="25"/>
      <c r="BF7" s="25"/>
      <c r="BI7" s="25"/>
      <c r="BJ7" s="25"/>
      <c r="BK7" s="25"/>
      <c r="BL7" s="25"/>
      <c r="BM7" s="25"/>
      <c r="BN7" s="25"/>
      <c r="BP7" s="25"/>
      <c r="BQ7" s="25"/>
      <c r="BR7" s="25"/>
      <c r="BS7" s="25"/>
      <c r="BT7" s="25"/>
      <c r="BU7" s="25"/>
      <c r="BV7" s="25"/>
      <c r="BX7" s="25"/>
      <c r="BY7" s="25"/>
      <c r="BZ7" s="25"/>
      <c r="CA7" s="25"/>
      <c r="CB7" s="25"/>
      <c r="CC7" s="25"/>
      <c r="CE7" s="25"/>
      <c r="CF7" s="25"/>
      <c r="CG7" s="25"/>
      <c r="CH7" s="25"/>
      <c r="CI7" s="25"/>
      <c r="CJ7" s="25"/>
      <c r="CK7" s="25"/>
    </row>
    <row r="8" spans="1:91" ht="14" customHeight="1">
      <c r="A8" s="74" t="str">
        <f>IF(Poor!A8=0,"",Poor!A8)</f>
        <v>Own meat</v>
      </c>
      <c r="B8" s="215">
        <v>1.7017745952677462E-2</v>
      </c>
      <c r="C8" s="215">
        <v>0</v>
      </c>
      <c r="D8" s="24">
        <f t="shared" si="0"/>
        <v>1.7017745952677462E-2</v>
      </c>
      <c r="E8" s="75">
        <f>Poor!E8</f>
        <v>0.5</v>
      </c>
      <c r="F8" s="22" t="s">
        <v>23</v>
      </c>
      <c r="H8" s="24">
        <f t="shared" si="1"/>
        <v>0.5</v>
      </c>
      <c r="I8" s="22">
        <f t="shared" si="2"/>
        <v>8.508872976338731E-3</v>
      </c>
      <c r="J8" s="24">
        <f t="shared" si="3"/>
        <v>8.508872976338731E-3</v>
      </c>
      <c r="K8" s="22">
        <f t="shared" si="4"/>
        <v>1.7017745952677462E-2</v>
      </c>
      <c r="L8" s="22">
        <f t="shared" si="5"/>
        <v>8.508872976338731E-3</v>
      </c>
      <c r="M8" s="224">
        <f t="shared" si="6"/>
        <v>8.508872976338731E-3</v>
      </c>
      <c r="N8" s="229">
        <v>3</v>
      </c>
      <c r="O8" s="2"/>
      <c r="P8" s="22"/>
      <c r="Q8" s="59" t="s">
        <v>72</v>
      </c>
      <c r="R8" s="222">
        <f>IF($B$81=0,0,(SUMIF($N$6:$N$28,$U8,K$6:K$28)+SUMIF($N$91:$N$118,$U8,K$91:K$118))*$B$83*$H$84*Poor!$B$81/$B$81)</f>
        <v>1172.1426801018094</v>
      </c>
      <c r="S8" s="222">
        <f>IF($B$81=0,0,(SUMIF($N$6:$N$28,$U8,L$6:L$28)+SUMIF($N$91:$N$118,$U8,L$91:L$118))*$I$83*Poor!$B$81/$B$81)</f>
        <v>1114.3999999999999</v>
      </c>
      <c r="T8" s="222">
        <f>IF($B$81=0,0,(SUMIF($N$6:$N$28,$U8,M$6:M$28)+SUMIF($N$91:$N$118,$U8,M$91:M$118))*$I$83*Poor!$B$81/$B$81)</f>
        <v>0</v>
      </c>
      <c r="U8" s="223">
        <v>2</v>
      </c>
      <c r="V8" s="56"/>
      <c r="W8" s="115"/>
      <c r="X8" s="118">
        <f>Poor!X8</f>
        <v>1</v>
      </c>
      <c r="Y8" s="183">
        <f t="shared" si="9"/>
        <v>3.4035491905354924E-2</v>
      </c>
      <c r="Z8" s="125">
        <f>IF($Y8=0,0,AA8/$Y8)</f>
        <v>0.75676436657050716</v>
      </c>
      <c r="AA8" s="121">
        <f>IF($X8=1,IF(SUM(AA$6,AA$12:AA$29)&lt;1,IF((1-SUM(AA$6,AA$12:AA$29))*$M8/SUM($M$7*IF($X$7=1,1,0),$M$8*IF($X$8=1,1,0),$M$9*IF($X$9=1,1,0),$M$10*IF($X$10=1,1,0),$M$11*IF($X$11=1,1,0))&lt;Y8,(1-SUM(AA$6,AA$12:AA$29))*$M8/SUM($M$7*IF($X$7=1,1,0),$M$8*IF($X$8=1,1,0),$M$9*IF($X$9=1,1,0),$M$10*IF($X$10=1,1,0),$M$11*IF($X$11=1,1,0)),Y8),0),0)</f>
        <v>2.5756847472671544E-2</v>
      </c>
      <c r="AB8" s="125">
        <f>IF($Y8=0,0,AC8/$Y8)</f>
        <v>0.24323563342949281</v>
      </c>
      <c r="AC8" s="121">
        <f>IF($X8&lt;3,IF(SUM(AC$6,AC$12:AC$29)&lt;1,IF(SUM(AC$6,AC$12:AC$29)+SUM((Y$7-AA$7)*IF($X$7&lt;3,1,0),(Y$8-AA$8)*IF($X$8&lt;3,1,0),(Y$9-AA$9)*IF($X$9&lt;3,1,0),(Y$10-AA$10)*IF($X$10&lt;3,1,0),(Y$11-AA$11)*IF($X$11&lt;3,1,0))&lt;1,Y8-AA8,IF((1-SUM(AC$6,AC$12:AC$29))*$M8/SUM($M$7*IF($X$7&lt;3,1,0),$M$8*IF($X$8&lt;3,1,0),$M$9*IF($X$9&lt;3,1,0),$M$10*IF($X$10&lt;3,1,0),$M$11*IF($X$11&lt;3,1,0))&lt;Y8-AA8,(1-SUM(AC$6,AC$12:AC$29))*$M8/SUM($M$7*IF($X$7&lt;3,1,0),$M$8*IF($X$8&lt;3,1,0),$M$9*IF($X$9&lt;3,1,0),$M$10*IF($X$10&lt;3,1,0),$M$11*IF($X$11&lt;3,1,0)),Y8-AA8)),0),0)</f>
        <v>8.2786444326833804E-3</v>
      </c>
      <c r="AD8" s="125">
        <f>IF($Y8=0,0,AE8/$Y8)</f>
        <v>0</v>
      </c>
      <c r="AE8" s="121">
        <f>IF($X8&lt;4,IF(SUM(AE$6:AE$6,AE$12:AE$29)&lt;1,IF(SUM(AE$6:AE$6,AE$12:AE$29)+SUM((Y$7-AA$7-AC$7)*IF($X$7&lt;3,1,0),(Y$8-AA$8-AC$8)*IF($X$8&lt;3,1,0),(Y$9-AA$9-AC$9)*IF($X$9&lt;3,1,0),(Y$10-AA$10-AC$10)*IF($X$10&lt;3,1,0),(Y$11-AA$11-AC$11)*IF($X$11&lt;3,1,0))&lt;1,Y8-AA8-AC8,IF((1-SUM(AE$6:AE$6,AE$12:AE$29))*$M8/SUM($M$7*IF($X$7&lt;4,1,0),$M$8*IF($X$8&lt;4,1,0),$M$9*IF($X$9&lt;4,1,0),$M$10*IF($X$10&lt;4,1,0),$M$11*IF($X$11&lt;4,1,0))&lt;Y8-AA8-AC8,(1-SUM(AE$6:AE$6,AE$12:AE$29))*$M8/SUM($M$7*IF($X$7&lt;4,1,0),$M$8*IF($X$8&lt;4,1,0),$M$9*IF($X$9&lt;4,1,0),$M$10*IF($X$10&lt;4,1,0),$M$11*IF($X$11&lt;4,1,0)),Y8-AA8-AC8)),0),0)</f>
        <v>0</v>
      </c>
      <c r="AF8" s="122">
        <f t="shared" si="10"/>
        <v>0</v>
      </c>
      <c r="AG8" s="121">
        <f t="shared" si="11"/>
        <v>0</v>
      </c>
      <c r="AH8" s="123">
        <f t="shared" si="12"/>
        <v>1</v>
      </c>
      <c r="AI8" s="183">
        <f t="shared" si="13"/>
        <v>8.508872976338731E-3</v>
      </c>
      <c r="AJ8" s="120">
        <f t="shared" si="14"/>
        <v>1.7017745952677462E-2</v>
      </c>
      <c r="AK8" s="119">
        <f t="shared" si="15"/>
        <v>0</v>
      </c>
      <c r="AS8" s="25"/>
      <c r="AT8" s="25"/>
      <c r="AU8" s="25"/>
      <c r="AV8" s="25"/>
      <c r="AW8" s="25"/>
      <c r="AX8" s="25"/>
      <c r="AZ8" s="25"/>
      <c r="BA8" s="25"/>
      <c r="BB8" s="25"/>
      <c r="BC8" s="25"/>
      <c r="BD8" s="25"/>
      <c r="BE8" s="25"/>
      <c r="BF8" s="25"/>
      <c r="BI8" s="25"/>
      <c r="BJ8" s="25"/>
      <c r="BK8" s="25"/>
      <c r="BL8" s="25"/>
      <c r="BM8" s="25"/>
      <c r="BN8" s="25"/>
      <c r="BP8" s="25"/>
      <c r="BQ8" s="25"/>
      <c r="BR8" s="25"/>
      <c r="BS8" s="25"/>
      <c r="BT8" s="25"/>
      <c r="BU8" s="25"/>
      <c r="BV8" s="25"/>
      <c r="BX8" s="25"/>
      <c r="BY8" s="25"/>
      <c r="BZ8" s="25"/>
      <c r="CA8" s="25"/>
      <c r="CB8" s="25"/>
      <c r="CC8" s="25"/>
      <c r="CE8" s="25"/>
      <c r="CF8" s="25"/>
      <c r="CG8" s="25"/>
      <c r="CH8" s="25"/>
      <c r="CI8" s="25"/>
      <c r="CJ8" s="25"/>
      <c r="CK8" s="25"/>
    </row>
    <row r="9" spans="1:91" ht="14" customHeight="1">
      <c r="A9" s="74" t="str">
        <f>IF(Poor!A9=0,"",Poor!A9)</f>
        <v>Green cons - Season 1: no of months</v>
      </c>
      <c r="B9" s="215">
        <v>3.7222222222222219E-2</v>
      </c>
      <c r="C9" s="215">
        <v>0</v>
      </c>
      <c r="D9" s="24">
        <f t="shared" si="0"/>
        <v>3.7222222222222219E-2</v>
      </c>
      <c r="E9" s="75">
        <f>Poor!E9</f>
        <v>1</v>
      </c>
      <c r="F9" s="76">
        <f>Poor!F9</f>
        <v>8800</v>
      </c>
      <c r="H9" s="24">
        <f t="shared" si="1"/>
        <v>1</v>
      </c>
      <c r="I9" s="22">
        <f t="shared" si="2"/>
        <v>3.7222222222222219E-2</v>
      </c>
      <c r="J9" s="24">
        <f t="shared" si="3"/>
        <v>3.7222222222222219E-2</v>
      </c>
      <c r="K9" s="22">
        <f t="shared" si="4"/>
        <v>3.7222222222222219E-2</v>
      </c>
      <c r="L9" s="22">
        <f t="shared" si="5"/>
        <v>3.7222222222222219E-2</v>
      </c>
      <c r="M9" s="224">
        <f t="shared" si="6"/>
        <v>3.7222222222222219E-2</v>
      </c>
      <c r="N9" s="229">
        <v>1</v>
      </c>
      <c r="O9" s="2"/>
      <c r="P9" s="22"/>
      <c r="Q9" s="59" t="s">
        <v>73</v>
      </c>
      <c r="R9" s="222">
        <f>IF($B$81=0,0,(SUMIF($N$6:$N$28,$U9,K$6:K$28)+SUMIF($N$91:$N$118,$U9,K$91:K$118))*$B$83*$H$84*Poor!$B$81/$B$81)</f>
        <v>573.66831497016756</v>
      </c>
      <c r="S9" s="222">
        <f>IF($B$81=0,0,(SUMIF($N$6:$N$28,$U9,L$6:L$28)+SUMIF($N$91:$N$118,$U9,L$91:L$118))*$I$83*Poor!$B$81/$B$81)</f>
        <v>321.40113045639407</v>
      </c>
      <c r="T9" s="222">
        <f>IF($B$81=0,0,(SUMIF($N$6:$N$28,$U9,M$6:M$28)+SUMIF($N$91:$N$118,$U9,M$91:M$118))*$I$83*Poor!$B$81/$B$81)</f>
        <v>321.40113045639407</v>
      </c>
      <c r="U9" s="223">
        <v>3</v>
      </c>
      <c r="V9" s="56"/>
      <c r="W9" s="115"/>
      <c r="X9" s="118">
        <f>Poor!X9</f>
        <v>1</v>
      </c>
      <c r="Y9" s="183">
        <f t="shared" si="9"/>
        <v>0.14888888888888888</v>
      </c>
      <c r="Z9" s="125">
        <f>IF($Y9=0,0,AA9/$Y9)</f>
        <v>0.75676436657050716</v>
      </c>
      <c r="AA9" s="121">
        <f>IF($X9=1,IF(SUM(AA$6,AA$12:AA$29)&lt;1,IF((1-SUM(AA$6,AA$12:AA$29))*$M9/SUM($M$7*IF($X$7=1,1,0),$M$8*IF($X$8=1,1,0),$M$9*IF($X$9=1,1,0),$M$10*IF($X$10=1,1,0),$M$11*IF($X$11=1,1,0))&lt;Y9,(1-SUM(AA$6,AA$12:AA$29))*$M9/SUM($M$7*IF($X$7=1,1,0),$M$8*IF($X$8=1,1,0),$M$9*IF($X$9=1,1,0),$M$10*IF($X$10=1,1,0),$M$11*IF($X$11=1,1,0)),Y9),0),0)</f>
        <v>0.11267380568938662</v>
      </c>
      <c r="AB9" s="125">
        <f>IF($Y9=0,0,AC9/$Y9)</f>
        <v>0.24323563342949278</v>
      </c>
      <c r="AC9" s="121">
        <f>IF($X9&lt;3,IF(SUM(AC$6,AC$12:AC$29)&lt;1,IF(SUM(AC$6,AC$12:AC$29)+SUM((Y$7-AA$7)*IF($X$7&lt;3,1,0),(Y$8-AA$8)*IF($X$8&lt;3,1,0),(Y$9-AA$9)*IF($X$9&lt;3,1,0),(Y$10-AA$10)*IF($X$10&lt;3,1,0),(Y$11-AA$11)*IF($X$11&lt;3,1,0))&lt;1,Y9-AA9,IF((1-SUM(AC$6,AC$12:AC$29))*$M9/SUM($M$7*IF($X$7&lt;3,1,0),$M$8*IF($X$8&lt;3,1,0),$M$9*IF($X$9&lt;3,1,0),$M$10*IF($X$10&lt;3,1,0),$M$11*IF($X$11&lt;3,1,0))&lt;Y9-AA9,(1-SUM(AC$6,AC$12:AC$29))*$M9/SUM($M$7*IF($X$7&lt;3,1,0),$M$8*IF($X$8&lt;3,1,0),$M$9*IF($X$9&lt;3,1,0),$M$10*IF($X$10&lt;3,1,0),$M$11*IF($X$11&lt;3,1,0)),Y9-AA9)),0),0)</f>
        <v>3.6215083199502257E-2</v>
      </c>
      <c r="AD9" s="125">
        <f>IF($Y9=0,0,AE9/$Y9)</f>
        <v>0</v>
      </c>
      <c r="AE9" s="121">
        <f>IF($X9&lt;4,IF(SUM(AE$6:AE$6,AE$12:AE$29)&lt;1,IF(SUM(AE$6:AE$6,AE$12:AE$29)+SUM((Y$7-AA$7-AC$7)*IF($X$7&lt;3,1,0),(Y$8-AA$8-AC$8)*IF($X$8&lt;3,1,0),(Y$9-AA$9-AC$9)*IF($X$9&lt;3,1,0),(Y$10-AA$10-AC$10)*IF($X$10&lt;3,1,0),(Y$11-AA$11-AC$11)*IF($X$11&lt;3,1,0))&lt;1,Y9-AA9-AC9,IF((1-SUM(AE$6:AE$6,AE$12:AE$29))*$M9/SUM($M$7*IF($X$7&lt;4,1,0),$M$8*IF($X$8&lt;4,1,0),$M$9*IF($X$9&lt;4,1,0),$M$10*IF($X$10&lt;4,1,0),$M$11*IF($X$11&lt;4,1,0))&lt;Y9-AA9-AC9,(1-SUM(AE$6:AE$6,AE$12:AE$29))*$M9/SUM($M$7*IF($X$7&lt;4,1,0),$M$8*IF($X$8&lt;4,1,0),$M$9*IF($X$9&lt;4,1,0),$M$10*IF($X$10&lt;4,1,0),$M$11*IF($X$11&lt;4,1,0)),Y9-AA9-AC9)),0),0)</f>
        <v>0</v>
      </c>
      <c r="AF9" s="122">
        <f t="shared" si="10"/>
        <v>0</v>
      </c>
      <c r="AG9" s="121">
        <f t="shared" si="11"/>
        <v>0</v>
      </c>
      <c r="AH9" s="123">
        <f t="shared" si="12"/>
        <v>1</v>
      </c>
      <c r="AI9" s="183">
        <f t="shared" si="13"/>
        <v>3.7222222222222219E-2</v>
      </c>
      <c r="AJ9" s="120">
        <f t="shared" si="14"/>
        <v>7.4444444444444438E-2</v>
      </c>
      <c r="AK9" s="119">
        <f t="shared" si="15"/>
        <v>0</v>
      </c>
      <c r="AS9" s="25"/>
      <c r="AT9" s="25"/>
      <c r="AU9" s="25"/>
      <c r="AV9" s="25"/>
      <c r="AW9" s="25"/>
      <c r="AX9" s="25"/>
      <c r="AZ9" s="25"/>
      <c r="BA9" s="25"/>
      <c r="BB9" s="25"/>
      <c r="BC9" s="25"/>
      <c r="BD9" s="25"/>
      <c r="BE9" s="25"/>
      <c r="BF9" s="25"/>
      <c r="BI9" s="25"/>
      <c r="BJ9" s="25"/>
      <c r="BK9" s="25"/>
      <c r="BL9" s="25"/>
      <c r="BM9" s="25"/>
      <c r="BN9" s="25"/>
      <c r="BP9" s="25"/>
      <c r="BQ9" s="25"/>
      <c r="BR9" s="25"/>
      <c r="BS9" s="25"/>
      <c r="BT9" s="25"/>
      <c r="BU9" s="25"/>
      <c r="BV9" s="25"/>
      <c r="BX9" s="25"/>
      <c r="BY9" s="25"/>
      <c r="BZ9" s="25"/>
      <c r="CA9" s="25"/>
      <c r="CB9" s="25"/>
      <c r="CC9" s="25"/>
      <c r="CE9" s="25"/>
      <c r="CF9" s="25"/>
      <c r="CG9" s="25"/>
      <c r="CH9" s="25"/>
      <c r="CI9" s="25"/>
      <c r="CJ9" s="25"/>
      <c r="CK9" s="25"/>
    </row>
    <row r="10" spans="1:91" ht="14" customHeight="1">
      <c r="A10" s="74" t="str">
        <f>IF(Poor!A10=0,"",Poor!A10)</f>
        <v xml:space="preserve">Green beans </v>
      </c>
      <c r="B10" s="215">
        <v>2.0833333333333332E-2</v>
      </c>
      <c r="C10" s="215">
        <v>0</v>
      </c>
      <c r="D10" s="24">
        <f t="shared" si="0"/>
        <v>2.0833333333333332E-2</v>
      </c>
      <c r="E10" s="75">
        <f>Poor!E10</f>
        <v>1</v>
      </c>
      <c r="H10" s="24">
        <f t="shared" si="1"/>
        <v>1</v>
      </c>
      <c r="I10" s="22">
        <f t="shared" si="2"/>
        <v>2.0833333333333332E-2</v>
      </c>
      <c r="J10" s="24">
        <f t="shared" si="3"/>
        <v>2.0833333333333332E-2</v>
      </c>
      <c r="K10" s="22">
        <f t="shared" si="4"/>
        <v>2.0833333333333332E-2</v>
      </c>
      <c r="L10" s="22">
        <f t="shared" si="5"/>
        <v>2.0833333333333332E-2</v>
      </c>
      <c r="M10" s="224">
        <f t="shared" si="6"/>
        <v>2.0833333333333332E-2</v>
      </c>
      <c r="N10" s="229">
        <v>1</v>
      </c>
      <c r="O10" s="2"/>
      <c r="P10" s="22"/>
      <c r="Q10" s="59" t="s">
        <v>74</v>
      </c>
      <c r="R10" s="222">
        <f>IF($B$81=0,0,(SUMIF($N$6:$N$28,$U10,K$6:K$28)+SUMIF($N$91:$N$118,$U10,K$91:K$118))*$B$83*$H$84*Poor!$B$81/$B$81)</f>
        <v>0</v>
      </c>
      <c r="S10" s="222">
        <f>IF($B$81=0,0,(SUMIF($N$6:$N$28,$U10,L$6:L$28)+SUMIF($N$91:$N$118,$U10,L$91:L$118))*$I$83*Poor!$B$81/$B$81)</f>
        <v>0</v>
      </c>
      <c r="T10" s="222">
        <f>IF($B$81=0,0,(SUMIF($N$6:$N$28,$U10,M$6:M$28)+SUMIF($N$91:$N$118,$U10,M$91:M$118))*$I$83*Poor!$B$81/$B$81)</f>
        <v>0</v>
      </c>
      <c r="U10" s="223">
        <v>4</v>
      </c>
      <c r="V10" s="56"/>
      <c r="W10" s="115"/>
      <c r="X10" s="118">
        <f>Poor!X10</f>
        <v>1</v>
      </c>
      <c r="Y10" s="183">
        <f t="shared" si="9"/>
        <v>8.3333333333333329E-2</v>
      </c>
      <c r="Z10" s="125">
        <f>IF($Y10=0,0,AA10/$Y10)</f>
        <v>0.75676436657050716</v>
      </c>
      <c r="AA10" s="121">
        <f>IF($X10=1,IF(SUM(AA$6,AA$12:AA$29)&lt;1,IF((1-SUM(AA$6,AA$12:AA$29))*$M10/SUM($M$7*IF($X$7=1,1,0),$M$8*IF($X$8=1,1,0),$M$9*IF($X$9=1,1,0),$M$10*IF($X$10=1,1,0),$M$11*IF($X$11=1,1,0))&lt;Y10,(1-SUM(AA$6,AA$12:AA$29))*$M10/SUM($M$7*IF($X$7=1,1,0),$M$8*IF($X$8=1,1,0),$M$9*IF($X$9=1,1,0),$M$10*IF($X$10=1,1,0),$M$11*IF($X$11=1,1,0)),Y10),0),0)</f>
        <v>6.306369721420893E-2</v>
      </c>
      <c r="AB10" s="125">
        <f>IF($Y10=0,0,AC10/$Y10)</f>
        <v>0.24323563342949278</v>
      </c>
      <c r="AC10" s="121">
        <f>IF($X10&lt;3,IF(SUM(AC$6,AC$12:AC$29)&lt;1,IF(SUM(AC$6,AC$12:AC$29)+SUM((Y$7-AA$7)*IF($X$7&lt;3,1,0),(Y$8-AA$8)*IF($X$8&lt;3,1,0),(Y$9-AA$9)*IF($X$9&lt;3,1,0),(Y$10-AA$10)*IF($X$10&lt;3,1,0),(Y$11-AA$11)*IF($X$11&lt;3,1,0))&lt;1,Y10-AA10,IF((1-SUM(AC$6,AC$12:AC$29))*$M10/SUM($M$7*IF($X$7&lt;3,1,0),$M$8*IF($X$8&lt;3,1,0),$M$9*IF($X$9&lt;3,1,0),$M$10*IF($X$10&lt;3,1,0),$M$11*IF($X$11&lt;3,1,0))&lt;Y10-AA10,(1-SUM(AC$6,AC$12:AC$29))*$M10/SUM($M$7*IF($X$7&lt;3,1,0),$M$8*IF($X$8&lt;3,1,0),$M$9*IF($X$9&lt;3,1,0),$M$10*IF($X$10&lt;3,1,0),$M$11*IF($X$11&lt;3,1,0)),Y10-AA10)),0),0)</f>
        <v>2.0269636119124398E-2</v>
      </c>
      <c r="AD10" s="125">
        <f>IF($Y10=0,0,AE10/$Y10)</f>
        <v>0</v>
      </c>
      <c r="AE10" s="121">
        <f>IF($X10&lt;4,IF(SUM(AE$6:AE$6,AE$12:AE$29)&lt;1,IF(SUM(AE$6:AE$6,AE$12:AE$29)+SUM((Y$7-AA$7-AC$7)*IF($X$7&lt;3,1,0),(Y$8-AA$8-AC$8)*IF($X$8&lt;3,1,0),(Y$9-AA$9-AC$9)*IF($X$9&lt;3,1,0),(Y$10-AA$10-AC$10)*IF($X$10&lt;3,1,0),(Y$11-AA$11-AC$11)*IF($X$11&lt;3,1,0))&lt;1,Y10-AA10-AC10,IF((1-SUM(AE$6:AE$6,AE$12:AE$29))*$M10/SUM($M$7*IF($X$7&lt;4,1,0),$M$8*IF($X$8&lt;4,1,0),$M$9*IF($X$9&lt;4,1,0),$M$10*IF($X$10&lt;4,1,0),$M$11*IF($X$11&lt;4,1,0))&lt;Y10-AA10-AC10,(1-SUM(AE$6:AE$6,AE$12:AE$29))*$M10/SUM($M$7*IF($X$7&lt;4,1,0),$M$8*IF($X$8&lt;4,1,0),$M$9*IF($X$9&lt;4,1,0),$M$10*IF($X$10&lt;4,1,0),$M$11*IF($X$11&lt;4,1,0)),Y10-AA10-AC10)),0),0)</f>
        <v>0</v>
      </c>
      <c r="AF10" s="122">
        <f t="shared" si="10"/>
        <v>0</v>
      </c>
      <c r="AG10" s="121">
        <f t="shared" si="11"/>
        <v>0</v>
      </c>
      <c r="AH10" s="123">
        <f t="shared" si="12"/>
        <v>1</v>
      </c>
      <c r="AI10" s="183">
        <f t="shared" si="13"/>
        <v>2.0833333333333332E-2</v>
      </c>
      <c r="AJ10" s="120">
        <f t="shared" si="14"/>
        <v>4.1666666666666664E-2</v>
      </c>
      <c r="AK10" s="119">
        <f t="shared" si="15"/>
        <v>0</v>
      </c>
      <c r="AS10" s="25"/>
      <c r="AT10" s="25"/>
      <c r="AU10" s="25"/>
      <c r="AV10" s="25"/>
      <c r="AW10" s="25"/>
      <c r="AX10" s="25"/>
      <c r="AZ10" s="25"/>
      <c r="BA10" s="25"/>
      <c r="BB10" s="25"/>
      <c r="BC10" s="25"/>
      <c r="BD10" s="25"/>
      <c r="BE10" s="25"/>
      <c r="BF10" s="25"/>
      <c r="BI10" s="25"/>
      <c r="BJ10" s="25"/>
      <c r="BK10" s="25"/>
      <c r="BL10" s="25"/>
      <c r="BM10" s="25"/>
      <c r="BN10" s="25"/>
      <c r="BP10" s="25"/>
      <c r="BQ10" s="25"/>
      <c r="BR10" s="25"/>
      <c r="BS10" s="25"/>
      <c r="BT10" s="25"/>
      <c r="BU10" s="25"/>
      <c r="BV10" s="25"/>
      <c r="BX10" s="25"/>
      <c r="BY10" s="25"/>
      <c r="BZ10" s="25"/>
      <c r="CA10" s="25"/>
      <c r="CB10" s="25"/>
      <c r="CC10" s="25"/>
      <c r="CE10" s="25"/>
      <c r="CF10" s="25"/>
      <c r="CG10" s="25"/>
      <c r="CH10" s="25"/>
      <c r="CI10" s="25"/>
      <c r="CJ10" s="25"/>
      <c r="CK10" s="25"/>
    </row>
    <row r="11" spans="1:91" ht="14" customHeight="1">
      <c r="A11" s="74" t="str">
        <f>IF(Poor!A11=0,"",Poor!A11)</f>
        <v>Maize: kg produced</v>
      </c>
      <c r="B11" s="215">
        <v>0.12538892465753423</v>
      </c>
      <c r="C11" s="215">
        <v>0</v>
      </c>
      <c r="D11" s="24">
        <f t="shared" si="0"/>
        <v>0.12538892465753423</v>
      </c>
      <c r="E11" s="75">
        <f>Poor!E11</f>
        <v>1.0900000000000001</v>
      </c>
      <c r="H11" s="24">
        <f t="shared" si="1"/>
        <v>1.0900000000000001</v>
      </c>
      <c r="I11" s="22">
        <f t="shared" si="2"/>
        <v>0.13667392787671231</v>
      </c>
      <c r="J11" s="24">
        <f t="shared" si="3"/>
        <v>0.13667392787671231</v>
      </c>
      <c r="K11" s="22">
        <f t="shared" si="4"/>
        <v>0.12538892465753423</v>
      </c>
      <c r="L11" s="22">
        <f t="shared" si="5"/>
        <v>0.13667392787671231</v>
      </c>
      <c r="M11" s="224">
        <f t="shared" si="6"/>
        <v>0.13667392787671231</v>
      </c>
      <c r="N11" s="229">
        <v>1</v>
      </c>
      <c r="O11" s="2"/>
      <c r="P11" s="22"/>
      <c r="Q11" s="59" t="s">
        <v>75</v>
      </c>
      <c r="R11" s="222">
        <f>IF($B$81=0,0,(SUMIF($N$6:$N$28,$U11,K$6:K$28)+SUMIF($N$91:$N$118,$U11,K$91:K$118))*$B$83*$H$84*Poor!$B$81/$B$81)</f>
        <v>0</v>
      </c>
      <c r="S11" s="222">
        <f>IF($B$81=0,0,(SUMIF($N$6:$N$28,$U11,L$6:L$28)+SUMIF($N$91:$N$118,$U11,L$91:L$118))*$I$83*Poor!$B$81/$B$81)</f>
        <v>0</v>
      </c>
      <c r="T11" s="222">
        <f>IF($B$81=0,0,(SUMIF($N$6:$N$28,$U11,M$6:M$28)+SUMIF($N$91:$N$118,$U11,M$91:M$118))*$I$83*Poor!$B$81/$B$81)</f>
        <v>0</v>
      </c>
      <c r="U11" s="223">
        <v>5</v>
      </c>
      <c r="V11" s="56"/>
      <c r="W11" s="115"/>
      <c r="X11" s="118">
        <f>Poor!X11</f>
        <v>1</v>
      </c>
      <c r="Y11" s="183">
        <f t="shared" si="9"/>
        <v>0.54669571150684926</v>
      </c>
      <c r="Z11" s="125">
        <f>IF($Y11=0,0,AA11/$Y11)</f>
        <v>0.75676436657050716</v>
      </c>
      <c r="AA11" s="121">
        <f>IF($X11=1,IF(SUM(AA$6,AA$12:AA$29)&lt;1,IF((1-SUM(AA$6,AA$12:AA$29))*$M11/SUM($M$7*IF($X$7=1,1,0),$M$8*IF($X$8=1,1,0),$M$9*IF($X$9=1,1,0),$M$10*IF($X$10=1,1,0),$M$11*IF($X$11=1,1,0))&lt;Y11,(1-SUM(AA$6,AA$12:AA$29))*$M11/SUM($M$7*IF($X$7=1,1,0),$M$8*IF($X$8=1,1,0),$M$9*IF($X$9=1,1,0),$M$10*IF($X$10=1,1,0),$M$11*IF($X$11=1,1,0)),Y11),0),0)</f>
        <v>0.41371983382529348</v>
      </c>
      <c r="AB11" s="125">
        <f>IF($Y11=0,0,AC11/$Y11)</f>
        <v>0.24323563342949286</v>
      </c>
      <c r="AC11" s="121">
        <f>IF($X11&lt;3,IF(SUM(AC$6,AC$12:AC$29)&lt;1,IF(SUM(AC$6,AC$12:AC$29)+SUM((Y$7-AA$7)*IF($X$7&lt;3,1,0),(Y$8-AA$8)*IF($X$8&lt;3,1,0),(Y$9-AA$9)*IF($X$9&lt;3,1,0),(Y$10-AA$10)*IF($X$10&lt;3,1,0),(Y$11-AA$11)*IF($X$11&lt;3,1,0))&lt;1,Y11-AA11,IF((1-SUM(AC$6,AC$12:AC$29))*$M11/SUM($M$7*IF($X$7&lt;3,1,0),$M$8*IF($X$8&lt;3,1,0),$M$9*IF($X$9&lt;3,1,0),$M$10*IF($X$10&lt;3,1,0),$M$11*IF($X$11&lt;3,1,0))&lt;Y11-AA11,(1-SUM(AC$6,AC$12:AC$29))*$M11/SUM($M$7*IF($X$7&lt;3,1,0),$M$8*IF($X$8&lt;3,1,0),$M$9*IF($X$9&lt;3,1,0),$M$10*IF($X$10&lt;3,1,0),$M$11*IF($X$11&lt;3,1,0)),Y11-AA11)),0),0)</f>
        <v>0.13297587768155578</v>
      </c>
      <c r="AD11" s="125">
        <f>IF($Y11=0,0,AE11/$Y11)</f>
        <v>0</v>
      </c>
      <c r="AE11" s="121">
        <f>IF($X11&lt;4,IF(SUM(AE$6:AE$6,AE$12:AE$29)&lt;1,IF(SUM(AE$6:AE$6,AE$12:AE$29)+SUM((Y$7-AA$7-AC$7)*IF($X$7&lt;3,1,0),(Y$8-AA$8-AC$8)*IF($X$8&lt;3,1,0),(Y$9-AA$9-AC$9)*IF($X$9&lt;3,1,0),(Y$10-AA$10-AC$10)*IF($X$10&lt;3,1,0),(Y$11-AA$11-AC$11)*IF($X$11&lt;3,1,0))&lt;1,Y11-AA11-AC11,IF((1-SUM(AE$6:AE$6,AE$12:AE$29))*$M11/SUM($M$7*IF($X$7&lt;4,1,0),$M$8*IF($X$8&lt;4,1,0),$M$9*IF($X$9&lt;4,1,0),$M$10*IF($X$10&lt;4,1,0),$M$11*IF($X$11&lt;4,1,0))&lt;Y11-AA11-AC11,(1-SUM(AE$6:AE$6,AE$12:AE$29))*$M11/SUM($M$7*IF($X$7&lt;4,1,0),$M$8*IF($X$8&lt;4,1,0),$M$9*IF($X$9&lt;4,1,0),$M$10*IF($X$10&lt;4,1,0),$M$11*IF($X$11&lt;4,1,0)),Y11-AA11-AC11)),0),0)</f>
        <v>0</v>
      </c>
      <c r="AF11" s="122">
        <f t="shared" si="10"/>
        <v>0</v>
      </c>
      <c r="AG11" s="121">
        <f t="shared" si="11"/>
        <v>0</v>
      </c>
      <c r="AH11" s="123">
        <f t="shared" si="12"/>
        <v>1</v>
      </c>
      <c r="AI11" s="183">
        <f t="shared" si="13"/>
        <v>0.13667392787671231</v>
      </c>
      <c r="AJ11" s="120">
        <f t="shared" si="14"/>
        <v>0.27334785575342463</v>
      </c>
      <c r="AK11" s="119">
        <f t="shared" si="15"/>
        <v>0</v>
      </c>
      <c r="AS11" s="25"/>
      <c r="AT11" s="25"/>
      <c r="AU11" s="25"/>
      <c r="AV11" s="25"/>
      <c r="AW11" s="25"/>
      <c r="AX11" s="25"/>
      <c r="AZ11" s="25"/>
      <c r="BA11" s="25"/>
      <c r="BB11" s="25"/>
      <c r="BC11" s="25"/>
      <c r="BD11" s="25"/>
      <c r="BE11" s="25"/>
      <c r="BF11" s="25"/>
      <c r="BI11" s="25"/>
      <c r="BJ11" s="25"/>
      <c r="BK11" s="25"/>
      <c r="BL11" s="25"/>
      <c r="BM11" s="25"/>
      <c r="BN11" s="25"/>
      <c r="BP11" s="25"/>
      <c r="BQ11" s="25"/>
      <c r="BR11" s="25"/>
      <c r="BS11" s="25"/>
      <c r="BT11" s="25"/>
      <c r="BU11" s="25"/>
      <c r="BV11" s="25"/>
      <c r="BX11" s="25"/>
      <c r="BY11" s="25"/>
      <c r="BZ11" s="25"/>
      <c r="CA11" s="25"/>
      <c r="CB11" s="25"/>
      <c r="CC11" s="25"/>
      <c r="CE11" s="25"/>
      <c r="CF11" s="25"/>
      <c r="CG11" s="25"/>
      <c r="CH11" s="25"/>
      <c r="CI11" s="25"/>
      <c r="CJ11" s="25"/>
      <c r="CK11" s="25"/>
    </row>
    <row r="12" spans="1:91" ht="14" customHeight="1">
      <c r="A12" s="74" t="str">
        <f>IF(Poor!A12=0,"",Poor!A12)</f>
        <v>Maize (irrigated): kg produced</v>
      </c>
      <c r="B12" s="215">
        <v>0</v>
      </c>
      <c r="C12" s="215">
        <v>0</v>
      </c>
      <c r="D12" s="24">
        <f t="shared" si="0"/>
        <v>0</v>
      </c>
      <c r="E12" s="75">
        <f>Poor!E12</f>
        <v>1.0900000000000001</v>
      </c>
      <c r="H12" s="24">
        <f t="shared" si="1"/>
        <v>1.0900000000000001</v>
      </c>
      <c r="I12" s="22">
        <f t="shared" si="2"/>
        <v>0</v>
      </c>
      <c r="J12" s="24">
        <f t="shared" si="3"/>
        <v>0</v>
      </c>
      <c r="K12" s="22">
        <f t="shared" si="4"/>
        <v>0</v>
      </c>
      <c r="L12" s="22">
        <f t="shared" si="5"/>
        <v>0</v>
      </c>
      <c r="M12" s="224">
        <f t="shared" si="6"/>
        <v>0</v>
      </c>
      <c r="N12" s="229">
        <v>1</v>
      </c>
      <c r="O12" s="2"/>
      <c r="P12" s="22"/>
      <c r="Q12" s="126" t="s">
        <v>124</v>
      </c>
      <c r="R12" s="222">
        <f>IF($B$81=0,0,(SUMIF($N$6:$N$28,$U12,K$6:K$28)+SUMIF($N$91:$N$118,$U12,K$91:K$118))*$B$83*$H$84*Poor!$B$81/$B$81)</f>
        <v>657.73500474724642</v>
      </c>
      <c r="S12" s="222">
        <f>IF($B$81=0,0,(SUMIF($N$6:$N$28,$U12,L$6:L$28)+SUMIF($N$91:$N$118,$U12,L$91:L$118))*$I$83*Poor!$B$81/$B$81)</f>
        <v>527.06666666666661</v>
      </c>
      <c r="T12" s="222">
        <f>IF($B$81=0,0,(SUMIF($N$6:$N$28,$U12,M$6:M$28)+SUMIF($N$91:$N$118,$U12,M$91:M$118))*$I$83*Poor!$B$81/$B$81)</f>
        <v>855.49999999999989</v>
      </c>
      <c r="U12" s="223">
        <v>6</v>
      </c>
      <c r="V12" s="56"/>
      <c r="W12" s="117"/>
      <c r="X12" s="118">
        <v>1</v>
      </c>
      <c r="Y12" s="183">
        <f t="shared" si="9"/>
        <v>0</v>
      </c>
      <c r="Z12" s="156">
        <f>Poor!Z12</f>
        <v>0</v>
      </c>
      <c r="AA12" s="121">
        <f>$M12*Z12*4</f>
        <v>0</v>
      </c>
      <c r="AB12" s="156">
        <f>Poor!AB12</f>
        <v>0</v>
      </c>
      <c r="AC12" s="121">
        <f>$M12*AB12*4</f>
        <v>0</v>
      </c>
      <c r="AD12" s="156">
        <f>Poor!AD12</f>
        <v>0.67</v>
      </c>
      <c r="AE12" s="121">
        <f>$M12*AD12*4</f>
        <v>0</v>
      </c>
      <c r="AF12" s="122">
        <f>1-SUM(Z12,AB12,AD12)</f>
        <v>0.32999999999999996</v>
      </c>
      <c r="AG12" s="121">
        <f>$M12*AF12*4</f>
        <v>0</v>
      </c>
      <c r="AH12" s="123">
        <f t="shared" si="12"/>
        <v>1</v>
      </c>
      <c r="AI12" s="183">
        <f t="shared" si="13"/>
        <v>0</v>
      </c>
      <c r="AJ12" s="120">
        <f t="shared" si="14"/>
        <v>0</v>
      </c>
      <c r="AK12" s="119">
        <f t="shared" si="15"/>
        <v>0</v>
      </c>
      <c r="AS12" s="25"/>
      <c r="AT12" s="25"/>
      <c r="AU12" s="25"/>
      <c r="AV12" s="25"/>
      <c r="AW12" s="25"/>
      <c r="AX12" s="25"/>
      <c r="AZ12" s="25"/>
      <c r="BA12" s="25"/>
      <c r="BB12" s="25"/>
      <c r="BC12" s="25"/>
      <c r="BD12" s="25"/>
      <c r="BE12" s="25"/>
      <c r="BF12" s="25"/>
      <c r="BI12" s="25"/>
      <c r="BJ12" s="25"/>
      <c r="BK12" s="25"/>
      <c r="BL12" s="25"/>
      <c r="BM12" s="25"/>
      <c r="BN12" s="25"/>
      <c r="BP12" s="25"/>
      <c r="BQ12" s="25"/>
      <c r="BR12" s="25"/>
      <c r="BS12" s="25"/>
      <c r="BT12" s="25"/>
      <c r="BU12" s="25"/>
      <c r="BV12" s="25"/>
      <c r="BX12" s="25"/>
      <c r="BY12" s="25"/>
      <c r="BZ12" s="25"/>
      <c r="CA12" s="25"/>
      <c r="CB12" s="25"/>
      <c r="CC12" s="25"/>
      <c r="CE12" s="25"/>
      <c r="CF12" s="25"/>
      <c r="CG12" s="25"/>
      <c r="CH12" s="25"/>
      <c r="CI12" s="25"/>
      <c r="CJ12" s="25"/>
      <c r="CK12" s="25"/>
    </row>
    <row r="13" spans="1:91" ht="14" customHeight="1">
      <c r="A13" s="74" t="str">
        <f>IF(Poor!A13=0,"",Poor!A13)</f>
        <v>Beans: kg produced</v>
      </c>
      <c r="B13" s="215">
        <v>9.6559414694894138E-3</v>
      </c>
      <c r="C13" s="215">
        <v>0</v>
      </c>
      <c r="D13" s="24">
        <f t="shared" si="0"/>
        <v>9.6559414694894138E-3</v>
      </c>
      <c r="E13" s="75">
        <f>Poor!E13</f>
        <v>1</v>
      </c>
      <c r="H13" s="24">
        <f t="shared" si="1"/>
        <v>1</v>
      </c>
      <c r="I13" s="22">
        <f t="shared" si="2"/>
        <v>9.6559414694894138E-3</v>
      </c>
      <c r="J13" s="24">
        <f t="shared" si="3"/>
        <v>9.6559414694894138E-3</v>
      </c>
      <c r="K13" s="22">
        <f t="shared" si="4"/>
        <v>9.6559414694894138E-3</v>
      </c>
      <c r="L13" s="22">
        <f t="shared" si="5"/>
        <v>9.6559414694894138E-3</v>
      </c>
      <c r="M13" s="225">
        <f t="shared" si="6"/>
        <v>9.6559414694894138E-3</v>
      </c>
      <c r="N13" s="229">
        <v>1</v>
      </c>
      <c r="O13" s="2"/>
      <c r="P13" s="22"/>
      <c r="Q13" s="59" t="s">
        <v>76</v>
      </c>
      <c r="R13" s="222">
        <f>IF($B$81=0,0,(SUMIF($N$6:$N$28,$U13,K$6:K$28)+SUMIF($N$91:$N$118,$U13,K$91:K$118))*$B$83*$H$84*Poor!$B$81/$B$81)</f>
        <v>8001.6947213180993</v>
      </c>
      <c r="S13" s="222">
        <f>IF($B$81=0,0,(SUMIF($N$6:$N$28,$U13,L$6:L$28)+SUMIF($N$91:$N$118,$U13,L$91:L$118))*$I$83*Poor!$B$81/$B$81)</f>
        <v>6316.3953735891346</v>
      </c>
      <c r="T13" s="222">
        <f>IF($B$81=0,0,(SUMIF($N$6:$N$28,$U13,M$6:M$28)+SUMIF($N$91:$N$118,$U13,M$91:M$118))*$I$83*Poor!$B$81/$B$81)</f>
        <v>6316.3953735891346</v>
      </c>
      <c r="U13" s="223">
        <v>7</v>
      </c>
      <c r="V13" s="56"/>
      <c r="W13" s="110"/>
      <c r="X13" s="118"/>
      <c r="Y13" s="183">
        <f t="shared" si="9"/>
        <v>3.8623765877957655E-2</v>
      </c>
      <c r="Z13" s="156">
        <f>Poor!Z13</f>
        <v>1</v>
      </c>
      <c r="AA13" s="121">
        <f>$M13*Z13*4</f>
        <v>3.8623765877957655E-2</v>
      </c>
      <c r="AB13" s="156">
        <f>Poor!AB13</f>
        <v>0</v>
      </c>
      <c r="AC13" s="121">
        <f>$M13*AB13*4</f>
        <v>0</v>
      </c>
      <c r="AD13" s="156">
        <f>Poor!AD13</f>
        <v>0</v>
      </c>
      <c r="AE13" s="121">
        <f>$M13*AD13*4</f>
        <v>0</v>
      </c>
      <c r="AF13" s="122">
        <f>1-SUM(Z13,AB13,AD13)</f>
        <v>0</v>
      </c>
      <c r="AG13" s="121">
        <f>$M13*AF13*4</f>
        <v>0</v>
      </c>
      <c r="AH13" s="123">
        <f t="shared" si="12"/>
        <v>1</v>
      </c>
      <c r="AI13" s="183">
        <f t="shared" si="13"/>
        <v>9.6559414694894138E-3</v>
      </c>
      <c r="AJ13" s="120">
        <f t="shared" si="14"/>
        <v>1.9311882938978828E-2</v>
      </c>
      <c r="AK13" s="119">
        <f t="shared" si="15"/>
        <v>0</v>
      </c>
      <c r="AS13" s="25"/>
      <c r="AT13" s="25"/>
      <c r="AU13" s="25"/>
      <c r="AV13" s="25"/>
      <c r="AW13" s="25"/>
      <c r="AX13" s="25"/>
      <c r="AZ13" s="25"/>
      <c r="BA13" s="25"/>
      <c r="BB13" s="25"/>
      <c r="BC13" s="25"/>
      <c r="BD13" s="25"/>
      <c r="BE13" s="25"/>
      <c r="BF13" s="25"/>
      <c r="BI13" s="25"/>
      <c r="BJ13" s="25"/>
      <c r="BK13" s="25"/>
      <c r="BL13" s="25"/>
      <c r="BM13" s="25"/>
      <c r="BN13" s="25"/>
      <c r="BP13" s="25"/>
      <c r="BQ13" s="25"/>
      <c r="BR13" s="25"/>
      <c r="BS13" s="25"/>
      <c r="BT13" s="25"/>
      <c r="BU13" s="25"/>
      <c r="BV13" s="25"/>
      <c r="BX13" s="25"/>
      <c r="BY13" s="25"/>
      <c r="BZ13" s="25"/>
      <c r="CA13" s="25"/>
      <c r="CB13" s="25"/>
      <c r="CC13" s="25"/>
      <c r="CE13" s="25"/>
      <c r="CF13" s="25"/>
      <c r="CG13" s="25"/>
      <c r="CH13" s="25"/>
      <c r="CI13" s="25"/>
      <c r="CJ13" s="25"/>
      <c r="CK13" s="25"/>
    </row>
    <row r="14" spans="1:91" ht="14" customHeight="1">
      <c r="A14" s="74" t="str">
        <f>IF(Poor!A14=0,"",Poor!A14)</f>
        <v>Cowpeas: kg produced</v>
      </c>
      <c r="B14" s="215">
        <v>5.5398194271481945E-4</v>
      </c>
      <c r="C14" s="215">
        <v>0</v>
      </c>
      <c r="D14" s="24">
        <f t="shared" si="0"/>
        <v>5.5398194271481945E-4</v>
      </c>
      <c r="E14" s="75">
        <f>Poor!E14</f>
        <v>1</v>
      </c>
      <c r="F14" s="22"/>
      <c r="H14" s="24">
        <f t="shared" si="1"/>
        <v>1</v>
      </c>
      <c r="I14" s="22">
        <f t="shared" si="2"/>
        <v>5.5398194271481945E-4</v>
      </c>
      <c r="J14" s="24">
        <f>IF(I$32&lt;=1+I131,I14,B14*H14+J$33*(I14-B14*H14))</f>
        <v>5.5398194271481945E-4</v>
      </c>
      <c r="K14" s="22">
        <f t="shared" si="4"/>
        <v>5.5398194271481945E-4</v>
      </c>
      <c r="L14" s="22">
        <f t="shared" si="5"/>
        <v>5.5398194271481945E-4</v>
      </c>
      <c r="M14" s="225">
        <f t="shared" si="6"/>
        <v>5.5398194271481945E-4</v>
      </c>
      <c r="N14" s="229">
        <v>1</v>
      </c>
      <c r="O14" s="2"/>
      <c r="P14" s="22"/>
      <c r="Q14" s="126" t="s">
        <v>77</v>
      </c>
      <c r="R14" s="222">
        <f>IF($B$81=0,0,(SUMIF($N$6:$N$28,$U14,K$6:K$28)+SUMIF($N$91:$N$118,$U14,K$91:K$118))*$B$83*$H$84*Poor!$B$81/$B$81)</f>
        <v>0</v>
      </c>
      <c r="S14" s="222">
        <f>IF($B$81=0,0,(SUMIF($N$6:$N$28,$U14,L$6:L$28)+SUMIF($N$91:$N$118,$U14,L$91:L$118))*$I$83*Poor!$B$81/$B$81)</f>
        <v>0</v>
      </c>
      <c r="T14" s="222">
        <f>IF($B$81=0,0,(SUMIF($N$6:$N$28,$U14,M$6:M$28)+SUMIF($N$91:$N$118,$U14,M$91:M$118))*$I$83*Poor!$B$81/$B$81)</f>
        <v>0</v>
      </c>
      <c r="U14" s="223">
        <v>8</v>
      </c>
      <c r="V14" s="56"/>
      <c r="W14" s="110"/>
      <c r="X14" s="118"/>
      <c r="Y14" s="183">
        <f>M14*4</f>
        <v>2.2159277708592778E-3</v>
      </c>
      <c r="Z14" s="156">
        <f>Poor!Z14</f>
        <v>0</v>
      </c>
      <c r="AA14" s="121">
        <f t="shared" ref="AA14:AA29" si="16">$M14*Z14*4</f>
        <v>0</v>
      </c>
      <c r="AB14" s="156">
        <f>Poor!AB14</f>
        <v>1</v>
      </c>
      <c r="AC14" s="121">
        <f t="shared" si="7"/>
        <v>2.2159277708592778E-3</v>
      </c>
      <c r="AD14" s="156">
        <f>Poor!AD14</f>
        <v>0</v>
      </c>
      <c r="AE14" s="121">
        <f t="shared" si="8"/>
        <v>0</v>
      </c>
      <c r="AF14" s="122">
        <f t="shared" si="10"/>
        <v>0</v>
      </c>
      <c r="AG14" s="121">
        <f t="shared" si="11"/>
        <v>0</v>
      </c>
      <c r="AH14" s="128">
        <f>SUM(Z14,AB14,AD14,AF14)</f>
        <v>1</v>
      </c>
      <c r="AI14" s="183">
        <f>SUM(AA14,AC14,AE14,AG14)/4</f>
        <v>5.5398194271481945E-4</v>
      </c>
      <c r="AJ14" s="120">
        <f t="shared" si="14"/>
        <v>1.1079638854296389E-3</v>
      </c>
      <c r="AK14" s="119">
        <f t="shared" si="15"/>
        <v>0</v>
      </c>
      <c r="AS14" s="25"/>
      <c r="AT14" s="25"/>
      <c r="AU14" s="25"/>
      <c r="AV14" s="25"/>
      <c r="AW14" s="25"/>
      <c r="AX14" s="25"/>
      <c r="AZ14" s="25"/>
      <c r="BA14" s="25"/>
      <c r="BB14" s="25"/>
      <c r="BC14" s="25"/>
      <c r="BD14" s="25"/>
      <c r="BE14" s="25"/>
      <c r="BF14" s="25"/>
      <c r="BI14" s="25"/>
      <c r="BJ14" s="25"/>
      <c r="BK14" s="25"/>
      <c r="BL14" s="25"/>
      <c r="BM14" s="25"/>
      <c r="BN14" s="25"/>
      <c r="BP14" s="25"/>
      <c r="BQ14" s="25"/>
      <c r="BR14" s="25"/>
      <c r="BS14" s="25"/>
      <c r="BT14" s="25"/>
      <c r="BU14" s="25"/>
      <c r="BV14" s="25"/>
      <c r="BX14" s="25"/>
      <c r="BY14" s="25"/>
      <c r="BZ14" s="25"/>
      <c r="CA14" s="25"/>
      <c r="CB14" s="25"/>
      <c r="CC14" s="25"/>
      <c r="CE14" s="25"/>
      <c r="CF14" s="25"/>
      <c r="CG14" s="25"/>
      <c r="CH14" s="25"/>
      <c r="CI14" s="25"/>
      <c r="CJ14" s="25"/>
      <c r="CK14" s="25"/>
    </row>
    <row r="15" spans="1:91" ht="14" customHeight="1">
      <c r="A15" s="74" t="str">
        <f>IF(Poor!A15=0,"",Poor!A15)</f>
        <v>Potato: kg produced</v>
      </c>
      <c r="B15" s="215">
        <v>1.8103408514367418E-3</v>
      </c>
      <c r="C15" s="215">
        <v>0</v>
      </c>
      <c r="D15" s="24">
        <f t="shared" si="0"/>
        <v>1.8103408514367418E-3</v>
      </c>
      <c r="E15" s="75">
        <f>Poor!E15</f>
        <v>1</v>
      </c>
      <c r="F15" s="22"/>
      <c r="H15" s="24">
        <f t="shared" si="1"/>
        <v>1</v>
      </c>
      <c r="I15" s="22">
        <f t="shared" si="2"/>
        <v>1.8103408514367418E-3</v>
      </c>
      <c r="J15" s="24">
        <f t="shared" ref="J15:J25" si="17">IF(I$32&lt;=1+I131,I15,B15*H15+J$33*(I15-B15*H15))</f>
        <v>1.8103408514367418E-3</v>
      </c>
      <c r="K15" s="22">
        <f t="shared" si="4"/>
        <v>1.8103408514367418E-3</v>
      </c>
      <c r="L15" s="22">
        <f t="shared" si="5"/>
        <v>1.8103408514367418E-3</v>
      </c>
      <c r="M15" s="226">
        <f t="shared" si="6"/>
        <v>1.8103408514367418E-3</v>
      </c>
      <c r="N15" s="229">
        <v>1</v>
      </c>
      <c r="O15" s="2"/>
      <c r="P15" s="22"/>
      <c r="Q15" s="59" t="s">
        <v>128</v>
      </c>
      <c r="R15" s="222">
        <f>IF($B$81=0,0,(SUMIF($N$6:$N$28,$U15,K$6:K$28)+SUMIF($N$91:$N$118,$U15,K$91:K$118))*$B$83*$H$84*Poor!$B$81/$B$81)</f>
        <v>5094.9920516988204</v>
      </c>
      <c r="S15" s="222">
        <f>IF($B$81=0,0,(SUMIF($N$6:$N$28,$U15,L$6:L$28)+SUMIF($N$91:$N$118,$U15,L$91:L$118))*$I$83*Poor!$B$81/$B$81)</f>
        <v>4082.8</v>
      </c>
      <c r="T15" s="222">
        <f>IF($B$81=0,0,(SUMIF($N$6:$N$28,$U15,M$6:M$28)+SUMIF($N$91:$N$118,$U15,M$91:M$118))*$I$83*Poor!$B$81/$B$81)</f>
        <v>4082.8</v>
      </c>
      <c r="U15" s="223">
        <v>9</v>
      </c>
      <c r="V15" s="56"/>
      <c r="W15" s="110"/>
      <c r="X15" s="118"/>
      <c r="Y15" s="183">
        <f t="shared" si="9"/>
        <v>7.2413634057469671E-3</v>
      </c>
      <c r="Z15" s="156">
        <f>Poor!Z15</f>
        <v>0.25</v>
      </c>
      <c r="AA15" s="121">
        <f t="shared" si="16"/>
        <v>1.8103408514367418E-3</v>
      </c>
      <c r="AB15" s="156">
        <f>Poor!AB15</f>
        <v>0.25</v>
      </c>
      <c r="AC15" s="121">
        <f t="shared" si="7"/>
        <v>1.8103408514367418E-3</v>
      </c>
      <c r="AD15" s="156">
        <f>Poor!AD15</f>
        <v>0.25</v>
      </c>
      <c r="AE15" s="121">
        <f t="shared" si="8"/>
        <v>1.8103408514367418E-3</v>
      </c>
      <c r="AF15" s="122">
        <f t="shared" si="10"/>
        <v>0.25</v>
      </c>
      <c r="AG15" s="121">
        <f t="shared" si="11"/>
        <v>1.8103408514367418E-3</v>
      </c>
      <c r="AH15" s="123">
        <f t="shared" si="12"/>
        <v>1</v>
      </c>
      <c r="AI15" s="183">
        <f t="shared" si="13"/>
        <v>1.8103408514367418E-3</v>
      </c>
      <c r="AJ15" s="120">
        <f t="shared" si="14"/>
        <v>1.8103408514367418E-3</v>
      </c>
      <c r="AK15" s="119">
        <f t="shared" si="15"/>
        <v>1.8103408514367418E-3</v>
      </c>
      <c r="AS15" s="25"/>
      <c r="AT15" s="25"/>
      <c r="AU15" s="25"/>
      <c r="AV15" s="25"/>
      <c r="AW15" s="25"/>
      <c r="AX15" s="25"/>
      <c r="AZ15" s="25"/>
      <c r="BA15" s="25"/>
      <c r="BB15" s="25"/>
      <c r="BC15" s="25"/>
      <c r="BD15" s="25"/>
      <c r="BE15" s="25"/>
      <c r="BF15" s="25"/>
      <c r="BI15" s="25"/>
      <c r="BJ15" s="25"/>
      <c r="BK15" s="25"/>
      <c r="BL15" s="25"/>
      <c r="BM15" s="25"/>
      <c r="BN15" s="25"/>
      <c r="BP15" s="25"/>
      <c r="BQ15" s="25"/>
      <c r="BR15" s="25"/>
      <c r="BS15" s="25"/>
      <c r="BT15" s="25"/>
      <c r="BU15" s="25"/>
      <c r="BV15" s="25"/>
      <c r="BX15" s="25"/>
      <c r="BY15" s="25"/>
      <c r="BZ15" s="25"/>
      <c r="CA15" s="25"/>
      <c r="CB15" s="25"/>
      <c r="CC15" s="25"/>
      <c r="CE15" s="25"/>
      <c r="CF15" s="25"/>
      <c r="CG15" s="25"/>
      <c r="CH15" s="25"/>
      <c r="CI15" s="25"/>
      <c r="CJ15" s="25"/>
      <c r="CK15" s="25"/>
    </row>
    <row r="16" spans="1:91" ht="14" customHeight="1">
      <c r="A16" s="74" t="str">
        <f>IF(Poor!A16=0,"",Poor!A16)</f>
        <v>Sweet potato: no. local meas</v>
      </c>
      <c r="B16" s="215">
        <v>3.9884163553341638E-3</v>
      </c>
      <c r="C16" s="215">
        <v>2.922942611041926E-2</v>
      </c>
      <c r="D16" s="24">
        <f t="shared" ref="D16:D25" si="18">(B16+C16)</f>
        <v>3.3217842465753426E-2</v>
      </c>
      <c r="E16" s="75">
        <f>Poor!E16</f>
        <v>1</v>
      </c>
      <c r="F16" s="22"/>
      <c r="H16" s="24">
        <f t="shared" ref="H16:H25" si="19">(E16*F$7/F$9)</f>
        <v>1</v>
      </c>
      <c r="I16" s="22">
        <f t="shared" ref="I16:I25" si="20">(D16*H16)</f>
        <v>3.3217842465753426E-2</v>
      </c>
      <c r="J16" s="24">
        <f t="shared" si="17"/>
        <v>3.3217842465753426E-2</v>
      </c>
      <c r="K16" s="22">
        <f t="shared" ref="K16:K25" si="21">B16</f>
        <v>3.9884163553341638E-3</v>
      </c>
      <c r="L16" s="22">
        <f t="shared" ref="L16:L25" si="22">IF(K16="","",K16*H16)</f>
        <v>3.9884163553341638E-3</v>
      </c>
      <c r="M16" s="226">
        <f t="shared" ref="M16:M25" si="23">J16</f>
        <v>3.3217842465753426E-2</v>
      </c>
      <c r="N16" s="229">
        <v>1</v>
      </c>
      <c r="O16" s="2"/>
      <c r="P16" s="22"/>
      <c r="Q16" s="126" t="s">
        <v>78</v>
      </c>
      <c r="R16" s="222">
        <f>IF($B$81=0,0,(SUMIF($N$6:$N$28,$U16,K$6:K$28)+SUMIF($N$91:$N$118,$U16,K$91:K$118))*$B$83*$H$84*Poor!$B$81/$B$81)</f>
        <v>1125.0213663288723</v>
      </c>
      <c r="S16" s="222">
        <f>IF($B$81=0,0,(SUMIF($N$6:$N$28,$U16,L$6:L$28)+SUMIF($N$91:$N$118,$U16,L$91:L$118))*$I$83*Poor!$B$81/$B$81)</f>
        <v>611.20000000000005</v>
      </c>
      <c r="T16" s="222">
        <f>IF($B$81=0,0,(SUMIF($N$6:$N$28,$U16,M$6:M$28)+SUMIF($N$91:$N$118,$U16,M$91:M$118))*$I$83*Poor!$B$81/$B$81)</f>
        <v>733.43999999999994</v>
      </c>
      <c r="U16" s="223">
        <v>10</v>
      </c>
      <c r="V16" s="56"/>
      <c r="W16" s="110"/>
      <c r="X16" s="118"/>
      <c r="Y16" s="183"/>
      <c r="Z16" s="156"/>
      <c r="AA16" s="121"/>
      <c r="AB16" s="156"/>
      <c r="AC16" s="121"/>
      <c r="AD16" s="156"/>
      <c r="AE16" s="121"/>
      <c r="AF16" s="122"/>
      <c r="AG16" s="121"/>
      <c r="AH16" s="123"/>
      <c r="AI16" s="183"/>
      <c r="AJ16" s="120"/>
      <c r="AK16" s="119"/>
      <c r="AS16" s="25"/>
      <c r="AT16" s="25"/>
      <c r="AU16" s="25"/>
      <c r="AV16" s="25"/>
      <c r="AW16" s="25"/>
      <c r="AX16" s="25"/>
      <c r="AZ16" s="25"/>
      <c r="BA16" s="25"/>
      <c r="BB16" s="25"/>
      <c r="BC16" s="25"/>
      <c r="BD16" s="25"/>
      <c r="BE16" s="25"/>
      <c r="BF16" s="25"/>
      <c r="BI16" s="25"/>
      <c r="BJ16" s="25"/>
      <c r="BK16" s="25"/>
      <c r="BL16" s="25"/>
      <c r="BM16" s="25"/>
      <c r="BN16" s="25"/>
      <c r="BP16" s="25"/>
      <c r="BQ16" s="25"/>
      <c r="BR16" s="25"/>
      <c r="BS16" s="25"/>
      <c r="BT16" s="25"/>
      <c r="BU16" s="25"/>
      <c r="BV16" s="25"/>
      <c r="BX16" s="25"/>
      <c r="BY16" s="25"/>
      <c r="BZ16" s="25"/>
      <c r="CA16" s="25"/>
      <c r="CB16" s="25"/>
      <c r="CC16" s="25"/>
      <c r="CE16" s="25"/>
      <c r="CF16" s="25"/>
      <c r="CG16" s="25"/>
      <c r="CH16" s="25"/>
      <c r="CI16" s="25"/>
      <c r="CJ16" s="25"/>
      <c r="CK16" s="25"/>
    </row>
    <row r="17" spans="1:89" ht="14" customHeight="1">
      <c r="A17" s="74" t="str">
        <f>IF(Poor!A17=0,"",Poor!A17)</f>
        <v>Water melon: no. local meas</v>
      </c>
      <c r="B17" s="215">
        <v>3.7226805728518054E-3</v>
      </c>
      <c r="C17" s="215">
        <v>0</v>
      </c>
      <c r="D17" s="24">
        <f t="shared" si="18"/>
        <v>3.7226805728518054E-3</v>
      </c>
      <c r="E17" s="75">
        <f>Poor!E17</f>
        <v>1</v>
      </c>
      <c r="F17" s="22"/>
      <c r="H17" s="24">
        <f t="shared" si="19"/>
        <v>1</v>
      </c>
      <c r="I17" s="22">
        <f t="shared" si="20"/>
        <v>3.7226805728518054E-3</v>
      </c>
      <c r="J17" s="24">
        <f t="shared" si="17"/>
        <v>3.7226805728518054E-3</v>
      </c>
      <c r="K17" s="22">
        <f t="shared" si="21"/>
        <v>3.7226805728518054E-3</v>
      </c>
      <c r="L17" s="22">
        <f t="shared" si="22"/>
        <v>3.7226805728518054E-3</v>
      </c>
      <c r="M17" s="226">
        <f t="shared" si="23"/>
        <v>3.7226805728518054E-3</v>
      </c>
      <c r="N17" s="229">
        <v>1</v>
      </c>
      <c r="O17" s="2"/>
      <c r="P17" s="22"/>
      <c r="Q17" s="126" t="s">
        <v>125</v>
      </c>
      <c r="R17" s="222">
        <f>IF($B$81=0,0,(SUMIF($N$6:$N$28,$U17,K$6:K$28)+SUMIF($N$91:$N$118,$U17,K$91:K$118))*$B$83*$H$84*Poor!$B$81/$B$81)</f>
        <v>0</v>
      </c>
      <c r="S17" s="222">
        <f>IF($B$81=0,0,(SUMIF($N$6:$N$28,$U17,L$6:L$28)+SUMIF($N$91:$N$118,$U17,L$91:L$118))*$I$83*Poor!$B$81/$B$81)</f>
        <v>0</v>
      </c>
      <c r="T17" s="222">
        <f>IF($B$81=0,0,(SUMIF($N$6:$N$28,$U17,M$6:M$28)+SUMIF($N$91:$N$118,$U17,M$91:M$118))*$I$83*Poor!$B$81/$B$81)</f>
        <v>0</v>
      </c>
      <c r="U17" s="223">
        <v>11</v>
      </c>
      <c r="V17" s="56"/>
      <c r="W17" s="110"/>
      <c r="X17" s="118"/>
      <c r="Y17" s="183"/>
      <c r="Z17" s="156"/>
      <c r="AA17" s="121"/>
      <c r="AB17" s="156"/>
      <c r="AC17" s="121"/>
      <c r="AD17" s="156"/>
      <c r="AE17" s="121"/>
      <c r="AF17" s="122"/>
      <c r="AG17" s="121"/>
      <c r="AH17" s="123"/>
      <c r="AI17" s="183"/>
      <c r="AJ17" s="120"/>
      <c r="AK17" s="119"/>
      <c r="AS17" s="25"/>
      <c r="AT17" s="25"/>
      <c r="AU17" s="25"/>
      <c r="AV17" s="25"/>
      <c r="AW17" s="25"/>
      <c r="AX17" s="25"/>
      <c r="AZ17" s="25"/>
      <c r="BA17" s="25"/>
      <c r="BB17" s="25"/>
      <c r="BC17" s="25"/>
      <c r="BD17" s="25"/>
      <c r="BE17" s="25"/>
      <c r="BF17" s="25"/>
      <c r="BI17" s="25"/>
      <c r="BJ17" s="25"/>
      <c r="BK17" s="25"/>
      <c r="BL17" s="25"/>
      <c r="BM17" s="25"/>
      <c r="BN17" s="25"/>
      <c r="BP17" s="25"/>
      <c r="BQ17" s="25"/>
      <c r="BR17" s="25"/>
      <c r="BS17" s="25"/>
      <c r="BT17" s="25"/>
      <c r="BU17" s="25"/>
      <c r="BV17" s="25"/>
      <c r="BX17" s="25"/>
      <c r="BY17" s="25"/>
      <c r="BZ17" s="25"/>
      <c r="CA17" s="25"/>
      <c r="CB17" s="25"/>
      <c r="CC17" s="25"/>
      <c r="CE17" s="25"/>
      <c r="CF17" s="25"/>
      <c r="CG17" s="25"/>
      <c r="CH17" s="25"/>
      <c r="CI17" s="25"/>
      <c r="CJ17" s="25"/>
      <c r="CK17" s="25"/>
    </row>
    <row r="18" spans="1:89" ht="14" customHeight="1">
      <c r="A18" s="74" t="str">
        <f>IF(Poor!A18=0,"",Poor!A18)</f>
        <v>Groundnuts (dry): no. local meas</v>
      </c>
      <c r="B18" s="215">
        <v>0</v>
      </c>
      <c r="C18" s="215">
        <v>1.727506226650062E-3</v>
      </c>
      <c r="D18" s="24">
        <f t="shared" si="18"/>
        <v>1.727506226650062E-3</v>
      </c>
      <c r="E18" s="75">
        <f>Poor!E18</f>
        <v>1</v>
      </c>
      <c r="F18" s="22"/>
      <c r="H18" s="24">
        <f t="shared" si="19"/>
        <v>1</v>
      </c>
      <c r="I18" s="22">
        <f t="shared" si="20"/>
        <v>1.727506226650062E-3</v>
      </c>
      <c r="J18" s="24">
        <f t="shared" si="17"/>
        <v>1.727506226650062E-3</v>
      </c>
      <c r="K18" s="22">
        <f t="shared" si="21"/>
        <v>0</v>
      </c>
      <c r="L18" s="22">
        <f t="shared" si="22"/>
        <v>0</v>
      </c>
      <c r="M18" s="226">
        <f t="shared" si="23"/>
        <v>1.727506226650062E-3</v>
      </c>
      <c r="N18" s="229">
        <v>1</v>
      </c>
      <c r="O18" s="2"/>
      <c r="P18" s="22"/>
      <c r="Q18" s="59" t="s">
        <v>79</v>
      </c>
      <c r="R18" s="222">
        <f>IF($B$81=0,0,(SUMIF($N$6:$N$28,$U18,K$6:K$28)+SUMIF($N$91:$N$118,$U18,K$91:K$118))*$B$83*$H$84*Poor!$B$81/$B$81)</f>
        <v>1674.9399602351389</v>
      </c>
      <c r="S18" s="222">
        <f>IF($B$81=0,0,(SUMIF($N$6:$N$28,$U18,L$6:L$28)+SUMIF($N$91:$N$118,$U18,L$91:L$118))*$I$83*Poor!$B$81/$B$81)</f>
        <v>1876.7904122233276</v>
      </c>
      <c r="T18" s="222">
        <f>IF($B$81=0,0,(SUMIF($N$6:$N$28,$U18,M$6:M$28)+SUMIF($N$91:$N$118,$U18,M$91:M$118))*$I$83*Poor!$B$81/$B$81)</f>
        <v>1876.7904122233276</v>
      </c>
      <c r="U18" s="223">
        <v>12</v>
      </c>
      <c r="V18" s="56"/>
      <c r="W18" s="110"/>
      <c r="X18" s="118"/>
      <c r="Y18" s="183"/>
      <c r="Z18" s="156"/>
      <c r="AA18" s="121"/>
      <c r="AB18" s="156"/>
      <c r="AC18" s="121"/>
      <c r="AD18" s="156"/>
      <c r="AE18" s="121"/>
      <c r="AF18" s="122"/>
      <c r="AG18" s="121"/>
      <c r="AH18" s="123"/>
      <c r="AI18" s="183"/>
      <c r="AJ18" s="120"/>
      <c r="AK18" s="119"/>
      <c r="AS18" s="25"/>
      <c r="AT18" s="25"/>
      <c r="AU18" s="25"/>
      <c r="AV18" s="25"/>
      <c r="AW18" s="25"/>
      <c r="AX18" s="25"/>
      <c r="AZ18" s="25"/>
      <c r="BA18" s="25"/>
      <c r="BB18" s="25"/>
      <c r="BC18" s="25"/>
      <c r="BD18" s="25"/>
      <c r="BE18" s="25"/>
      <c r="BF18" s="25"/>
      <c r="BI18" s="25"/>
      <c r="BJ18" s="25"/>
      <c r="BK18" s="25"/>
      <c r="BL18" s="25"/>
      <c r="BM18" s="25"/>
      <c r="BN18" s="25"/>
      <c r="BP18" s="25"/>
      <c r="BQ18" s="25"/>
      <c r="BR18" s="25"/>
      <c r="BS18" s="25"/>
      <c r="BT18" s="25"/>
      <c r="BU18" s="25"/>
      <c r="BV18" s="25"/>
      <c r="BX18" s="25"/>
      <c r="BY18" s="25"/>
      <c r="BZ18" s="25"/>
      <c r="CA18" s="25"/>
      <c r="CB18" s="25"/>
      <c r="CC18" s="25"/>
      <c r="CE18" s="25"/>
      <c r="CF18" s="25"/>
      <c r="CG18" s="25"/>
      <c r="CH18" s="25"/>
      <c r="CI18" s="25"/>
      <c r="CJ18" s="25"/>
      <c r="CK18" s="25"/>
    </row>
    <row r="19" spans="1:89" ht="14" customHeight="1">
      <c r="A19" s="74" t="str">
        <f>IF(Poor!A19=0,"",Poor!A19)</f>
        <v>Other crop: Rape</v>
      </c>
      <c r="B19" s="215">
        <v>1.5644458281444584E-3</v>
      </c>
      <c r="C19" s="215">
        <v>0</v>
      </c>
      <c r="D19" s="24">
        <f t="shared" si="18"/>
        <v>1.5644458281444584E-3</v>
      </c>
      <c r="E19" s="75">
        <f>Poor!E19</f>
        <v>1</v>
      </c>
      <c r="F19" s="22"/>
      <c r="H19" s="24">
        <f t="shared" si="19"/>
        <v>1</v>
      </c>
      <c r="I19" s="22">
        <f t="shared" si="20"/>
        <v>1.5644458281444584E-3</v>
      </c>
      <c r="J19" s="24">
        <f t="shared" si="17"/>
        <v>1.5644458281444584E-3</v>
      </c>
      <c r="K19" s="22">
        <f t="shared" si="21"/>
        <v>1.5644458281444584E-3</v>
      </c>
      <c r="L19" s="22">
        <f t="shared" si="22"/>
        <v>1.5644458281444584E-3</v>
      </c>
      <c r="M19" s="226">
        <f t="shared" si="23"/>
        <v>1.5644458281444584E-3</v>
      </c>
      <c r="N19" s="229">
        <v>1</v>
      </c>
      <c r="O19" s="2"/>
      <c r="P19" s="22"/>
      <c r="Q19" s="59" t="s">
        <v>80</v>
      </c>
      <c r="R19" s="222">
        <f>IF($B$81=0,0,(SUMIF($N$6:$N$28,$U19,K$6:K$28)+SUMIF($N$91:$N$118,$U19,K$91:K$118))*$B$83*$H$84*Poor!$B$81/$B$81)</f>
        <v>151.40236618610371</v>
      </c>
      <c r="S19" s="222">
        <f>IF($B$81=0,0,(SUMIF($N$6:$N$28,$U19,L$6:L$28)+SUMIF($N$91:$N$118,$U19,L$91:L$118))*$I$83*Poor!$B$81/$B$81)</f>
        <v>169.64817604931577</v>
      </c>
      <c r="T19" s="222">
        <f>IF($B$81=0,0,(SUMIF($N$6:$N$28,$U19,M$6:M$28)+SUMIF($N$91:$N$118,$U19,M$91:M$118))*$I$83*Poor!$B$81/$B$81)</f>
        <v>169.64817604931577</v>
      </c>
      <c r="U19" s="223">
        <v>13</v>
      </c>
      <c r="V19" s="56"/>
      <c r="W19" s="110"/>
      <c r="X19" s="118"/>
      <c r="Y19" s="183"/>
      <c r="Z19" s="156"/>
      <c r="AA19" s="121"/>
      <c r="AB19" s="156"/>
      <c r="AC19" s="121"/>
      <c r="AD19" s="156"/>
      <c r="AE19" s="121"/>
      <c r="AF19" s="122"/>
      <c r="AG19" s="121"/>
      <c r="AH19" s="123"/>
      <c r="AI19" s="183"/>
      <c r="AJ19" s="120"/>
      <c r="AK19" s="119"/>
      <c r="AS19" s="25"/>
      <c r="AT19" s="25"/>
      <c r="AU19" s="25"/>
      <c r="AV19" s="25"/>
      <c r="AW19" s="25"/>
      <c r="AX19" s="25"/>
      <c r="AZ19" s="25"/>
      <c r="BA19" s="25"/>
      <c r="BB19" s="25"/>
      <c r="BC19" s="25"/>
      <c r="BD19" s="25"/>
      <c r="BE19" s="25"/>
      <c r="BF19" s="25"/>
      <c r="BI19" s="25"/>
      <c r="BJ19" s="25"/>
      <c r="BK19" s="25"/>
      <c r="BL19" s="25"/>
      <c r="BM19" s="25"/>
      <c r="BN19" s="25"/>
      <c r="BP19" s="25"/>
      <c r="BQ19" s="25"/>
      <c r="BR19" s="25"/>
      <c r="BS19" s="25"/>
      <c r="BT19" s="25"/>
      <c r="BU19" s="25"/>
      <c r="BV19" s="25"/>
      <c r="BX19" s="25"/>
      <c r="BY19" s="25"/>
      <c r="BZ19" s="25"/>
      <c r="CA19" s="25"/>
      <c r="CB19" s="25"/>
      <c r="CC19" s="25"/>
      <c r="CE19" s="25"/>
      <c r="CF19" s="25"/>
      <c r="CG19" s="25"/>
      <c r="CH19" s="25"/>
      <c r="CI19" s="25"/>
      <c r="CJ19" s="25"/>
      <c r="CK19" s="25"/>
    </row>
    <row r="20" spans="1:89" ht="14" customHeight="1">
      <c r="A20" s="74" t="str">
        <f>IF(Poor!A20=0,"",Poor!A20)</f>
        <v>Other crop: pumpkin</v>
      </c>
      <c r="B20" s="215">
        <v>1.9552303860523038E-2</v>
      </c>
      <c r="C20" s="215">
        <v>0</v>
      </c>
      <c r="D20" s="24">
        <f t="shared" si="18"/>
        <v>1.9552303860523038E-2</v>
      </c>
      <c r="E20" s="75">
        <f>Poor!E20</f>
        <v>1</v>
      </c>
      <c r="F20" s="22"/>
      <c r="H20" s="24">
        <f t="shared" si="19"/>
        <v>1</v>
      </c>
      <c r="I20" s="22">
        <f t="shared" si="20"/>
        <v>1.9552303860523038E-2</v>
      </c>
      <c r="J20" s="24">
        <f t="shared" si="17"/>
        <v>1.9552303860523038E-2</v>
      </c>
      <c r="K20" s="22">
        <f t="shared" si="21"/>
        <v>1.9552303860523038E-2</v>
      </c>
      <c r="L20" s="22">
        <f t="shared" si="22"/>
        <v>1.9552303860523038E-2</v>
      </c>
      <c r="M20" s="226">
        <f t="shared" si="23"/>
        <v>1.9552303860523038E-2</v>
      </c>
      <c r="N20" s="229">
        <v>1</v>
      </c>
      <c r="O20" s="2"/>
      <c r="P20" s="22"/>
      <c r="Q20" s="59" t="s">
        <v>81</v>
      </c>
      <c r="R20" s="222">
        <f>IF($B$81=0,0,(SUMIF($N$6:$N$28,$U20,K$6:K$28)+SUMIF($N$91:$N$118,$U20,K$91:K$118))*$B$83*$H$84*Poor!$B$81/$B$81)</f>
        <v>31983.591723381032</v>
      </c>
      <c r="S20" s="222">
        <f>IF($B$81=0,0,(SUMIF($N$6:$N$28,$U20,L$6:L$28)+SUMIF($N$91:$N$118,$U20,L$91:L$118))*$I$83*Poor!$B$81/$B$81)</f>
        <v>0</v>
      </c>
      <c r="T20" s="222">
        <f>IF($B$81=0,0,(SUMIF($N$6:$N$28,$U20,M$6:M$28)+SUMIF($N$91:$N$118,$U20,M$91:M$118))*$I$83*Poor!$B$81/$B$81)</f>
        <v>0</v>
      </c>
      <c r="U20" s="223">
        <v>14</v>
      </c>
      <c r="V20" s="56"/>
      <c r="W20" s="110"/>
      <c r="X20" s="118"/>
      <c r="Y20" s="183"/>
      <c r="Z20" s="156"/>
      <c r="AA20" s="121"/>
      <c r="AB20" s="156"/>
      <c r="AC20" s="121"/>
      <c r="AD20" s="156"/>
      <c r="AE20" s="121"/>
      <c r="AF20" s="122"/>
      <c r="AG20" s="121"/>
      <c r="AH20" s="123"/>
      <c r="AI20" s="183"/>
      <c r="AJ20" s="120"/>
      <c r="AK20" s="119"/>
      <c r="AS20" s="25"/>
      <c r="AT20" s="25"/>
      <c r="AU20" s="25"/>
      <c r="AV20" s="25"/>
      <c r="AW20" s="25"/>
      <c r="AX20" s="25"/>
      <c r="AZ20" s="25"/>
      <c r="BA20" s="25"/>
      <c r="BB20" s="25"/>
      <c r="BC20" s="25"/>
      <c r="BD20" s="25"/>
      <c r="BE20" s="25"/>
      <c r="BF20" s="25"/>
      <c r="BI20" s="25"/>
      <c r="BJ20" s="25"/>
      <c r="BK20" s="25"/>
      <c r="BL20" s="25"/>
      <c r="BM20" s="25"/>
      <c r="BN20" s="25"/>
      <c r="BP20" s="25"/>
      <c r="BQ20" s="25"/>
      <c r="BR20" s="25"/>
      <c r="BS20" s="25"/>
      <c r="BT20" s="25"/>
      <c r="BU20" s="25"/>
      <c r="BV20" s="25"/>
      <c r="BX20" s="25"/>
      <c r="BY20" s="25"/>
      <c r="BZ20" s="25"/>
      <c r="CA20" s="25"/>
      <c r="CB20" s="25"/>
      <c r="CC20" s="25"/>
      <c r="CE20" s="25"/>
      <c r="CF20" s="25"/>
      <c r="CG20" s="25"/>
      <c r="CH20" s="25"/>
      <c r="CI20" s="25"/>
      <c r="CJ20" s="25"/>
      <c r="CK20" s="25"/>
    </row>
    <row r="21" spans="1:89" ht="14" customHeight="1">
      <c r="A21" s="74" t="str">
        <f>IF(Poor!A21=0,"",Poor!A21)</f>
        <v>WILD FOODS -- see worksheet Data 3</v>
      </c>
      <c r="B21" s="215">
        <v>3.8642849730178498E-3</v>
      </c>
      <c r="C21" s="215">
        <v>-3.8642849730178498E-3</v>
      </c>
      <c r="D21" s="24">
        <f t="shared" si="18"/>
        <v>0</v>
      </c>
      <c r="E21" s="75">
        <f>Poor!E21</f>
        <v>1</v>
      </c>
      <c r="F21" s="22"/>
      <c r="H21" s="24">
        <f t="shared" si="19"/>
        <v>1</v>
      </c>
      <c r="I21" s="22">
        <f t="shared" si="20"/>
        <v>0</v>
      </c>
      <c r="J21" s="24">
        <f t="shared" si="17"/>
        <v>0</v>
      </c>
      <c r="K21" s="22">
        <f t="shared" si="21"/>
        <v>3.8642849730178498E-3</v>
      </c>
      <c r="L21" s="22">
        <f t="shared" si="22"/>
        <v>3.8642849730178498E-3</v>
      </c>
      <c r="M21" s="226">
        <f t="shared" si="23"/>
        <v>0</v>
      </c>
      <c r="N21" s="229">
        <v>1</v>
      </c>
      <c r="O21" s="2"/>
      <c r="P21" s="22"/>
      <c r="Q21" s="59" t="s">
        <v>82</v>
      </c>
      <c r="R21" s="222">
        <f>IF($B$81=0,0,(SUMIF($N$6:$N$28,$U21,K$6:K$28)+SUMIF($N$91:$N$118,$U21,K$91:K$118))*$B$83*$H$84*Poor!$B$81/$B$81)</f>
        <v>0</v>
      </c>
      <c r="S21" s="222">
        <f>IF($B$81=0,0,(SUMIF($N$6:$N$28,$U21,L$6:L$28)+SUMIF($N$91:$N$118,$U21,L$91:L$118))*$I$83*Poor!$B$81/$B$81)</f>
        <v>0</v>
      </c>
      <c r="T21" s="222">
        <f>IF($B$81=0,0,(SUMIF($N$6:$N$28,$U21,M$6:M$28)+SUMIF($N$91:$N$118,$U21,M$91:M$118))*$I$83*Poor!$B$81/$B$81)</f>
        <v>0</v>
      </c>
      <c r="U21" s="223">
        <v>15</v>
      </c>
      <c r="V21" s="56"/>
      <c r="W21" s="110"/>
      <c r="X21" s="118"/>
      <c r="Y21" s="183"/>
      <c r="Z21" s="156"/>
      <c r="AA21" s="121"/>
      <c r="AB21" s="156"/>
      <c r="AC21" s="121"/>
      <c r="AD21" s="156"/>
      <c r="AE21" s="121"/>
      <c r="AF21" s="122"/>
      <c r="AG21" s="121"/>
      <c r="AH21" s="123"/>
      <c r="AI21" s="183"/>
      <c r="AJ21" s="120"/>
      <c r="AK21" s="119"/>
      <c r="AS21" s="25"/>
      <c r="AT21" s="25"/>
      <c r="AU21" s="25"/>
      <c r="AV21" s="25"/>
      <c r="AW21" s="25"/>
      <c r="AX21" s="25"/>
      <c r="AZ21" s="25"/>
      <c r="BA21" s="25"/>
      <c r="BB21" s="25"/>
      <c r="BC21" s="25"/>
      <c r="BD21" s="25"/>
      <c r="BE21" s="25"/>
      <c r="BF21" s="25"/>
      <c r="BI21" s="25"/>
      <c r="BJ21" s="25"/>
      <c r="BK21" s="25"/>
      <c r="BL21" s="25"/>
      <c r="BM21" s="25"/>
      <c r="BN21" s="25"/>
      <c r="BP21" s="25"/>
      <c r="BQ21" s="25"/>
      <c r="BR21" s="25"/>
      <c r="BS21" s="25"/>
      <c r="BT21" s="25"/>
      <c r="BU21" s="25"/>
      <c r="BV21" s="25"/>
      <c r="BX21" s="25"/>
      <c r="BY21" s="25"/>
      <c r="BZ21" s="25"/>
      <c r="CA21" s="25"/>
      <c r="CB21" s="25"/>
      <c r="CC21" s="25"/>
      <c r="CE21" s="25"/>
      <c r="CF21" s="25"/>
      <c r="CG21" s="25"/>
      <c r="CH21" s="25"/>
      <c r="CI21" s="25"/>
      <c r="CJ21" s="25"/>
      <c r="CK21" s="25"/>
    </row>
    <row r="22" spans="1:89" ht="14" customHeight="1">
      <c r="A22" s="74" t="str">
        <f>IF(Poor!A22=0,"",Poor!A22)</f>
        <v>Labour: Weeding, ploughing</v>
      </c>
      <c r="B22" s="215">
        <v>5.1259623287671231E-2</v>
      </c>
      <c r="C22" s="215">
        <v>0</v>
      </c>
      <c r="D22" s="24">
        <f t="shared" si="18"/>
        <v>5.1259623287671231E-2</v>
      </c>
      <c r="E22" s="75">
        <f>Poor!E22</f>
        <v>1</v>
      </c>
      <c r="F22" s="22"/>
      <c r="H22" s="24">
        <f t="shared" si="19"/>
        <v>1</v>
      </c>
      <c r="I22" s="22">
        <f t="shared" si="20"/>
        <v>5.1259623287671231E-2</v>
      </c>
      <c r="J22" s="24">
        <f t="shared" si="17"/>
        <v>5.1259623287671231E-2</v>
      </c>
      <c r="K22" s="22">
        <f t="shared" si="21"/>
        <v>5.1259623287671231E-2</v>
      </c>
      <c r="L22" s="22">
        <f t="shared" si="22"/>
        <v>5.1259623287671231E-2</v>
      </c>
      <c r="M22" s="226">
        <f t="shared" si="23"/>
        <v>5.1259623287671231E-2</v>
      </c>
      <c r="N22" s="229">
        <v>7</v>
      </c>
      <c r="O22" s="2"/>
      <c r="P22" s="22"/>
      <c r="Q22" s="59" t="s">
        <v>83</v>
      </c>
      <c r="R22" s="222">
        <f>IF($B$81=0,0,(SUMIF($N$6:$N$28,$U22,K$6:K$28)+SUMIF($N$91:$N$118,$U22,K$91:K$118))*$B$83*$H$84*Poor!$B$81/$B$81)</f>
        <v>0</v>
      </c>
      <c r="S22" s="222">
        <f>IF($B$81=0,0,(SUMIF($N$6:$N$28,$U22,L$6:L$28)+SUMIF($N$91:$N$118,$U22,L$91:L$118))*$I$83*Poor!$B$81/$B$81)</f>
        <v>0</v>
      </c>
      <c r="T22" s="222">
        <f>IF($B$81=0,0,(SUMIF($N$6:$N$28,$U22,M$6:M$28)+SUMIF($N$91:$N$118,$U22,M$91:M$118))*$I$83*Poor!$B$81/$B$81)</f>
        <v>0</v>
      </c>
      <c r="U22" s="223">
        <v>16</v>
      </c>
      <c r="V22" s="56"/>
      <c r="W22" s="110"/>
      <c r="X22" s="118"/>
      <c r="Y22" s="183"/>
      <c r="Z22" s="156"/>
      <c r="AA22" s="121"/>
      <c r="AB22" s="156"/>
      <c r="AC22" s="121"/>
      <c r="AD22" s="156"/>
      <c r="AE22" s="121"/>
      <c r="AF22" s="122"/>
      <c r="AG22" s="121"/>
      <c r="AH22" s="123"/>
      <c r="AI22" s="183"/>
      <c r="AJ22" s="120"/>
      <c r="AK22" s="119"/>
      <c r="AS22" s="25"/>
      <c r="AT22" s="25"/>
      <c r="AU22" s="25"/>
      <c r="AV22" s="25"/>
      <c r="AW22" s="25"/>
      <c r="AX22" s="25"/>
      <c r="AZ22" s="25"/>
      <c r="BA22" s="25"/>
      <c r="BB22" s="25"/>
      <c r="BC22" s="25"/>
      <c r="BD22" s="25"/>
      <c r="BE22" s="25"/>
      <c r="BF22" s="25"/>
      <c r="BI22" s="25"/>
      <c r="BJ22" s="25"/>
      <c r="BK22" s="25"/>
      <c r="BL22" s="25"/>
      <c r="BM22" s="25"/>
      <c r="BN22" s="25"/>
      <c r="BP22" s="25"/>
      <c r="BQ22" s="25"/>
      <c r="BR22" s="25"/>
      <c r="BS22" s="25"/>
      <c r="BT22" s="25"/>
      <c r="BU22" s="25"/>
      <c r="BV22" s="25"/>
      <c r="BX22" s="25"/>
      <c r="BY22" s="25"/>
      <c r="BZ22" s="25"/>
      <c r="CA22" s="25"/>
      <c r="CB22" s="25"/>
      <c r="CC22" s="25"/>
      <c r="CE22" s="25"/>
      <c r="CF22" s="25"/>
      <c r="CG22" s="25"/>
      <c r="CH22" s="25"/>
      <c r="CI22" s="25"/>
      <c r="CJ22" s="25"/>
      <c r="CK22" s="25"/>
    </row>
    <row r="23" spans="1:89" ht="14" customHeight="1" thickBot="1">
      <c r="A23" s="74" t="str">
        <f>IF(Poor!A23=0,"",Poor!A23)</f>
        <v>Labour: Weeding</v>
      </c>
      <c r="B23" s="215">
        <v>0</v>
      </c>
      <c r="C23" s="215">
        <v>0</v>
      </c>
      <c r="D23" s="24">
        <f t="shared" si="18"/>
        <v>0</v>
      </c>
      <c r="E23" s="75">
        <f>Poor!E23</f>
        <v>1</v>
      </c>
      <c r="F23" s="22"/>
      <c r="H23" s="24">
        <f t="shared" si="19"/>
        <v>1</v>
      </c>
      <c r="I23" s="22">
        <f t="shared" si="20"/>
        <v>0</v>
      </c>
      <c r="J23" s="24">
        <f t="shared" si="17"/>
        <v>0</v>
      </c>
      <c r="K23" s="22">
        <f t="shared" si="21"/>
        <v>0</v>
      </c>
      <c r="L23" s="22">
        <f t="shared" si="22"/>
        <v>0</v>
      </c>
      <c r="M23" s="226">
        <f t="shared" si="23"/>
        <v>0</v>
      </c>
      <c r="N23" s="229">
        <v>7</v>
      </c>
      <c r="O23" s="2"/>
      <c r="P23" s="22"/>
      <c r="Q23" s="171" t="s">
        <v>100</v>
      </c>
      <c r="R23" s="179">
        <f>SUM(R7:R22)</f>
        <v>53891.067462932857</v>
      </c>
      <c r="S23" s="179">
        <f>SUM(S7:S22)</f>
        <v>19083.588964184401</v>
      </c>
      <c r="T23" s="179">
        <f>SUM(T7:T22)</f>
        <v>18879.687718643596</v>
      </c>
      <c r="U23" s="56"/>
      <c r="V23" s="56"/>
      <c r="W23" s="110"/>
      <c r="X23" s="118"/>
      <c r="Y23" s="183"/>
      <c r="Z23" s="156"/>
      <c r="AA23" s="121"/>
      <c r="AB23" s="156"/>
      <c r="AC23" s="121"/>
      <c r="AD23" s="156"/>
      <c r="AE23" s="121"/>
      <c r="AF23" s="122"/>
      <c r="AG23" s="121"/>
      <c r="AH23" s="123"/>
      <c r="AI23" s="183"/>
      <c r="AJ23" s="120"/>
      <c r="AK23" s="119"/>
      <c r="AS23" s="25"/>
      <c r="AT23" s="25"/>
      <c r="AU23" s="25"/>
      <c r="AV23" s="25"/>
      <c r="AW23" s="25"/>
      <c r="AX23" s="25"/>
      <c r="AZ23" s="25"/>
      <c r="BA23" s="25"/>
      <c r="BB23" s="25"/>
      <c r="BC23" s="25"/>
      <c r="BD23" s="25"/>
      <c r="BE23" s="25"/>
      <c r="BF23" s="25"/>
      <c r="BI23" s="25"/>
      <c r="BJ23" s="25"/>
      <c r="BK23" s="25"/>
      <c r="BL23" s="25"/>
      <c r="BM23" s="25"/>
      <c r="BN23" s="25"/>
      <c r="BP23" s="25"/>
      <c r="BQ23" s="25"/>
      <c r="BR23" s="25"/>
      <c r="BS23" s="25"/>
      <c r="BT23" s="25"/>
      <c r="BU23" s="25"/>
      <c r="BV23" s="25"/>
      <c r="BX23" s="25"/>
      <c r="BY23" s="25"/>
      <c r="BZ23" s="25"/>
      <c r="CA23" s="25"/>
      <c r="CB23" s="25"/>
      <c r="CC23" s="25"/>
      <c r="CE23" s="25"/>
      <c r="CF23" s="25"/>
      <c r="CG23" s="25"/>
      <c r="CH23" s="25"/>
      <c r="CI23" s="25"/>
      <c r="CJ23" s="25"/>
      <c r="CK23" s="25"/>
    </row>
    <row r="24" spans="1:89" ht="14" customHeight="1" thickTop="1">
      <c r="A24" s="74" t="str">
        <f>IF(Poor!A24=0,"",Poor!A24)</f>
        <v>Gifts/remittances: cereal</v>
      </c>
      <c r="B24" s="215">
        <v>8.2575896637608979E-3</v>
      </c>
      <c r="C24" s="215">
        <v>0</v>
      </c>
      <c r="D24" s="24">
        <f t="shared" si="18"/>
        <v>8.2575896637608979E-3</v>
      </c>
      <c r="E24" s="75">
        <f>Poor!E24</f>
        <v>1</v>
      </c>
      <c r="F24" s="22"/>
      <c r="H24" s="24">
        <f t="shared" si="19"/>
        <v>1</v>
      </c>
      <c r="I24" s="22">
        <f t="shared" si="20"/>
        <v>8.2575896637608979E-3</v>
      </c>
      <c r="J24" s="24">
        <f t="shared" si="17"/>
        <v>8.2575896637608979E-3</v>
      </c>
      <c r="K24" s="22">
        <f t="shared" si="21"/>
        <v>8.2575896637608979E-3</v>
      </c>
      <c r="L24" s="22">
        <f t="shared" si="22"/>
        <v>8.2575896637608979E-3</v>
      </c>
      <c r="M24" s="226">
        <f t="shared" si="23"/>
        <v>8.2575896637608979E-3</v>
      </c>
      <c r="N24" s="229">
        <v>13</v>
      </c>
      <c r="O24" s="2"/>
      <c r="P24" s="22"/>
      <c r="Q24" s="59" t="s">
        <v>137</v>
      </c>
      <c r="R24" s="41">
        <f>IF($B$81=0,0,(SUM(($B$70*$H$70))+((1-$D$29)*$I$83))*Poor!$B$81/$B$81)</f>
        <v>40474.951687871187</v>
      </c>
      <c r="S24" s="41">
        <f>IF($B$81=0,0,(SUM(($B$70*$H$70))+((1-$D$29)*$I$83))*Poor!$B$81/$B$81)</f>
        <v>40474.951687871187</v>
      </c>
      <c r="T24" s="41">
        <f>IF($B$81=0,0,(SUM(($B$70*$H$70))+((1-$D$29)*$I$83))*Poor!$B$81/$B$81)</f>
        <v>40474.951687871187</v>
      </c>
      <c r="U24" s="56"/>
      <c r="V24" s="56"/>
      <c r="W24" s="110"/>
      <c r="X24" s="118"/>
      <c r="Y24" s="183">
        <f t="shared" si="9"/>
        <v>3.3030358655043592E-2</v>
      </c>
      <c r="Z24" s="156">
        <f>Poor!Z16</f>
        <v>0</v>
      </c>
      <c r="AA24" s="121">
        <f t="shared" si="16"/>
        <v>0</v>
      </c>
      <c r="AB24" s="156">
        <f>Poor!AB16</f>
        <v>0</v>
      </c>
      <c r="AC24" s="121">
        <f t="shared" si="7"/>
        <v>0</v>
      </c>
      <c r="AD24" s="156">
        <f>Poor!AD16</f>
        <v>0</v>
      </c>
      <c r="AE24" s="121">
        <f t="shared" si="8"/>
        <v>0</v>
      </c>
      <c r="AF24" s="122">
        <f t="shared" si="10"/>
        <v>1</v>
      </c>
      <c r="AG24" s="121">
        <f t="shared" si="11"/>
        <v>3.3030358655043592E-2</v>
      </c>
      <c r="AH24" s="123">
        <f t="shared" si="12"/>
        <v>1</v>
      </c>
      <c r="AI24" s="183">
        <f t="shared" si="13"/>
        <v>8.2575896637608979E-3</v>
      </c>
      <c r="AJ24" s="120">
        <f t="shared" si="14"/>
        <v>0</v>
      </c>
      <c r="AK24" s="119">
        <f t="shared" si="15"/>
        <v>1.6515179327521796E-2</v>
      </c>
      <c r="AS24" s="25"/>
      <c r="AT24" s="25"/>
      <c r="AU24" s="25"/>
      <c r="AV24" s="25"/>
      <c r="AW24" s="25"/>
      <c r="AX24" s="25"/>
      <c r="AZ24" s="25"/>
      <c r="BA24" s="25"/>
      <c r="BB24" s="25"/>
      <c r="BC24" s="25"/>
      <c r="BD24" s="25"/>
      <c r="BE24" s="25"/>
      <c r="BF24" s="25"/>
      <c r="BI24" s="25"/>
      <c r="BJ24" s="25"/>
      <c r="BK24" s="25"/>
      <c r="BL24" s="25"/>
      <c r="BM24" s="25"/>
      <c r="BN24" s="25"/>
      <c r="BP24" s="25"/>
      <c r="BQ24" s="25"/>
      <c r="BR24" s="25"/>
      <c r="BS24" s="25"/>
      <c r="BT24" s="25"/>
      <c r="BU24" s="25"/>
      <c r="BV24" s="25"/>
      <c r="BX24" s="25"/>
      <c r="BY24" s="25"/>
      <c r="BZ24" s="25"/>
      <c r="CA24" s="25"/>
      <c r="CB24" s="25"/>
      <c r="CC24" s="25"/>
      <c r="CE24" s="25"/>
      <c r="CF24" s="25"/>
      <c r="CG24" s="25"/>
      <c r="CH24" s="25"/>
      <c r="CI24" s="25"/>
      <c r="CJ24" s="25"/>
      <c r="CK24" s="25"/>
    </row>
    <row r="25" spans="1:89" ht="14" customHeight="1">
      <c r="A25" s="74" t="str">
        <f>IF(Poor!A25=0,"",Poor!A25)</f>
        <v>Gifts/remittances: sugar</v>
      </c>
      <c r="B25" s="215">
        <v>1.737982565379826E-3</v>
      </c>
      <c r="C25" s="215">
        <v>0</v>
      </c>
      <c r="D25" s="24">
        <f t="shared" si="18"/>
        <v>1.737982565379826E-3</v>
      </c>
      <c r="E25" s="75">
        <f>Poor!E25</f>
        <v>1</v>
      </c>
      <c r="F25" s="22"/>
      <c r="H25" s="24">
        <f t="shared" si="19"/>
        <v>1</v>
      </c>
      <c r="I25" s="22">
        <f t="shared" si="20"/>
        <v>1.737982565379826E-3</v>
      </c>
      <c r="J25" s="24">
        <f t="shared" si="17"/>
        <v>1.737982565379826E-3</v>
      </c>
      <c r="K25" s="22">
        <f t="shared" si="21"/>
        <v>1.737982565379826E-3</v>
      </c>
      <c r="L25" s="22">
        <f t="shared" si="22"/>
        <v>1.737982565379826E-3</v>
      </c>
      <c r="M25" s="226">
        <f t="shared" si="23"/>
        <v>1.737982565379826E-3</v>
      </c>
      <c r="N25" s="229">
        <v>13</v>
      </c>
      <c r="O25" s="2"/>
      <c r="P25" s="22"/>
      <c r="Q25" s="142" t="s">
        <v>138</v>
      </c>
      <c r="R25" s="41">
        <f>IF($B$81=0,0,(SUM(($B$70*$H$70),($B$71*$H$71))+((1-$D$29)*$I$83))*Poor!$B$81/$B$81)</f>
        <v>59912.96057676011</v>
      </c>
      <c r="S25" s="41">
        <f>IF($B$81=0,0,(SUM(($B$70*$H$70),($B$71*$H$71))+((1-$D$29)*$I$83))*Poor!$B$81/$B$81)</f>
        <v>59912.96057676011</v>
      </c>
      <c r="T25" s="41">
        <f>IF($B$81=0,0,(SUM(($B$70*$H$70),($B$71*$H$71))+((1-$D$29)*$I$83))*Poor!$B$81/$B$81)</f>
        <v>59912.96057676011</v>
      </c>
      <c r="U25" s="56"/>
      <c r="V25" s="56"/>
      <c r="W25" s="110"/>
      <c r="X25" s="118"/>
      <c r="Y25" s="183">
        <f t="shared" si="9"/>
        <v>6.9519302615193039E-3</v>
      </c>
      <c r="Z25" s="156">
        <f>Poor!Z17</f>
        <v>0.29409999999999997</v>
      </c>
      <c r="AA25" s="121">
        <f t="shared" si="16"/>
        <v>2.0445626899128272E-3</v>
      </c>
      <c r="AB25" s="156">
        <f>Poor!AB17</f>
        <v>0.17649999999999999</v>
      </c>
      <c r="AC25" s="121">
        <f t="shared" si="7"/>
        <v>1.2270156911581571E-3</v>
      </c>
      <c r="AD25" s="156">
        <f>Poor!AD17</f>
        <v>0.23530000000000001</v>
      </c>
      <c r="AE25" s="121">
        <f t="shared" si="8"/>
        <v>1.6357891905354922E-3</v>
      </c>
      <c r="AF25" s="122">
        <f t="shared" si="10"/>
        <v>0.29410000000000003</v>
      </c>
      <c r="AG25" s="121">
        <f t="shared" si="11"/>
        <v>2.0445626899128276E-3</v>
      </c>
      <c r="AH25" s="123">
        <f t="shared" si="12"/>
        <v>1</v>
      </c>
      <c r="AI25" s="183">
        <f t="shared" si="13"/>
        <v>1.7379825653798262E-3</v>
      </c>
      <c r="AJ25" s="120">
        <f t="shared" si="14"/>
        <v>1.6357891905354922E-3</v>
      </c>
      <c r="AK25" s="119">
        <f t="shared" si="15"/>
        <v>1.8401759402241599E-3</v>
      </c>
      <c r="AS25" s="25"/>
      <c r="AT25" s="25"/>
      <c r="AU25" s="25"/>
      <c r="AV25" s="25"/>
      <c r="AW25" s="25"/>
      <c r="AX25" s="25"/>
      <c r="AZ25" s="25"/>
      <c r="BA25" s="25"/>
      <c r="BB25" s="25"/>
      <c r="BC25" s="25"/>
      <c r="BD25" s="25"/>
      <c r="BE25" s="25"/>
      <c r="BF25" s="25"/>
      <c r="BI25" s="25"/>
      <c r="BJ25" s="25"/>
      <c r="BK25" s="25"/>
      <c r="BL25" s="25"/>
      <c r="BM25" s="25"/>
      <c r="BN25" s="25"/>
      <c r="BP25" s="25"/>
      <c r="BQ25" s="25"/>
      <c r="BR25" s="25"/>
      <c r="BS25" s="25"/>
      <c r="BT25" s="25"/>
      <c r="BU25" s="25"/>
      <c r="BV25" s="25"/>
      <c r="BX25" s="25"/>
      <c r="BY25" s="25"/>
      <c r="BZ25" s="25"/>
      <c r="CA25" s="25"/>
      <c r="CB25" s="25"/>
      <c r="CC25" s="25"/>
      <c r="CE25" s="25"/>
      <c r="CF25" s="25"/>
      <c r="CG25" s="25"/>
      <c r="CH25" s="25"/>
      <c r="CI25" s="25"/>
      <c r="CJ25" s="25"/>
      <c r="CK25" s="25"/>
    </row>
    <row r="26" spans="1:89" ht="14" customHeight="1">
      <c r="A26" s="74" t="str">
        <f>IF(Poor!A26=0,"",Poor!A26)</f>
        <v>Food aid</v>
      </c>
      <c r="B26" s="215">
        <v>0.11057940357038532</v>
      </c>
      <c r="C26" s="215">
        <v>0</v>
      </c>
      <c r="D26" s="24">
        <f t="shared" si="0"/>
        <v>0.11057940357038532</v>
      </c>
      <c r="E26" s="75">
        <f>Poor!E26</f>
        <v>1</v>
      </c>
      <c r="F26" s="22"/>
      <c r="H26" s="24">
        <f t="shared" si="1"/>
        <v>1</v>
      </c>
      <c r="I26" s="22">
        <f t="shared" si="2"/>
        <v>0.11057940357038532</v>
      </c>
      <c r="J26" s="24">
        <f>IF(I$32&lt;=1+I131,I26,B26*H26+J$33*(I26-B26*H26))</f>
        <v>0.11057940357038532</v>
      </c>
      <c r="K26" s="22">
        <f t="shared" si="4"/>
        <v>0.11057940357038532</v>
      </c>
      <c r="L26" s="22">
        <f t="shared" si="5"/>
        <v>0.11057940357038532</v>
      </c>
      <c r="M26" s="224">
        <f t="shared" si="6"/>
        <v>0.11057940357038532</v>
      </c>
      <c r="N26" s="229">
        <v>12</v>
      </c>
      <c r="O26" s="2"/>
      <c r="P26" s="22"/>
      <c r="Q26" s="59" t="s">
        <v>139</v>
      </c>
      <c r="R26" s="41">
        <f>IF($B$81=0,0,(SUM(($B$70*$H$70),($B$71*$H$71),($B$72*$H$72))+((1-$D$29)*$I$83))*Poor!$B$81/$B$81)</f>
        <v>94209.829148188684</v>
      </c>
      <c r="S26" s="41">
        <f>IF($B$81=0,0,(SUM(($B$70*$H$70),($B$71*$H$71),($B$72*$H$72))+((1-$D$29)*$I$83))*Poor!$B$81/$B$81)</f>
        <v>94209.829148188684</v>
      </c>
      <c r="T26" s="41">
        <f>IF($B$81=0,0,(SUM(($B$70*$H$70),($B$71*$H$71),($B$72*$H$72))+((1-$D$29)*$I$83))*Poor!$B$81/$B$81)</f>
        <v>94209.829148188684</v>
      </c>
      <c r="U26" s="56"/>
      <c r="V26" s="56"/>
      <c r="W26" s="110"/>
      <c r="X26" s="118"/>
      <c r="Y26" s="183">
        <f t="shared" si="9"/>
        <v>0.44231761428154126</v>
      </c>
      <c r="Z26" s="156">
        <f>Poor!Z26</f>
        <v>0.25</v>
      </c>
      <c r="AA26" s="121">
        <f t="shared" si="16"/>
        <v>0.11057940357038532</v>
      </c>
      <c r="AB26" s="156">
        <f>Poor!AB26</f>
        <v>0.25</v>
      </c>
      <c r="AC26" s="121">
        <f t="shared" si="7"/>
        <v>0.11057940357038532</v>
      </c>
      <c r="AD26" s="156">
        <f>Poor!AD26</f>
        <v>0.25</v>
      </c>
      <c r="AE26" s="121">
        <f t="shared" si="8"/>
        <v>0.11057940357038532</v>
      </c>
      <c r="AF26" s="122">
        <f t="shared" si="10"/>
        <v>0.25</v>
      </c>
      <c r="AG26" s="121">
        <f t="shared" si="11"/>
        <v>0.11057940357038532</v>
      </c>
      <c r="AH26" s="123">
        <f t="shared" si="12"/>
        <v>1</v>
      </c>
      <c r="AI26" s="183">
        <f t="shared" si="13"/>
        <v>0.11057940357038532</v>
      </c>
      <c r="AJ26" s="120">
        <f t="shared" si="14"/>
        <v>0.11057940357038532</v>
      </c>
      <c r="AK26" s="119">
        <f t="shared" si="15"/>
        <v>0.11057940357038532</v>
      </c>
      <c r="AS26" s="25"/>
      <c r="AT26" s="25"/>
      <c r="AU26" s="25"/>
      <c r="AV26" s="25"/>
      <c r="AW26" s="25"/>
      <c r="AX26" s="25"/>
      <c r="AZ26" s="25"/>
      <c r="BA26" s="25"/>
      <c r="BB26" s="25"/>
      <c r="BC26" s="25"/>
      <c r="BD26" s="25"/>
      <c r="BE26" s="25"/>
      <c r="BF26" s="25"/>
      <c r="BI26" s="25"/>
      <c r="BJ26" s="25"/>
      <c r="BK26" s="25"/>
      <c r="BL26" s="25"/>
      <c r="BM26" s="25"/>
      <c r="BN26" s="25"/>
      <c r="BP26" s="25"/>
      <c r="BQ26" s="25"/>
      <c r="BR26" s="25"/>
      <c r="BS26" s="25"/>
      <c r="BT26" s="25"/>
      <c r="BU26" s="25"/>
      <c r="BV26" s="25"/>
      <c r="BX26" s="25"/>
      <c r="BY26" s="25"/>
      <c r="BZ26" s="25"/>
      <c r="CA26" s="25"/>
      <c r="CB26" s="25"/>
      <c r="CC26" s="25"/>
      <c r="CE26" s="25"/>
      <c r="CF26" s="25"/>
      <c r="CG26" s="25"/>
      <c r="CH26" s="25"/>
      <c r="CI26" s="25"/>
      <c r="CJ26" s="25"/>
      <c r="CK26" s="25"/>
    </row>
    <row r="27" spans="1:89" ht="14" customHeight="1">
      <c r="A27" s="74" t="str">
        <f>IF(Poor!A27=0,"",Poor!A27)</f>
        <v>Purchase - other</v>
      </c>
      <c r="B27" s="215">
        <v>8.4049271481942724E-3</v>
      </c>
      <c r="C27" s="215">
        <v>-8.4049271481942724E-3</v>
      </c>
      <c r="D27" s="24">
        <f t="shared" si="0"/>
        <v>0</v>
      </c>
      <c r="E27" s="75">
        <f>Poor!E27</f>
        <v>1</v>
      </c>
      <c r="F27" s="22"/>
      <c r="H27" s="24">
        <f t="shared" si="1"/>
        <v>1</v>
      </c>
      <c r="I27" s="22">
        <f t="shared" si="2"/>
        <v>0</v>
      </c>
      <c r="J27" s="24">
        <f>IF(I$32&lt;=1+I131,I27,B27*H27+J$33*(I27-B27*H27))</f>
        <v>0</v>
      </c>
      <c r="K27" s="22">
        <f t="shared" si="4"/>
        <v>8.4049271481942724E-3</v>
      </c>
      <c r="L27" s="22">
        <f t="shared" si="5"/>
        <v>8.4049271481942724E-3</v>
      </c>
      <c r="M27" s="226">
        <f t="shared" si="6"/>
        <v>0</v>
      </c>
      <c r="N27" s="229"/>
      <c r="O27" s="2"/>
      <c r="P27" s="22"/>
      <c r="Q27" s="126" t="s">
        <v>140</v>
      </c>
      <c r="R27" s="41"/>
      <c r="S27" s="41"/>
      <c r="T27" s="41"/>
      <c r="U27" s="56"/>
      <c r="V27" s="56"/>
      <c r="W27" s="110"/>
      <c r="X27" s="118"/>
      <c r="Y27" s="183">
        <f t="shared" si="9"/>
        <v>0</v>
      </c>
      <c r="Z27" s="156">
        <f>Poor!Z27</f>
        <v>0.25</v>
      </c>
      <c r="AA27" s="121">
        <f t="shared" si="16"/>
        <v>0</v>
      </c>
      <c r="AB27" s="156">
        <f>Poor!AB27</f>
        <v>0.25</v>
      </c>
      <c r="AC27" s="121">
        <f t="shared" si="7"/>
        <v>0</v>
      </c>
      <c r="AD27" s="156">
        <f>Poor!AD27</f>
        <v>0.25</v>
      </c>
      <c r="AE27" s="121">
        <f t="shared" si="8"/>
        <v>0</v>
      </c>
      <c r="AF27" s="122">
        <f t="shared" si="10"/>
        <v>0.25</v>
      </c>
      <c r="AG27" s="121">
        <f t="shared" si="11"/>
        <v>0</v>
      </c>
      <c r="AH27" s="123">
        <f t="shared" si="12"/>
        <v>1</v>
      </c>
      <c r="AI27" s="183">
        <f t="shared" si="13"/>
        <v>0</v>
      </c>
      <c r="AJ27" s="120">
        <f t="shared" si="14"/>
        <v>0</v>
      </c>
      <c r="AK27" s="119">
        <f t="shared" si="15"/>
        <v>0</v>
      </c>
      <c r="AS27" s="25"/>
      <c r="AT27" s="25"/>
      <c r="AU27" s="25"/>
      <c r="AV27" s="25"/>
      <c r="AW27" s="25"/>
      <c r="AX27" s="25"/>
      <c r="AZ27" s="25"/>
      <c r="BA27" s="25"/>
      <c r="BB27" s="25"/>
      <c r="BC27" s="25"/>
      <c r="BD27" s="25"/>
      <c r="BE27" s="25"/>
      <c r="BF27" s="25"/>
      <c r="BI27" s="25"/>
      <c r="BJ27" s="25"/>
      <c r="BK27" s="25"/>
      <c r="BL27" s="25"/>
      <c r="BM27" s="25"/>
      <c r="BN27" s="25"/>
      <c r="BP27" s="25"/>
      <c r="BQ27" s="25"/>
      <c r="BR27" s="25"/>
      <c r="BS27" s="25"/>
      <c r="BT27" s="25"/>
      <c r="BU27" s="25"/>
      <c r="BV27" s="25"/>
      <c r="BX27" s="25"/>
      <c r="BY27" s="25"/>
      <c r="BZ27" s="25"/>
      <c r="CA27" s="25"/>
      <c r="CB27" s="25"/>
      <c r="CC27" s="25"/>
      <c r="CE27" s="25"/>
      <c r="CF27" s="25"/>
      <c r="CG27" s="25"/>
      <c r="CH27" s="25"/>
      <c r="CI27" s="25"/>
      <c r="CJ27" s="25"/>
      <c r="CK27" s="25"/>
    </row>
    <row r="28" spans="1:89" ht="14" customHeight="1">
      <c r="A28" s="74" t="str">
        <f>IF(Poor!A28=0,"",Poor!A28)</f>
        <v>Purchase - desirable</v>
      </c>
      <c r="B28" s="215">
        <v>4.3015068493150689E-3</v>
      </c>
      <c r="C28" s="215">
        <v>-4.3015068493150689E-3</v>
      </c>
      <c r="D28" s="24">
        <f t="shared" si="0"/>
        <v>0</v>
      </c>
      <c r="E28" s="75">
        <f>Poor!E28</f>
        <v>1</v>
      </c>
      <c r="F28" s="22"/>
      <c r="H28" s="24">
        <f t="shared" si="1"/>
        <v>1</v>
      </c>
      <c r="I28" s="22">
        <f t="shared" si="2"/>
        <v>0</v>
      </c>
      <c r="J28" s="24">
        <f>IF(I$32&lt;=1+I131,I28,B28*H28+J$33*(I28-B28*H28))</f>
        <v>0</v>
      </c>
      <c r="K28" s="22">
        <f t="shared" si="4"/>
        <v>4.3015068493150689E-3</v>
      </c>
      <c r="L28" s="22">
        <f t="shared" si="5"/>
        <v>4.3015068493150689E-3</v>
      </c>
      <c r="M28" s="224">
        <f t="shared" si="6"/>
        <v>0</v>
      </c>
      <c r="N28" s="229"/>
      <c r="O28" s="2"/>
      <c r="P28" s="22"/>
      <c r="V28" s="56"/>
      <c r="W28" s="110"/>
      <c r="X28" s="118"/>
      <c r="Y28" s="183">
        <f t="shared" si="9"/>
        <v>0</v>
      </c>
      <c r="Z28" s="156">
        <f>Poor!Z28</f>
        <v>0</v>
      </c>
      <c r="AA28" s="121">
        <f t="shared" si="16"/>
        <v>0</v>
      </c>
      <c r="AB28" s="156">
        <f>Poor!AB28</f>
        <v>0</v>
      </c>
      <c r="AC28" s="121">
        <f t="shared" si="7"/>
        <v>0</v>
      </c>
      <c r="AD28" s="156">
        <f>Poor!AD28</f>
        <v>0.5</v>
      </c>
      <c r="AE28" s="121">
        <f t="shared" si="8"/>
        <v>0</v>
      </c>
      <c r="AF28" s="122">
        <f t="shared" si="10"/>
        <v>0.5</v>
      </c>
      <c r="AG28" s="121">
        <f t="shared" si="11"/>
        <v>0</v>
      </c>
      <c r="AH28" s="123">
        <f t="shared" si="12"/>
        <v>1</v>
      </c>
      <c r="AI28" s="183">
        <f t="shared" si="13"/>
        <v>0</v>
      </c>
      <c r="AJ28" s="120">
        <f t="shared" si="14"/>
        <v>0</v>
      </c>
      <c r="AK28" s="119">
        <f t="shared" si="15"/>
        <v>0</v>
      </c>
      <c r="AS28" s="25"/>
      <c r="AT28" s="25"/>
      <c r="AU28" s="25"/>
      <c r="AV28" s="25"/>
      <c r="AW28" s="25"/>
      <c r="AX28" s="25"/>
      <c r="AZ28" s="25"/>
      <c r="BA28" s="25"/>
      <c r="BB28" s="25"/>
      <c r="BC28" s="25"/>
      <c r="BD28" s="25"/>
      <c r="BE28" s="25"/>
      <c r="BF28" s="25"/>
      <c r="BI28" s="25"/>
      <c r="BJ28" s="25"/>
      <c r="BK28" s="25"/>
      <c r="BL28" s="25"/>
      <c r="BM28" s="25"/>
      <c r="BN28" s="25"/>
      <c r="BP28" s="25"/>
      <c r="BQ28" s="25"/>
      <c r="BR28" s="25"/>
      <c r="BS28" s="25"/>
      <c r="BT28" s="25"/>
      <c r="BU28" s="25"/>
      <c r="BV28" s="25"/>
      <c r="BX28" s="25"/>
      <c r="BY28" s="25"/>
      <c r="BZ28" s="25"/>
      <c r="CA28" s="25"/>
      <c r="CB28" s="25"/>
      <c r="CC28" s="25"/>
      <c r="CE28" s="25"/>
      <c r="CF28" s="25"/>
      <c r="CG28" s="25"/>
      <c r="CH28" s="25"/>
      <c r="CI28" s="25"/>
      <c r="CJ28" s="25"/>
      <c r="CK28" s="25"/>
    </row>
    <row r="29" spans="1:89" ht="14" customHeight="1">
      <c r="A29" s="74" t="str">
        <f>IF(Poor!A29=0,"",Poor!A29)</f>
        <v>Purchase - fpl non staple</v>
      </c>
      <c r="B29" s="215">
        <v>0.10375942989829805</v>
      </c>
      <c r="C29" s="215">
        <v>0.12087734404369906</v>
      </c>
      <c r="D29" s="24">
        <f>(B29+C29)</f>
        <v>0.2246367739419971</v>
      </c>
      <c r="E29" s="75">
        <f>Poor!E29</f>
        <v>1</v>
      </c>
      <c r="F29" s="22"/>
      <c r="H29" s="24">
        <f t="shared" si="1"/>
        <v>1</v>
      </c>
      <c r="I29" s="22">
        <f t="shared" si="2"/>
        <v>0.2246367739419971</v>
      </c>
      <c r="J29" s="24">
        <f>IF(I$32&lt;=1+I131,I29,B29*H29+J$33*(I29-B29*H29))</f>
        <v>0.2246367739419971</v>
      </c>
      <c r="K29" s="22">
        <f t="shared" si="4"/>
        <v>0.10375942989829805</v>
      </c>
      <c r="L29" s="22">
        <f t="shared" si="5"/>
        <v>0.10375942989829805</v>
      </c>
      <c r="M29" s="224">
        <f t="shared" si="6"/>
        <v>0.2246367739419971</v>
      </c>
      <c r="N29" s="229"/>
      <c r="P29" s="22"/>
      <c r="V29" s="56"/>
      <c r="W29" s="110"/>
      <c r="X29" s="118"/>
      <c r="Y29" s="183">
        <f t="shared" si="9"/>
        <v>0.89854709576798841</v>
      </c>
      <c r="Z29" s="156">
        <f>Poor!Z29</f>
        <v>0.25</v>
      </c>
      <c r="AA29" s="121">
        <f t="shared" si="16"/>
        <v>0.2246367739419971</v>
      </c>
      <c r="AB29" s="156">
        <f>Poor!AB29</f>
        <v>0.25</v>
      </c>
      <c r="AC29" s="121">
        <f t="shared" si="7"/>
        <v>0.2246367739419971</v>
      </c>
      <c r="AD29" s="156">
        <f>Poor!AD29</f>
        <v>0.25</v>
      </c>
      <c r="AE29" s="121">
        <f t="shared" si="8"/>
        <v>0.2246367739419971</v>
      </c>
      <c r="AF29" s="122">
        <f t="shared" si="10"/>
        <v>0.25</v>
      </c>
      <c r="AG29" s="121">
        <f t="shared" si="11"/>
        <v>0.2246367739419971</v>
      </c>
      <c r="AH29" s="123">
        <f t="shared" si="12"/>
        <v>1</v>
      </c>
      <c r="AI29" s="183">
        <f t="shared" si="13"/>
        <v>0.2246367739419971</v>
      </c>
      <c r="AJ29" s="120">
        <f t="shared" si="14"/>
        <v>0.2246367739419971</v>
      </c>
      <c r="AK29" s="119">
        <f t="shared" si="15"/>
        <v>0.2246367739419971</v>
      </c>
      <c r="AS29" s="25"/>
      <c r="AT29" s="25"/>
      <c r="AU29" s="25"/>
      <c r="AV29" s="25"/>
      <c r="AW29" s="25"/>
      <c r="AX29" s="25"/>
      <c r="AZ29" s="25"/>
      <c r="BA29" s="25"/>
      <c r="BB29" s="25"/>
      <c r="BC29" s="25"/>
      <c r="BD29" s="25"/>
      <c r="BE29" s="25"/>
      <c r="BF29" s="25"/>
      <c r="BI29" s="25"/>
      <c r="BJ29" s="25"/>
      <c r="BK29" s="25"/>
      <c r="BL29" s="25"/>
      <c r="BM29" s="25"/>
      <c r="BN29" s="25"/>
      <c r="BP29" s="25"/>
      <c r="BQ29" s="25"/>
      <c r="BR29" s="25"/>
      <c r="BS29" s="25"/>
      <c r="BT29" s="25"/>
      <c r="BU29" s="25"/>
      <c r="BV29" s="25"/>
      <c r="BX29" s="25"/>
      <c r="BY29" s="25"/>
      <c r="BZ29" s="25"/>
      <c r="CA29" s="25"/>
      <c r="CB29" s="25"/>
      <c r="CC29" s="25"/>
      <c r="CE29" s="25"/>
      <c r="CF29" s="25"/>
      <c r="CG29" s="25"/>
      <c r="CH29" s="25"/>
      <c r="CI29" s="25"/>
      <c r="CJ29" s="25"/>
      <c r="CK29" s="25"/>
    </row>
    <row r="30" spans="1:89" ht="14" customHeight="1" thickBot="1">
      <c r="A30" s="93" t="s">
        <v>56</v>
      </c>
      <c r="B30" s="215">
        <v>0.6111905354919055</v>
      </c>
      <c r="C30" s="103"/>
      <c r="D30" s="24">
        <f>(D119-B124)</f>
        <v>1.1877578567379323</v>
      </c>
      <c r="E30" s="75">
        <f>Poor!E30</f>
        <v>1</v>
      </c>
      <c r="H30" s="96">
        <f>(E30*F$7/F$9)</f>
        <v>1</v>
      </c>
      <c r="I30" s="29">
        <f>IF(E30&gt;=1,I119-I124,MIN(I119-I124,B30*H30))</f>
        <v>0</v>
      </c>
      <c r="J30" s="231">
        <f>IF(I$32&lt;=1,I30,1-SUM(J6:J29))</f>
        <v>0</v>
      </c>
      <c r="K30" s="22">
        <f t="shared" si="4"/>
        <v>0.6111905354919055</v>
      </c>
      <c r="L30" s="22">
        <f>IF(L124=L119,0,IF(K30="",0,(L119-L124)/(B119-B124)*K30))</f>
        <v>0</v>
      </c>
      <c r="M30" s="175">
        <f t="shared" si="6"/>
        <v>0</v>
      </c>
      <c r="N30" s="166" t="s">
        <v>86</v>
      </c>
      <c r="O30" s="2"/>
      <c r="P30" s="22"/>
      <c r="Q30" s="234" t="s">
        <v>141</v>
      </c>
      <c r="R30" s="234">
        <f t="shared" ref="R30:T32" si="24">IF(R24&gt;R$23,R24-R$23,0)</f>
        <v>0</v>
      </c>
      <c r="S30" s="234">
        <f t="shared" si="24"/>
        <v>21391.362723686787</v>
      </c>
      <c r="T30" s="234">
        <f t="shared" si="24"/>
        <v>21595.263969227592</v>
      </c>
      <c r="V30" s="56"/>
      <c r="W30" s="110"/>
      <c r="X30" s="118"/>
      <c r="Y30" s="183">
        <f>M30*4</f>
        <v>0</v>
      </c>
      <c r="Z30" s="122">
        <f>IF($Y30=0,0,AA30/($Y$30))</f>
        <v>0</v>
      </c>
      <c r="AA30" s="187">
        <f>IF(AA79*4/$I$83+SUM(AA6:AA29)&lt;1,AA79*4/$I$83,1-SUM(AA6:AA29))</f>
        <v>-0.37130429632506501</v>
      </c>
      <c r="AB30" s="122">
        <f>IF($Y30=0,0,AC30/($Y$30))</f>
        <v>0</v>
      </c>
      <c r="AC30" s="187">
        <f>IF(AC79*4/$I$83+SUM(AC6:AC29)&lt;1,AC79*4/$I$83,1-SUM(AC6:AC29))</f>
        <v>-0.37130429632506501</v>
      </c>
      <c r="AD30" s="122">
        <f>IF($Y30=0,0,AE30/($Y$30))</f>
        <v>0</v>
      </c>
      <c r="AE30" s="187">
        <f>IF(AE79*4/$I$83+SUM(AE6:AE29)&lt;1,AE79*4/$I$83,1-SUM(AE6:AE29))</f>
        <v>-0.37130429632506501</v>
      </c>
      <c r="AF30" s="122">
        <f>IF($Y30=0,0,AG30/($Y$30))</f>
        <v>0</v>
      </c>
      <c r="AG30" s="187">
        <f>IF(AG79*4/$I$83+SUM(AG6:AG29)&lt;1,AG79*4/$I$83,1-SUM(AG6:AG29))</f>
        <v>-0.37130429632506501</v>
      </c>
      <c r="AH30" s="123">
        <f t="shared" si="12"/>
        <v>0</v>
      </c>
      <c r="AI30" s="183">
        <f t="shared" si="13"/>
        <v>-0.37130429632506501</v>
      </c>
      <c r="AJ30" s="120">
        <f t="shared" si="14"/>
        <v>-0.37130429632506501</v>
      </c>
      <c r="AK30" s="119">
        <f t="shared" si="15"/>
        <v>-0.37130429632506501</v>
      </c>
      <c r="AS30" s="25"/>
      <c r="AT30" s="25"/>
      <c r="AU30" s="25"/>
      <c r="AV30" s="25"/>
      <c r="AW30" s="25"/>
      <c r="AX30" s="25"/>
      <c r="AZ30" s="25"/>
      <c r="BA30" s="25"/>
      <c r="BB30" s="25"/>
      <c r="BC30" s="25"/>
      <c r="BD30" s="25"/>
      <c r="BE30" s="25"/>
      <c r="BF30" s="25"/>
      <c r="BI30" s="25"/>
      <c r="BJ30" s="25"/>
      <c r="BK30" s="25"/>
      <c r="BL30" s="25"/>
      <c r="BM30" s="25"/>
      <c r="BN30" s="25"/>
      <c r="BP30" s="25"/>
      <c r="BQ30" s="25"/>
      <c r="BR30" s="25"/>
      <c r="BS30" s="25"/>
      <c r="BT30" s="25"/>
      <c r="BU30" s="25"/>
      <c r="BV30" s="25"/>
      <c r="BX30" s="25"/>
      <c r="BY30" s="25"/>
      <c r="BZ30" s="25"/>
      <c r="CA30" s="25"/>
      <c r="CB30" s="25"/>
      <c r="CC30" s="25"/>
      <c r="CE30" s="25"/>
      <c r="CF30" s="25"/>
      <c r="CG30" s="25"/>
      <c r="CH30" s="25"/>
      <c r="CI30" s="25"/>
      <c r="CJ30" s="25"/>
      <c r="CK30" s="25"/>
    </row>
    <row r="31" spans="1:89" ht="14" customHeight="1" thickBot="1">
      <c r="A31" s="94" t="s">
        <v>57</v>
      </c>
      <c r="B31" s="215" t="str">
        <f>IF(1-$B$32&gt;0,1-$B$32,"")</f>
        <v/>
      </c>
      <c r="C31" s="77"/>
      <c r="D31" s="24"/>
      <c r="E31" s="22"/>
      <c r="F31" s="22"/>
      <c r="H31" s="24"/>
      <c r="I31" s="22"/>
      <c r="J31" s="232">
        <f>(1-SUM(J6:J30))</f>
        <v>0.3180573319523563</v>
      </c>
      <c r="K31" s="22" t="str">
        <f t="shared" si="4"/>
        <v/>
      </c>
      <c r="L31" s="22">
        <f>(1-SUM(L6:L30))</f>
        <v>0.4533208893625974</v>
      </c>
      <c r="M31" s="241">
        <f t="shared" si="6"/>
        <v>0.3180573319523563</v>
      </c>
      <c r="N31" s="167">
        <f>M31*I83</f>
        <v>5398.1748125957502</v>
      </c>
      <c r="P31" s="22"/>
      <c r="Q31" s="238" t="s">
        <v>142</v>
      </c>
      <c r="R31" s="234">
        <f t="shared" si="24"/>
        <v>6021.8931138272528</v>
      </c>
      <c r="S31" s="234">
        <f t="shared" si="24"/>
        <v>40829.371612575706</v>
      </c>
      <c r="T31" s="234">
        <f>IF(T25&gt;T$23,T25-T$23,0)</f>
        <v>41033.272858116514</v>
      </c>
      <c r="V31" s="56"/>
      <c r="W31" s="129" t="s">
        <v>84</v>
      </c>
      <c r="X31" s="130"/>
      <c r="Y31" s="121">
        <f>M31*4</f>
        <v>1.2722293278094252</v>
      </c>
      <c r="Z31" s="131"/>
      <c r="AA31" s="132">
        <f>1-AA32+IF($Y32&lt;0,$Y32/4,0)</f>
        <v>0.37130429632506512</v>
      </c>
      <c r="AB31" s="131"/>
      <c r="AC31" s="133">
        <f>1-AC32+IF($Y32&lt;0,$Y32/4,0)</f>
        <v>0.82600462419961285</v>
      </c>
      <c r="AD31" s="134"/>
      <c r="AE31" s="133">
        <f>1-AE32+IF($Y32&lt;0,$Y32/4,0)</f>
        <v>1.0188771668529022</v>
      </c>
      <c r="AF31" s="134"/>
      <c r="AG31" s="133">
        <f>1-AG32+IF($Y32&lt;0,$Y32/4,0)</f>
        <v>0.98543803469848124</v>
      </c>
      <c r="AH31" s="123"/>
      <c r="AI31" s="182">
        <f>SUM(AA31,AC31,AE31,AG31)/4</f>
        <v>0.80040603051901538</v>
      </c>
      <c r="AJ31" s="135">
        <f t="shared" si="14"/>
        <v>0.59865446026233893</v>
      </c>
      <c r="AK31" s="136">
        <f t="shared" si="15"/>
        <v>1.0021576007756918</v>
      </c>
      <c r="AS31" s="25"/>
      <c r="AT31" s="25"/>
      <c r="AU31" s="25"/>
      <c r="AV31" s="25"/>
      <c r="AW31" s="25"/>
      <c r="AX31" s="25"/>
      <c r="AZ31" s="25"/>
      <c r="BA31" s="25"/>
      <c r="BB31" s="25"/>
      <c r="BC31" s="25"/>
      <c r="BD31" s="25"/>
      <c r="BE31" s="25"/>
      <c r="BF31" s="25"/>
      <c r="BI31" s="25"/>
      <c r="BJ31" s="25"/>
      <c r="BK31" s="25"/>
      <c r="BL31" s="25"/>
      <c r="BM31" s="25"/>
      <c r="BN31" s="25"/>
      <c r="BP31" s="25"/>
      <c r="BQ31" s="25"/>
      <c r="BR31" s="25"/>
      <c r="BS31" s="25"/>
      <c r="BT31" s="25"/>
      <c r="BU31" s="25"/>
      <c r="BV31" s="25"/>
      <c r="BX31" s="25"/>
      <c r="BY31" s="25"/>
      <c r="BZ31" s="25"/>
      <c r="CA31" s="25"/>
      <c r="CB31" s="25"/>
      <c r="CC31" s="25"/>
      <c r="CE31" s="25"/>
      <c r="CF31" s="25"/>
      <c r="CG31" s="25"/>
      <c r="CH31" s="25"/>
      <c r="CI31" s="25"/>
      <c r="CJ31" s="25"/>
      <c r="CK31" s="25"/>
    </row>
    <row r="32" spans="1:89" ht="14" customHeight="1">
      <c r="A32" s="22" t="s">
        <v>24</v>
      </c>
      <c r="B32" s="219">
        <f>SUM(B6:B30)</f>
        <v>1.1655214112787475</v>
      </c>
      <c r="C32" s="77">
        <f>SUM(C6:C31)</f>
        <v>0.13526355741024118</v>
      </c>
      <c r="D32" s="24">
        <f>SUM(D6:D30)</f>
        <v>1.8773522899350157</v>
      </c>
      <c r="E32" s="2"/>
      <c r="F32" s="2"/>
      <c r="H32" s="17"/>
      <c r="I32" s="22">
        <f>SUM(I6:I30)</f>
        <v>0.6819426680476437</v>
      </c>
      <c r="J32" s="17"/>
      <c r="L32" s="22">
        <f>SUM(L6:L30)</f>
        <v>0.5466791106374026</v>
      </c>
      <c r="M32" s="23"/>
      <c r="N32" s="56"/>
      <c r="O32" s="2"/>
      <c r="P32" s="22"/>
      <c r="Q32" s="234" t="s">
        <v>143</v>
      </c>
      <c r="R32" s="234">
        <f t="shared" si="24"/>
        <v>40318.761685255828</v>
      </c>
      <c r="S32" s="234">
        <f t="shared" si="24"/>
        <v>75126.240184004288</v>
      </c>
      <c r="T32" s="234">
        <f t="shared" si="24"/>
        <v>75330.141429545096</v>
      </c>
      <c r="V32" s="56"/>
      <c r="W32" s="110"/>
      <c r="X32" s="118"/>
      <c r="Y32" s="115">
        <f>SUM(Y6:Y31)</f>
        <v>3.5558223910336242</v>
      </c>
      <c r="Z32" s="137"/>
      <c r="AA32" s="138">
        <f>SUM(AA6:AA30)</f>
        <v>0.62869570367493488</v>
      </c>
      <c r="AB32" s="137"/>
      <c r="AC32" s="139">
        <f>SUM(AC6:AC30)</f>
        <v>0.17399537580038715</v>
      </c>
      <c r="AD32" s="137"/>
      <c r="AE32" s="139">
        <f>SUM(AE6:AE30)</f>
        <v>-1.8877166852902139E-2</v>
      </c>
      <c r="AF32" s="137"/>
      <c r="AG32" s="139">
        <f>SUM(AG6:AG30)</f>
        <v>1.4561965301518764E-2</v>
      </c>
      <c r="AH32" s="127"/>
      <c r="AI32" s="110"/>
      <c r="AJ32" s="140">
        <f>SUM(AJ6:AJ31)</f>
        <v>0.99999999999999989</v>
      </c>
      <c r="AK32" s="141">
        <f>SUM(AK6:AK31)</f>
        <v>1.0000000000000002</v>
      </c>
      <c r="AS32" s="25"/>
      <c r="AT32" s="25"/>
      <c r="AU32" s="25"/>
      <c r="AV32" s="25"/>
      <c r="AW32" s="25"/>
      <c r="AX32" s="25"/>
      <c r="AZ32" s="25"/>
      <c r="BA32" s="25"/>
      <c r="BB32" s="25"/>
      <c r="BC32" s="25"/>
      <c r="BD32" s="25"/>
      <c r="BE32" s="25"/>
      <c r="BI32" s="25"/>
      <c r="BJ32" s="25"/>
      <c r="BK32" s="25"/>
      <c r="BL32" s="25"/>
      <c r="BM32" s="25"/>
      <c r="BN32" s="25"/>
      <c r="BP32" s="25"/>
      <c r="BQ32" s="25"/>
      <c r="BR32" s="25"/>
      <c r="BS32" s="25"/>
      <c r="BT32" s="25"/>
      <c r="BU32" s="25"/>
      <c r="BX32" s="25"/>
      <c r="BY32" s="25"/>
      <c r="BZ32" s="25"/>
      <c r="CA32" s="25"/>
      <c r="CB32" s="25"/>
      <c r="CC32" s="25"/>
      <c r="CE32" s="25"/>
      <c r="CF32" s="25"/>
      <c r="CG32" s="25"/>
      <c r="CH32" s="25"/>
      <c r="CI32" s="25"/>
      <c r="CJ32" s="25"/>
    </row>
    <row r="33" spans="1:88" ht="14" customHeight="1" thickBot="1">
      <c r="A33" s="11"/>
      <c r="B33" s="11"/>
      <c r="C33" s="11"/>
      <c r="D33" s="10"/>
      <c r="E33" s="11"/>
      <c r="F33" s="11"/>
      <c r="G33" s="11"/>
      <c r="H33" s="10"/>
      <c r="I33" s="97" t="s">
        <v>25</v>
      </c>
      <c r="J33" s="98">
        <f>(1+K127*H127-L32-L127)/(I32-L32-L127)</f>
        <v>4.503083190698729</v>
      </c>
      <c r="K33" s="14"/>
      <c r="L33" s="11"/>
      <c r="M33" s="30"/>
      <c r="N33" s="168" t="s">
        <v>87</v>
      </c>
      <c r="O33" s="2"/>
      <c r="P33" s="2"/>
      <c r="Q33" s="238"/>
      <c r="R33" s="234"/>
      <c r="S33" s="234"/>
      <c r="T33" s="234"/>
      <c r="V33" s="56"/>
      <c r="W33" s="110"/>
      <c r="X33" s="118"/>
      <c r="Y33" s="110"/>
      <c r="Z33" s="143"/>
      <c r="AA33" s="144"/>
      <c r="AB33" s="143"/>
      <c r="AC33" s="144"/>
      <c r="AD33" s="143"/>
      <c r="AE33" s="144"/>
      <c r="AF33" s="143"/>
      <c r="AG33" s="144"/>
      <c r="AH33" s="110"/>
      <c r="AI33" s="110"/>
      <c r="AJ33" s="143"/>
      <c r="AK33" s="144"/>
      <c r="AS33" s="25"/>
      <c r="AT33" s="25"/>
      <c r="AU33" s="25"/>
      <c r="AV33" s="25"/>
      <c r="AW33" s="25"/>
      <c r="AX33" s="25"/>
      <c r="AZ33" s="25"/>
      <c r="BA33" s="25"/>
      <c r="BB33" s="25"/>
      <c r="BC33" s="25"/>
      <c r="BD33" s="25"/>
      <c r="BE33" s="25"/>
      <c r="BI33" s="25"/>
      <c r="BJ33" s="25"/>
      <c r="BK33" s="25"/>
      <c r="BL33" s="25"/>
      <c r="BM33" s="25"/>
      <c r="BN33" s="25"/>
      <c r="BP33" s="25"/>
      <c r="BQ33" s="25"/>
      <c r="BR33" s="25"/>
      <c r="BS33" s="25"/>
      <c r="BT33" s="25"/>
      <c r="BU33" s="25"/>
      <c r="BX33" s="25"/>
      <c r="BY33" s="25"/>
      <c r="BZ33" s="25"/>
      <c r="CA33" s="25"/>
      <c r="CB33" s="25"/>
      <c r="CC33" s="25"/>
      <c r="CE33" s="25"/>
      <c r="CF33" s="25"/>
      <c r="CG33" s="25"/>
      <c r="CH33" s="25"/>
      <c r="CI33" s="25"/>
      <c r="CJ33" s="25"/>
    </row>
    <row r="34" spans="1:88" ht="15.75" customHeight="1" thickBot="1">
      <c r="A34" s="73" t="s">
        <v>53</v>
      </c>
      <c r="B34" s="2"/>
      <c r="C34" s="2"/>
      <c r="D34" s="31"/>
      <c r="E34" s="32"/>
      <c r="F34" s="32"/>
      <c r="G34" s="32"/>
      <c r="H34" s="31"/>
      <c r="I34" s="2"/>
      <c r="J34" s="33"/>
      <c r="K34" s="34" t="s">
        <v>27</v>
      </c>
      <c r="L34" s="35"/>
      <c r="M34" s="36"/>
      <c r="N34" s="169">
        <f>-(M77*B76)</f>
        <v>35635.098045520754</v>
      </c>
      <c r="O34" s="2"/>
      <c r="P34" s="2"/>
      <c r="V34" s="56"/>
      <c r="W34" s="110"/>
      <c r="X34" s="118"/>
      <c r="Y34" s="110"/>
      <c r="Z34" s="145"/>
      <c r="AA34" s="146"/>
      <c r="AB34" s="145"/>
      <c r="AC34" s="146"/>
      <c r="AD34" s="145"/>
      <c r="AE34" s="146"/>
      <c r="AF34" s="145"/>
      <c r="AG34" s="146"/>
      <c r="AH34" s="110"/>
      <c r="AI34" s="110"/>
      <c r="AJ34" s="145"/>
      <c r="AK34" s="146"/>
      <c r="AP34" s="25"/>
      <c r="AQ34" s="25"/>
      <c r="AR34" s="25"/>
      <c r="AS34" s="25"/>
      <c r="AT34" s="25"/>
      <c r="AU34" s="25"/>
      <c r="AW34" s="25"/>
      <c r="AX34" s="25"/>
      <c r="AY34" s="25"/>
      <c r="AZ34" s="25"/>
      <c r="BA34" s="25"/>
      <c r="BB34" s="25"/>
      <c r="BF34" s="25"/>
      <c r="BG34" s="25"/>
      <c r="BH34" s="25"/>
      <c r="BI34" s="25"/>
      <c r="BJ34" s="25"/>
      <c r="BK34" s="25"/>
      <c r="BM34" s="25"/>
      <c r="BN34" s="25"/>
      <c r="BO34" s="25"/>
      <c r="BP34" s="25"/>
      <c r="BQ34" s="25"/>
      <c r="BR34" s="25"/>
      <c r="BU34" s="25"/>
      <c r="BV34" s="25"/>
      <c r="BW34" s="25"/>
      <c r="BX34" s="25"/>
      <c r="BY34" s="25"/>
      <c r="BZ34" s="25"/>
      <c r="CB34" s="25"/>
      <c r="CC34" s="25"/>
      <c r="CD34" s="25"/>
      <c r="CE34" s="25"/>
      <c r="CF34" s="25"/>
      <c r="CG34" s="25"/>
    </row>
    <row r="35" spans="1:88" ht="14" customHeight="1">
      <c r="A35" s="2"/>
      <c r="B35" s="19" t="s">
        <v>7</v>
      </c>
      <c r="C35" s="19" t="s">
        <v>8</v>
      </c>
      <c r="D35" s="16" t="s">
        <v>9</v>
      </c>
      <c r="E35" s="19" t="s">
        <v>10</v>
      </c>
      <c r="F35" s="2" t="s">
        <v>28</v>
      </c>
      <c r="G35" s="2" t="s">
        <v>29</v>
      </c>
      <c r="H35" s="16" t="s">
        <v>12</v>
      </c>
      <c r="I35" s="19" t="s">
        <v>13</v>
      </c>
      <c r="J35" s="16" t="s">
        <v>14</v>
      </c>
      <c r="K35" s="37" t="s">
        <v>7</v>
      </c>
      <c r="L35" s="19" t="s">
        <v>15</v>
      </c>
      <c r="M35" s="16" t="s">
        <v>14</v>
      </c>
      <c r="N35" s="2"/>
      <c r="O35" s="2"/>
      <c r="R35" s="41"/>
      <c r="S35" s="41"/>
      <c r="V35" s="56"/>
      <c r="W35" s="110"/>
      <c r="X35" s="118"/>
      <c r="Y35" s="110"/>
      <c r="Z35" s="145"/>
      <c r="AA35" s="146"/>
      <c r="AB35" s="145"/>
      <c r="AC35" s="146"/>
      <c r="AD35" s="145"/>
      <c r="AE35" s="146"/>
      <c r="AF35" s="145"/>
      <c r="AG35" s="146"/>
      <c r="AH35" s="110"/>
      <c r="AI35" s="110"/>
      <c r="AJ35" s="145"/>
      <c r="AK35" s="146"/>
      <c r="AP35" s="25"/>
      <c r="AQ35" s="25"/>
      <c r="AR35" s="25"/>
      <c r="AS35" s="25"/>
      <c r="AT35" s="25"/>
      <c r="AU35" s="25"/>
      <c r="AW35" s="25"/>
      <c r="AX35" s="25"/>
      <c r="AY35" s="25"/>
      <c r="AZ35" s="25"/>
      <c r="BA35" s="25"/>
      <c r="BB35" s="25"/>
      <c r="BF35" s="25"/>
      <c r="BG35" s="25"/>
      <c r="BH35" s="25"/>
      <c r="BI35" s="25"/>
      <c r="BJ35" s="25"/>
      <c r="BK35" s="25"/>
      <c r="BM35" s="25"/>
      <c r="BN35" s="25"/>
      <c r="BO35" s="25"/>
      <c r="BP35" s="25"/>
      <c r="BQ35" s="25"/>
      <c r="BR35" s="25"/>
      <c r="BU35" s="25"/>
      <c r="BV35" s="25"/>
      <c r="BW35" s="25"/>
      <c r="BX35" s="25"/>
      <c r="BY35" s="25"/>
      <c r="BZ35" s="25"/>
      <c r="CB35" s="25"/>
      <c r="CC35" s="25"/>
      <c r="CD35" s="25"/>
      <c r="CE35" s="25"/>
      <c r="CF35" s="25"/>
      <c r="CG35" s="25"/>
    </row>
    <row r="36" spans="1:88" ht="14" customHeight="1">
      <c r="A36" s="2" t="s">
        <v>30</v>
      </c>
      <c r="B36" s="19" t="s">
        <v>16</v>
      </c>
      <c r="C36" s="19" t="s">
        <v>17</v>
      </c>
      <c r="D36" s="16" t="s">
        <v>16</v>
      </c>
      <c r="E36" s="19" t="s">
        <v>18</v>
      </c>
      <c r="F36" s="2" t="s">
        <v>31</v>
      </c>
      <c r="G36" s="2" t="s">
        <v>31</v>
      </c>
      <c r="H36" s="16" t="s">
        <v>18</v>
      </c>
      <c r="I36" s="19" t="s">
        <v>16</v>
      </c>
      <c r="J36" s="16" t="s">
        <v>16</v>
      </c>
      <c r="K36" s="37" t="s">
        <v>16</v>
      </c>
      <c r="L36" s="19" t="s">
        <v>19</v>
      </c>
      <c r="M36" s="16" t="s">
        <v>16</v>
      </c>
      <c r="N36" s="2"/>
      <c r="O36" s="2"/>
      <c r="P36" s="2"/>
      <c r="Q36" s="59"/>
      <c r="R36" s="242"/>
      <c r="S36" s="242"/>
      <c r="T36" s="252"/>
      <c r="U36" s="56"/>
      <c r="V36" s="56"/>
      <c r="W36" s="110"/>
      <c r="X36" s="118"/>
      <c r="Y36" s="110"/>
      <c r="Z36" s="145"/>
      <c r="AA36" s="146"/>
      <c r="AB36" s="145"/>
      <c r="AC36" s="146"/>
      <c r="AD36" s="145"/>
      <c r="AE36" s="146"/>
      <c r="AF36" s="145"/>
      <c r="AG36" s="146"/>
      <c r="AH36" s="110"/>
      <c r="AI36" s="110"/>
      <c r="AJ36" s="145"/>
      <c r="AK36" s="146"/>
      <c r="AP36" s="25"/>
      <c r="AQ36" s="25"/>
      <c r="AR36" s="25"/>
      <c r="AS36" s="25"/>
      <c r="AT36" s="25"/>
      <c r="AU36" s="25"/>
      <c r="AW36" s="25"/>
      <c r="AX36" s="25"/>
      <c r="AY36" s="25"/>
      <c r="AZ36" s="25"/>
      <c r="BA36" s="25"/>
      <c r="BB36" s="25"/>
      <c r="BF36" s="25"/>
      <c r="BG36" s="25"/>
      <c r="BH36" s="25"/>
      <c r="BI36" s="25"/>
      <c r="BJ36" s="25"/>
      <c r="BK36" s="25"/>
      <c r="BM36" s="25"/>
      <c r="BN36" s="25"/>
      <c r="BO36" s="25"/>
      <c r="BP36" s="25"/>
      <c r="BQ36" s="25"/>
      <c r="BR36" s="25"/>
      <c r="BU36" s="25"/>
      <c r="BV36" s="25"/>
      <c r="BW36" s="25"/>
      <c r="BX36" s="25"/>
      <c r="BY36" s="25"/>
      <c r="BZ36" s="25"/>
      <c r="CB36" s="25"/>
      <c r="CC36" s="25"/>
      <c r="CD36" s="25"/>
      <c r="CE36" s="25"/>
      <c r="CF36" s="25"/>
      <c r="CG36" s="25"/>
    </row>
    <row r="37" spans="1:88" ht="14" customHeight="1">
      <c r="A37" s="86" t="str">
        <f>IF(Poor!A37=0,"",Poor!A37)</f>
        <v>Pig sales: no sold</v>
      </c>
      <c r="B37" s="216">
        <v>0</v>
      </c>
      <c r="C37" s="216">
        <v>0</v>
      </c>
      <c r="D37" s="38">
        <f t="shared" ref="D37:D64" si="25">B37+C37</f>
        <v>0</v>
      </c>
      <c r="E37" s="75">
        <f>Poor!E37</f>
        <v>0.8</v>
      </c>
      <c r="F37" s="75">
        <f>Poor!F37</f>
        <v>1.18</v>
      </c>
      <c r="G37" s="75">
        <f>Poor!G37</f>
        <v>1.65</v>
      </c>
      <c r="H37" s="24">
        <f t="shared" ref="H37" si="26">(E37*F37)</f>
        <v>0.94399999999999995</v>
      </c>
      <c r="I37" s="39">
        <f t="shared" ref="I37" si="27">D37*H37</f>
        <v>0</v>
      </c>
      <c r="J37" s="38">
        <f>J91*I$83</f>
        <v>0</v>
      </c>
      <c r="K37" s="40">
        <f>(B37/B$65)</f>
        <v>0</v>
      </c>
      <c r="L37" s="22">
        <f t="shared" ref="L37" si="28">(K37*H37)</f>
        <v>0</v>
      </c>
      <c r="M37" s="24">
        <f>J37/B$65</f>
        <v>0</v>
      </c>
      <c r="N37" s="2"/>
      <c r="O37" s="2"/>
      <c r="P37" s="2"/>
      <c r="Q37" s="59"/>
      <c r="R37" s="252"/>
      <c r="S37" s="252"/>
      <c r="T37" s="29"/>
      <c r="U37" s="56"/>
      <c r="V37" s="56"/>
      <c r="W37" s="115"/>
      <c r="X37" s="118"/>
      <c r="Y37" s="110"/>
      <c r="Z37" s="122">
        <f>IF($J37=0,0,AA37/($J37))</f>
        <v>0</v>
      </c>
      <c r="AA37" s="147">
        <f>IF(SUM(AA$6:AA$29)+(SUM(AA$39:AA$64,-AA$70)/AA$83)&lt;1,IF(SUM(AA$6:AA$29)+(SUM(AA$39:AA$64,$J$37:$J$38,-AA$70)/AA$83)&lt;1,$J37,(AA$83-(SUM(AA$6:AA$29)*AA$83)-SUM(AA$39:AA$64,-AA$70))*($J37/SUM($J$37:$J$38))),0)</f>
        <v>0</v>
      </c>
      <c r="AB37" s="122">
        <f>IF($J37=0,0,AC37/($J37))</f>
        <v>0</v>
      </c>
      <c r="AC37" s="147">
        <f>IF(SUM(AC$6:AC$29)+(SUM(AC$39:AC$64,-AC$70)/AC$83)&lt;1,IF(SUM(AC$6:AC$29)+((SUM(AC$39:AC$64,$J$37:$J$38,-AC$70)-SUM($AA$37:$AA$38))/AC$83)&lt;1,$J37-$AA37,(AC$83-(SUM(AC$6:AC$29)*AC$83)-SUM(AC$39:AC$64,-AC$70))*($J37/SUM($J$37:$J$38))),0)</f>
        <v>0</v>
      </c>
      <c r="AD37" s="122">
        <f>IF($J37=0,0,AE37/($J37))</f>
        <v>0</v>
      </c>
      <c r="AE37" s="147">
        <f>IF(SUM(AE$6:AE$29)+(SUM(AE$39:AE$64,-AE$70)/AE$83)&lt;1,IF(SUM(AE$6:AE$29)+((SUM(AE$39:AE$64,$J$37:$J$38,-AE$70)-SUM($AA$37:$AA$38)-SUM($AC$37:$AC$38))/AE$83)&lt;1,$J37-$AA37-$AC37,(AE$83-(SUM(AE$6:AE$29)*AE$83)-SUM(AE$39:AE$64,-AE$70))*($J37/SUM($J$37:$J$38))),0)</f>
        <v>0</v>
      </c>
      <c r="AF37" s="122">
        <f t="shared" ref="AF37:AF64" si="29">1-SUM(Z37,AB37,AD37)</f>
        <v>1</v>
      </c>
      <c r="AG37" s="147">
        <f>$J37*AF37</f>
        <v>0</v>
      </c>
      <c r="AH37" s="123">
        <f>SUM(Z37,AB37,AD37,AF37)</f>
        <v>1</v>
      </c>
      <c r="AI37" s="112">
        <f>SUM(AA37,AC37,AE37,AG37)</f>
        <v>0</v>
      </c>
      <c r="AJ37" s="148">
        <f>(AA37+AC37)</f>
        <v>0</v>
      </c>
      <c r="AK37" s="147">
        <f>(AE37+AG37)</f>
        <v>0</v>
      </c>
      <c r="AP37" s="25"/>
      <c r="AQ37" s="25"/>
      <c r="AR37" s="25"/>
      <c r="AS37" s="25"/>
      <c r="AT37" s="25"/>
      <c r="AU37" s="25"/>
      <c r="AW37" s="25"/>
      <c r="AX37" s="25"/>
      <c r="AY37" s="25"/>
      <c r="AZ37" s="25"/>
      <c r="BA37" s="25"/>
      <c r="BB37" s="25"/>
      <c r="BF37" s="25"/>
      <c r="BG37" s="25"/>
      <c r="BH37" s="25"/>
      <c r="BI37" s="25"/>
      <c r="BJ37" s="25"/>
      <c r="BK37" s="25"/>
      <c r="BM37" s="25"/>
      <c r="BN37" s="25"/>
      <c r="BO37" s="25"/>
      <c r="BP37" s="25"/>
      <c r="BQ37" s="25"/>
      <c r="BR37" s="25"/>
      <c r="BU37" s="25"/>
      <c r="BV37" s="25"/>
      <c r="BW37" s="25"/>
      <c r="BX37" s="25"/>
      <c r="BY37" s="25"/>
      <c r="BZ37" s="25"/>
      <c r="CB37" s="25"/>
      <c r="CC37" s="25"/>
      <c r="CD37" s="25"/>
      <c r="CE37" s="25"/>
      <c r="CF37" s="25"/>
      <c r="CG37" s="25"/>
    </row>
    <row r="38" spans="1:88" ht="14" customHeight="1">
      <c r="A38" s="86" t="str">
        <f>IF(Poor!A38=0,"",Poor!A38)</f>
        <v>Cattle sales - local: no. sold</v>
      </c>
      <c r="B38" s="216">
        <v>0</v>
      </c>
      <c r="C38" s="216">
        <v>0</v>
      </c>
      <c r="D38" s="38">
        <f t="shared" si="25"/>
        <v>0</v>
      </c>
      <c r="E38" s="75">
        <f>Poor!E38</f>
        <v>0.8</v>
      </c>
      <c r="F38" s="75">
        <f>Poor!F38</f>
        <v>1.18</v>
      </c>
      <c r="G38" s="75">
        <f>Poor!G38</f>
        <v>1.65</v>
      </c>
      <c r="H38" s="24">
        <f t="shared" ref="H38:H64" si="30">(E38*F38)</f>
        <v>0.94399999999999995</v>
      </c>
      <c r="I38" s="39">
        <f t="shared" ref="I38:I64" si="31">D38*H38</f>
        <v>0</v>
      </c>
      <c r="J38" s="38">
        <f t="shared" ref="J38:J64" si="32">J92*I$83</f>
        <v>0</v>
      </c>
      <c r="K38" s="40">
        <f t="shared" ref="K38:K64" si="33">(B38/B$65)</f>
        <v>0</v>
      </c>
      <c r="L38" s="22">
        <f t="shared" ref="L38:L64" si="34">(K38*H38)</f>
        <v>0</v>
      </c>
      <c r="M38" s="24">
        <f t="shared" ref="M38:M64" si="35">J38/B$65</f>
        <v>0</v>
      </c>
      <c r="N38" s="2"/>
      <c r="O38" s="2"/>
      <c r="P38" s="2"/>
      <c r="Q38" s="59"/>
      <c r="R38" s="252"/>
      <c r="S38" s="252"/>
      <c r="T38" s="29"/>
      <c r="U38" s="56"/>
      <c r="V38" s="56"/>
      <c r="W38" s="115"/>
      <c r="X38" s="118"/>
      <c r="Y38" s="110"/>
      <c r="Z38" s="122">
        <f>IF($J38=0,0,AA38/($J38))</f>
        <v>0</v>
      </c>
      <c r="AA38" s="147">
        <f>IF(SUM(AA$6:AA$29)+(SUM(AA$39:AA$64,-AA$70)/AA$83)&lt;1,IF(SUM(AA$6:AA$29)+(SUM(AA$39:AA$64,$J$37:$J$38,-AA$70)/AA$83)&lt;1,$J38,(AA$83-(SUM(AA$6:AA$29)*AA$83)-SUM(AA$39:AA$64,-AA$70))*($J38/SUM($J$37:$J$38))),0)</f>
        <v>0</v>
      </c>
      <c r="AB38" s="122">
        <f>IF($J38=0,0,AC38/($J38))</f>
        <v>0</v>
      </c>
      <c r="AC38" s="147">
        <f>IF(SUM(AC$6:AC$29)+(SUM(AC$39:AC$64,-AC$70)/AC$83)&lt;1,IF(SUM(AC$6:AC$29)+((SUM(AC$39:AC$64,$J$37:$J$38,-AC$70)-SUM($AA$37:$AA$38))/AC$83)&lt;1,$J38-$AA38,(AC$83-(SUM(AC$6:AC$29)*AC$83)-SUM(AC$39:AC$64,-AC$70))*($J38/SUM($J$37:$J$38))),0)</f>
        <v>0</v>
      </c>
      <c r="AD38" s="122">
        <f>IF($J38=0,0,AE38/($J38))</f>
        <v>0</v>
      </c>
      <c r="AE38" s="147">
        <f>IF(SUM(AE$6:AE$29)+(SUM(AE$39:AE$64,-AE$70)/AE$83)&lt;1,IF(SUM(AE$6:AE$29)+((SUM(AE$39:AE$64,$J$37:$J$38,-AE$70)-SUM($AA$37:$AA$38)-SUM($AC$37:$AC$38))/AE$83)&lt;1,$J38-$AA38-$AC38,(AE$83-(SUM(AE$6:AE$29)*AE$83)-SUM(AE$39:AE$64,-AE$70))*($J38/SUM($J$37:$J$38))),0)</f>
        <v>0</v>
      </c>
      <c r="AF38" s="122">
        <f t="shared" si="29"/>
        <v>1</v>
      </c>
      <c r="AG38" s="147">
        <f t="shared" ref="AG38:AG64" si="36">$J38*AF38</f>
        <v>0</v>
      </c>
      <c r="AH38" s="123">
        <f t="shared" ref="AH38:AI58" si="37">SUM(Z38,AB38,AD38,AF38)</f>
        <v>1</v>
      </c>
      <c r="AI38" s="112">
        <f t="shared" si="37"/>
        <v>0</v>
      </c>
      <c r="AJ38" s="148">
        <f t="shared" ref="AJ38:AJ64" si="38">(AA38+AC38)</f>
        <v>0</v>
      </c>
      <c r="AK38" s="147">
        <f t="shared" ref="AK38:AK64" si="39">(AE38+AG38)</f>
        <v>0</v>
      </c>
      <c r="AP38" s="25"/>
      <c r="AQ38" s="25"/>
      <c r="AR38" s="25"/>
      <c r="AS38" s="25"/>
      <c r="AT38" s="25"/>
      <c r="AU38" s="25"/>
      <c r="AW38" s="25"/>
      <c r="AX38" s="25"/>
      <c r="AY38" s="25"/>
      <c r="AZ38" s="25"/>
      <c r="BA38" s="25"/>
      <c r="BB38" s="25"/>
      <c r="BF38" s="25"/>
      <c r="BG38" s="25"/>
      <c r="BH38" s="25"/>
      <c r="BI38" s="25"/>
      <c r="BJ38" s="25"/>
      <c r="BK38" s="25"/>
      <c r="BM38" s="25"/>
      <c r="BN38" s="25"/>
      <c r="BO38" s="25"/>
      <c r="BP38" s="25"/>
      <c r="BQ38" s="25"/>
      <c r="BR38" s="25"/>
      <c r="BU38" s="25"/>
      <c r="BV38" s="25"/>
      <c r="BW38" s="25"/>
      <c r="BX38" s="25"/>
      <c r="BY38" s="25"/>
      <c r="BZ38" s="25"/>
      <c r="CB38" s="25"/>
      <c r="CC38" s="25"/>
      <c r="CD38" s="25"/>
      <c r="CE38" s="25"/>
      <c r="CF38" s="25"/>
      <c r="CG38" s="25"/>
    </row>
    <row r="39" spans="1:88" ht="14" customHeight="1">
      <c r="A39" s="86" t="str">
        <f>IF(Poor!A39=0,"",Poor!A39)</f>
        <v>Goat sales - local: no. sold</v>
      </c>
      <c r="B39" s="216">
        <v>0</v>
      </c>
      <c r="C39" s="216">
        <v>0</v>
      </c>
      <c r="D39" s="38">
        <f t="shared" si="25"/>
        <v>0</v>
      </c>
      <c r="E39" s="75">
        <f>Poor!E39</f>
        <v>0.8</v>
      </c>
      <c r="F39" s="75">
        <f>Poor!F39</f>
        <v>1.18</v>
      </c>
      <c r="G39" s="75">
        <f>Poor!G39</f>
        <v>1.65</v>
      </c>
      <c r="H39" s="24">
        <f t="shared" si="30"/>
        <v>0.94399999999999995</v>
      </c>
      <c r="I39" s="39">
        <f t="shared" si="31"/>
        <v>0</v>
      </c>
      <c r="J39" s="38">
        <f t="shared" si="32"/>
        <v>0</v>
      </c>
      <c r="K39" s="40">
        <f t="shared" si="33"/>
        <v>0</v>
      </c>
      <c r="L39" s="22">
        <f t="shared" si="34"/>
        <v>0</v>
      </c>
      <c r="M39" s="24">
        <f t="shared" si="35"/>
        <v>0</v>
      </c>
      <c r="N39" s="2"/>
      <c r="O39" s="2"/>
      <c r="P39" s="2"/>
      <c r="Q39" s="59"/>
      <c r="R39" s="252"/>
      <c r="S39" s="252"/>
      <c r="T39" s="29"/>
      <c r="U39" s="56"/>
      <c r="V39" s="56"/>
      <c r="W39" s="115"/>
      <c r="X39" s="118"/>
      <c r="Y39" s="110"/>
      <c r="Z39" s="122">
        <f>Z8</f>
        <v>0.75676436657050716</v>
      </c>
      <c r="AA39" s="147">
        <f t="shared" ref="AA39:AA64" si="40">$J39*Z39</f>
        <v>0</v>
      </c>
      <c r="AB39" s="122">
        <f>AB8</f>
        <v>0.24323563342949281</v>
      </c>
      <c r="AC39" s="147">
        <f t="shared" ref="AC39:AC64" si="41">$J39*AB39</f>
        <v>0</v>
      </c>
      <c r="AD39" s="122">
        <f>AD8</f>
        <v>0</v>
      </c>
      <c r="AE39" s="147">
        <f t="shared" ref="AE39:AE64" si="42">$J39*AD39</f>
        <v>0</v>
      </c>
      <c r="AF39" s="122">
        <f t="shared" si="29"/>
        <v>0</v>
      </c>
      <c r="AG39" s="147">
        <f t="shared" si="36"/>
        <v>0</v>
      </c>
      <c r="AH39" s="123">
        <f t="shared" si="37"/>
        <v>1</v>
      </c>
      <c r="AI39" s="112">
        <f t="shared" si="37"/>
        <v>0</v>
      </c>
      <c r="AJ39" s="148">
        <f t="shared" si="38"/>
        <v>0</v>
      </c>
      <c r="AK39" s="147">
        <f t="shared" si="39"/>
        <v>0</v>
      </c>
      <c r="AP39" s="25"/>
      <c r="AQ39" s="25"/>
      <c r="AR39" s="25"/>
      <c r="AS39" s="25"/>
      <c r="AT39" s="25"/>
      <c r="AU39" s="25"/>
      <c r="AW39" s="25"/>
      <c r="AX39" s="25"/>
      <c r="AY39" s="25"/>
      <c r="AZ39" s="25"/>
      <c r="BA39" s="25"/>
      <c r="BB39" s="25"/>
      <c r="BF39" s="25"/>
      <c r="BG39" s="25"/>
      <c r="BH39" s="25"/>
      <c r="BI39" s="25"/>
      <c r="BJ39" s="25"/>
      <c r="BK39" s="25"/>
      <c r="BM39" s="25"/>
      <c r="BN39" s="25"/>
      <c r="BO39" s="25"/>
      <c r="BP39" s="25"/>
      <c r="BQ39" s="25"/>
      <c r="BR39" s="25"/>
      <c r="BU39" s="25"/>
      <c r="BV39" s="25"/>
      <c r="BW39" s="25"/>
      <c r="BX39" s="25"/>
      <c r="BY39" s="25"/>
      <c r="BZ39" s="25"/>
      <c r="CB39" s="25"/>
      <c r="CC39" s="25"/>
      <c r="CD39" s="25"/>
      <c r="CE39" s="25"/>
      <c r="CF39" s="25"/>
      <c r="CG39" s="25"/>
    </row>
    <row r="40" spans="1:88" ht="14" customHeight="1">
      <c r="A40" s="86" t="str">
        <f>IF(Poor!A40=0,"",Poor!A40)</f>
        <v>Chicken sales: no. sold</v>
      </c>
      <c r="B40" s="216">
        <v>0</v>
      </c>
      <c r="C40" s="216">
        <v>0</v>
      </c>
      <c r="D40" s="38">
        <f t="shared" si="25"/>
        <v>0</v>
      </c>
      <c r="E40" s="75">
        <f>Poor!E40</f>
        <v>1</v>
      </c>
      <c r="F40" s="75">
        <f>Poor!F40</f>
        <v>1.18</v>
      </c>
      <c r="G40" s="75">
        <f>Poor!G40</f>
        <v>1.65</v>
      </c>
      <c r="H40" s="24">
        <f t="shared" si="30"/>
        <v>1.18</v>
      </c>
      <c r="I40" s="39">
        <f t="shared" si="31"/>
        <v>0</v>
      </c>
      <c r="J40" s="38">
        <f t="shared" si="32"/>
        <v>0</v>
      </c>
      <c r="K40" s="40">
        <f t="shared" si="33"/>
        <v>0</v>
      </c>
      <c r="L40" s="22">
        <f t="shared" si="34"/>
        <v>0</v>
      </c>
      <c r="M40" s="24">
        <f t="shared" si="35"/>
        <v>0</v>
      </c>
      <c r="N40" s="2"/>
      <c r="O40" s="2"/>
      <c r="P40" s="2"/>
      <c r="Q40" s="59"/>
      <c r="R40" s="252"/>
      <c r="S40" s="252"/>
      <c r="T40" s="29"/>
      <c r="U40" s="56"/>
      <c r="V40" s="56"/>
      <c r="W40" s="115"/>
      <c r="X40" s="118">
        <f>X9</f>
        <v>1</v>
      </c>
      <c r="Y40" s="110"/>
      <c r="Z40" s="122">
        <f>Z9</f>
        <v>0.75676436657050716</v>
      </c>
      <c r="AA40" s="147">
        <f t="shared" si="40"/>
        <v>0</v>
      </c>
      <c r="AB40" s="122">
        <f>AB9</f>
        <v>0.24323563342949278</v>
      </c>
      <c r="AC40" s="147">
        <f t="shared" si="41"/>
        <v>0</v>
      </c>
      <c r="AD40" s="122">
        <f>AD9</f>
        <v>0</v>
      </c>
      <c r="AE40" s="147">
        <f t="shared" si="42"/>
        <v>0</v>
      </c>
      <c r="AF40" s="122">
        <f t="shared" si="29"/>
        <v>0</v>
      </c>
      <c r="AG40" s="147">
        <f t="shared" si="36"/>
        <v>0</v>
      </c>
      <c r="AH40" s="123">
        <f t="shared" si="37"/>
        <v>1</v>
      </c>
      <c r="AI40" s="112">
        <f t="shared" si="37"/>
        <v>0</v>
      </c>
      <c r="AJ40" s="148">
        <f t="shared" si="38"/>
        <v>0</v>
      </c>
      <c r="AK40" s="147">
        <f t="shared" si="39"/>
        <v>0</v>
      </c>
      <c r="AP40" s="25"/>
      <c r="AQ40" s="25"/>
      <c r="AR40" s="25"/>
      <c r="AS40" s="25"/>
      <c r="AT40" s="25"/>
      <c r="AU40" s="25"/>
      <c r="AW40" s="25"/>
      <c r="AX40" s="25"/>
      <c r="AY40" s="25"/>
      <c r="AZ40" s="25"/>
      <c r="BA40" s="25"/>
      <c r="BB40" s="25"/>
      <c r="BF40" s="25"/>
      <c r="BG40" s="25"/>
      <c r="BH40" s="25"/>
      <c r="BI40" s="25"/>
      <c r="BJ40" s="25"/>
      <c r="BK40" s="25"/>
      <c r="BM40" s="25"/>
      <c r="BN40" s="25"/>
      <c r="BO40" s="25"/>
      <c r="BP40" s="25"/>
      <c r="BQ40" s="25"/>
      <c r="BR40" s="25"/>
      <c r="BU40" s="25"/>
      <c r="BV40" s="25"/>
      <c r="BW40" s="25"/>
      <c r="BX40" s="25"/>
      <c r="BY40" s="25"/>
      <c r="BZ40" s="25"/>
      <c r="CB40" s="25"/>
      <c r="CC40" s="25"/>
      <c r="CD40" s="25"/>
      <c r="CE40" s="25"/>
      <c r="CF40" s="25"/>
      <c r="CG40" s="25"/>
    </row>
    <row r="41" spans="1:88" ht="14" customHeight="1">
      <c r="A41" s="86" t="str">
        <f>IF(Poor!A41=0,"",Poor!A41)</f>
        <v>Green maize sold: quantity</v>
      </c>
      <c r="B41" s="216">
        <v>0</v>
      </c>
      <c r="C41" s="216">
        <v>0</v>
      </c>
      <c r="D41" s="38">
        <f t="shared" si="25"/>
        <v>0</v>
      </c>
      <c r="E41" s="75">
        <f>Poor!E41</f>
        <v>1</v>
      </c>
      <c r="F41" s="75">
        <f>Poor!F41</f>
        <v>1.4</v>
      </c>
      <c r="G41" s="75">
        <f>Poor!G41</f>
        <v>1.65</v>
      </c>
      <c r="H41" s="24">
        <f t="shared" si="30"/>
        <v>1.4</v>
      </c>
      <c r="I41" s="39">
        <f t="shared" si="31"/>
        <v>0</v>
      </c>
      <c r="J41" s="38">
        <f t="shared" si="32"/>
        <v>0</v>
      </c>
      <c r="K41" s="40">
        <f t="shared" si="33"/>
        <v>0</v>
      </c>
      <c r="L41" s="22">
        <f t="shared" si="34"/>
        <v>0</v>
      </c>
      <c r="M41" s="24">
        <f t="shared" si="35"/>
        <v>0</v>
      </c>
      <c r="N41" s="2"/>
      <c r="O41" s="2"/>
      <c r="P41" s="2"/>
      <c r="Q41" s="59"/>
      <c r="R41" s="252"/>
      <c r="S41" s="252"/>
      <c r="T41" s="253"/>
      <c r="U41" s="56"/>
      <c r="V41" s="56"/>
      <c r="W41" s="115"/>
      <c r="X41" s="118">
        <f>X11</f>
        <v>1</v>
      </c>
      <c r="Y41" s="110"/>
      <c r="Z41" s="122">
        <f>Z11</f>
        <v>0.75676436657050716</v>
      </c>
      <c r="AA41" s="147">
        <f t="shared" si="40"/>
        <v>0</v>
      </c>
      <c r="AB41" s="122">
        <f>AB11</f>
        <v>0.24323563342949286</v>
      </c>
      <c r="AC41" s="147">
        <f t="shared" si="41"/>
        <v>0</v>
      </c>
      <c r="AD41" s="122">
        <f>AD11</f>
        <v>0</v>
      </c>
      <c r="AE41" s="147">
        <f t="shared" si="42"/>
        <v>0</v>
      </c>
      <c r="AF41" s="122">
        <f t="shared" si="29"/>
        <v>0</v>
      </c>
      <c r="AG41" s="147">
        <f t="shared" si="36"/>
        <v>0</v>
      </c>
      <c r="AH41" s="123">
        <f t="shared" si="37"/>
        <v>1</v>
      </c>
      <c r="AI41" s="112">
        <f t="shared" si="37"/>
        <v>0</v>
      </c>
      <c r="AJ41" s="148">
        <f t="shared" si="38"/>
        <v>0</v>
      </c>
      <c r="AK41" s="147">
        <f t="shared" si="39"/>
        <v>0</v>
      </c>
      <c r="AP41" s="25"/>
      <c r="AQ41" s="25"/>
      <c r="AR41" s="25"/>
      <c r="AS41" s="25"/>
      <c r="AT41" s="25"/>
      <c r="AU41" s="25"/>
      <c r="AW41" s="25"/>
      <c r="AX41" s="25"/>
      <c r="AY41" s="25"/>
      <c r="AZ41" s="25"/>
      <c r="BA41" s="25"/>
      <c r="BB41" s="25"/>
      <c r="BF41" s="25"/>
      <c r="BG41" s="25"/>
      <c r="BH41" s="25"/>
      <c r="BI41" s="25"/>
      <c r="BJ41" s="25"/>
      <c r="BK41" s="25"/>
      <c r="BM41" s="25"/>
      <c r="BN41" s="25"/>
      <c r="BO41" s="25"/>
      <c r="BP41" s="25"/>
      <c r="BQ41" s="25"/>
      <c r="BR41" s="25"/>
      <c r="BU41" s="25"/>
      <c r="BV41" s="25"/>
      <c r="BW41" s="25"/>
      <c r="BX41" s="25"/>
      <c r="BY41" s="25"/>
      <c r="BZ41" s="25"/>
      <c r="CB41" s="25"/>
      <c r="CC41" s="25"/>
      <c r="CD41" s="25"/>
      <c r="CE41" s="25"/>
      <c r="CF41" s="25"/>
      <c r="CG41" s="25"/>
    </row>
    <row r="42" spans="1:88" ht="14" customHeight="1">
      <c r="A42" s="86" t="str">
        <f>IF(Poor!A42=0,"",Poor!A42)</f>
        <v>Maize: kg produced</v>
      </c>
      <c r="B42" s="216">
        <v>0</v>
      </c>
      <c r="C42" s="216">
        <v>0</v>
      </c>
      <c r="D42" s="38">
        <f t="shared" si="25"/>
        <v>0</v>
      </c>
      <c r="E42" s="75">
        <f>Poor!E42</f>
        <v>1.0900000000000001</v>
      </c>
      <c r="F42" s="75">
        <f>Poor!F42</f>
        <v>1.4</v>
      </c>
      <c r="G42" s="75">
        <f>Poor!G42</f>
        <v>1.65</v>
      </c>
      <c r="H42" s="24">
        <f t="shared" si="30"/>
        <v>1.526</v>
      </c>
      <c r="I42" s="39">
        <f t="shared" si="31"/>
        <v>0</v>
      </c>
      <c r="J42" s="38">
        <f t="shared" si="32"/>
        <v>0</v>
      </c>
      <c r="K42" s="40">
        <f t="shared" si="33"/>
        <v>0</v>
      </c>
      <c r="L42" s="22">
        <f t="shared" si="34"/>
        <v>0</v>
      </c>
      <c r="M42" s="24">
        <f t="shared" si="35"/>
        <v>0</v>
      </c>
      <c r="N42" s="2"/>
      <c r="O42" s="2"/>
      <c r="P42" s="176"/>
      <c r="Q42" s="41"/>
      <c r="R42" s="41"/>
      <c r="S42" s="254"/>
      <c r="T42" s="254"/>
      <c r="U42" s="56"/>
      <c r="V42" s="56"/>
      <c r="W42" s="115"/>
      <c r="X42" s="118">
        <v>1</v>
      </c>
      <c r="Y42" s="110"/>
      <c r="Z42" s="156">
        <f>Poor!Z42</f>
        <v>0.25</v>
      </c>
      <c r="AA42" s="147">
        <f t="shared" si="40"/>
        <v>0</v>
      </c>
      <c r="AB42" s="156">
        <f>Poor!AB42</f>
        <v>0</v>
      </c>
      <c r="AC42" s="147">
        <f t="shared" si="41"/>
        <v>0</v>
      </c>
      <c r="AD42" s="156">
        <f>Poor!AD42</f>
        <v>0.5</v>
      </c>
      <c r="AE42" s="147">
        <f t="shared" si="42"/>
        <v>0</v>
      </c>
      <c r="AF42" s="122">
        <f t="shared" si="29"/>
        <v>0.25</v>
      </c>
      <c r="AG42" s="147">
        <f t="shared" si="36"/>
        <v>0</v>
      </c>
      <c r="AH42" s="123">
        <f t="shared" si="37"/>
        <v>1</v>
      </c>
      <c r="AI42" s="112">
        <f t="shared" si="37"/>
        <v>0</v>
      </c>
      <c r="AJ42" s="148">
        <f t="shared" si="38"/>
        <v>0</v>
      </c>
      <c r="AK42" s="147">
        <f t="shared" si="39"/>
        <v>0</v>
      </c>
      <c r="AP42" s="25"/>
      <c r="AQ42" s="25"/>
      <c r="AR42" s="25"/>
      <c r="AS42" s="25"/>
      <c r="AT42" s="25"/>
      <c r="AU42" s="25"/>
      <c r="AW42" s="25"/>
      <c r="AX42" s="25"/>
      <c r="AY42" s="25"/>
      <c r="AZ42" s="25"/>
      <c r="BA42" s="25"/>
      <c r="BB42" s="25"/>
      <c r="BF42" s="25"/>
      <c r="BG42" s="25"/>
      <c r="BH42" s="25"/>
      <c r="BI42" s="25"/>
      <c r="BJ42" s="25"/>
      <c r="BK42" s="25"/>
      <c r="BM42" s="25"/>
      <c r="BN42" s="25"/>
      <c r="BO42" s="25"/>
      <c r="BP42" s="25"/>
      <c r="BQ42" s="25"/>
      <c r="BR42" s="25"/>
      <c r="BU42" s="25"/>
      <c r="BV42" s="25"/>
      <c r="BW42" s="25"/>
      <c r="BX42" s="25"/>
      <c r="BY42" s="25"/>
      <c r="BZ42" s="25"/>
      <c r="CB42" s="25"/>
      <c r="CC42" s="25"/>
      <c r="CD42" s="25"/>
      <c r="CE42" s="25"/>
      <c r="CF42" s="25"/>
      <c r="CG42" s="25"/>
    </row>
    <row r="43" spans="1:88" ht="14" customHeight="1">
      <c r="A43" s="86" t="str">
        <f>IF(Poor!A43=0,"",Poor!A43)</f>
        <v>Maize (irrigated): kg produced</v>
      </c>
      <c r="B43" s="216">
        <v>0</v>
      </c>
      <c r="C43" s="216">
        <v>0</v>
      </c>
      <c r="D43" s="38">
        <f t="shared" si="25"/>
        <v>0</v>
      </c>
      <c r="E43" s="75">
        <f>Poor!E43</f>
        <v>1.0900000000000001</v>
      </c>
      <c r="F43" s="75">
        <f>Poor!F43</f>
        <v>1.4</v>
      </c>
      <c r="G43" s="75">
        <f>Poor!G43</f>
        <v>1.65</v>
      </c>
      <c r="H43" s="24">
        <f t="shared" si="30"/>
        <v>1.526</v>
      </c>
      <c r="I43" s="39">
        <f t="shared" si="31"/>
        <v>0</v>
      </c>
      <c r="J43" s="38">
        <f t="shared" si="32"/>
        <v>0</v>
      </c>
      <c r="K43" s="40">
        <f t="shared" si="33"/>
        <v>0</v>
      </c>
      <c r="L43" s="22">
        <f t="shared" si="34"/>
        <v>0</v>
      </c>
      <c r="M43" s="24">
        <f t="shared" si="35"/>
        <v>0</v>
      </c>
      <c r="N43" s="2"/>
      <c r="O43" s="2"/>
      <c r="P43" s="176"/>
      <c r="Q43" s="41"/>
      <c r="R43" s="41"/>
      <c r="S43" s="221"/>
      <c r="T43" s="221"/>
      <c r="U43" s="56"/>
      <c r="V43" s="56"/>
      <c r="W43" s="115"/>
      <c r="X43" s="118"/>
      <c r="Y43" s="110"/>
      <c r="Z43" s="156">
        <f>Poor!Z43</f>
        <v>0.25</v>
      </c>
      <c r="AA43" s="147">
        <f t="shared" si="40"/>
        <v>0</v>
      </c>
      <c r="AB43" s="156">
        <f>Poor!AB43</f>
        <v>0.25</v>
      </c>
      <c r="AC43" s="147">
        <f t="shared" si="41"/>
        <v>0</v>
      </c>
      <c r="AD43" s="156">
        <f>Poor!AD43</f>
        <v>0.25</v>
      </c>
      <c r="AE43" s="147">
        <f t="shared" si="42"/>
        <v>0</v>
      </c>
      <c r="AF43" s="122">
        <f t="shared" si="29"/>
        <v>0.25</v>
      </c>
      <c r="AG43" s="147">
        <f t="shared" si="36"/>
        <v>0</v>
      </c>
      <c r="AH43" s="123">
        <f t="shared" si="37"/>
        <v>1</v>
      </c>
      <c r="AI43" s="112">
        <f t="shared" si="37"/>
        <v>0</v>
      </c>
      <c r="AJ43" s="148">
        <f t="shared" si="38"/>
        <v>0</v>
      </c>
      <c r="AK43" s="147">
        <f t="shared" si="39"/>
        <v>0</v>
      </c>
      <c r="AP43" s="25"/>
      <c r="AQ43" s="25"/>
      <c r="AR43" s="25"/>
      <c r="AS43" s="25"/>
      <c r="AT43" s="25"/>
      <c r="AU43" s="25"/>
      <c r="AW43" s="25"/>
      <c r="AX43" s="25"/>
      <c r="AY43" s="25"/>
      <c r="AZ43" s="25"/>
      <c r="BA43" s="25"/>
      <c r="BB43" s="25"/>
      <c r="BF43" s="25"/>
      <c r="BG43" s="25"/>
      <c r="BH43" s="25"/>
      <c r="BI43" s="25"/>
      <c r="BJ43" s="25"/>
      <c r="BK43" s="25"/>
      <c r="BM43" s="25"/>
      <c r="BN43" s="25"/>
      <c r="BO43" s="25"/>
      <c r="BP43" s="25"/>
      <c r="BQ43" s="25"/>
      <c r="BR43" s="25"/>
      <c r="BU43" s="25"/>
      <c r="BV43" s="25"/>
      <c r="BW43" s="25"/>
      <c r="BX43" s="25"/>
      <c r="BY43" s="25"/>
      <c r="BZ43" s="25"/>
      <c r="CB43" s="25"/>
      <c r="CC43" s="25"/>
      <c r="CD43" s="25"/>
      <c r="CE43" s="25"/>
      <c r="CF43" s="25"/>
      <c r="CG43" s="25"/>
    </row>
    <row r="44" spans="1:88" ht="14" customHeight="1">
      <c r="A44" s="86" t="str">
        <f>IF(Poor!A44=0,"",Poor!A44)</f>
        <v>Beans: kg produced</v>
      </c>
      <c r="B44" s="216">
        <v>0</v>
      </c>
      <c r="C44" s="216">
        <v>0</v>
      </c>
      <c r="D44" s="38">
        <f t="shared" si="25"/>
        <v>0</v>
      </c>
      <c r="E44" s="75">
        <f>Poor!E44</f>
        <v>1</v>
      </c>
      <c r="F44" s="75">
        <f>Poor!F44</f>
        <v>1.4</v>
      </c>
      <c r="G44" s="75">
        <f>Poor!G44</f>
        <v>1.65</v>
      </c>
      <c r="H44" s="24">
        <f t="shared" si="30"/>
        <v>1.4</v>
      </c>
      <c r="I44" s="39">
        <f t="shared" si="31"/>
        <v>0</v>
      </c>
      <c r="J44" s="38">
        <f t="shared" si="32"/>
        <v>0</v>
      </c>
      <c r="K44" s="40">
        <f t="shared" si="33"/>
        <v>0</v>
      </c>
      <c r="L44" s="22">
        <f t="shared" si="34"/>
        <v>0</v>
      </c>
      <c r="M44" s="24">
        <f t="shared" si="35"/>
        <v>0</v>
      </c>
      <c r="N44" s="2"/>
      <c r="O44" s="2"/>
      <c r="P44" s="2"/>
      <c r="Q44" s="255"/>
      <c r="R44" s="41"/>
      <c r="S44" s="41"/>
      <c r="T44" s="253"/>
      <c r="U44" s="56"/>
      <c r="V44" s="56"/>
      <c r="W44" s="117"/>
      <c r="X44" s="118"/>
      <c r="Y44" s="110"/>
      <c r="Z44" s="156">
        <f>Poor!Z44</f>
        <v>0.25</v>
      </c>
      <c r="AA44" s="147">
        <f t="shared" si="40"/>
        <v>0</v>
      </c>
      <c r="AB44" s="156">
        <f>Poor!AB44</f>
        <v>0.25</v>
      </c>
      <c r="AC44" s="147">
        <f t="shared" si="41"/>
        <v>0</v>
      </c>
      <c r="AD44" s="156">
        <f>Poor!AD44</f>
        <v>0.25</v>
      </c>
      <c r="AE44" s="147">
        <f t="shared" si="42"/>
        <v>0</v>
      </c>
      <c r="AF44" s="122">
        <f t="shared" si="29"/>
        <v>0.25</v>
      </c>
      <c r="AG44" s="147">
        <f t="shared" si="36"/>
        <v>0</v>
      </c>
      <c r="AH44" s="123">
        <f t="shared" si="37"/>
        <v>1</v>
      </c>
      <c r="AI44" s="112">
        <f t="shared" si="37"/>
        <v>0</v>
      </c>
      <c r="AJ44" s="148">
        <f t="shared" si="38"/>
        <v>0</v>
      </c>
      <c r="AK44" s="147">
        <f t="shared" si="39"/>
        <v>0</v>
      </c>
      <c r="AP44" s="25"/>
      <c r="AQ44" s="25"/>
      <c r="AR44" s="25"/>
      <c r="AS44" s="25"/>
      <c r="AT44" s="25"/>
      <c r="AU44" s="25"/>
      <c r="AW44" s="25"/>
      <c r="AX44" s="25"/>
      <c r="AY44" s="25"/>
      <c r="AZ44" s="25"/>
      <c r="BA44" s="25"/>
      <c r="BB44" s="25"/>
      <c r="BF44" s="25"/>
      <c r="BG44" s="25"/>
      <c r="BH44" s="25"/>
      <c r="BI44" s="25"/>
      <c r="BJ44" s="25"/>
      <c r="BK44" s="25"/>
      <c r="BM44" s="25"/>
      <c r="BN44" s="25"/>
      <c r="BO44" s="25"/>
      <c r="BP44" s="25"/>
      <c r="BQ44" s="25"/>
      <c r="BR44" s="25"/>
      <c r="BU44" s="25"/>
      <c r="BV44" s="25"/>
      <c r="BW44" s="25"/>
      <c r="BX44" s="25"/>
      <c r="BY44" s="25"/>
      <c r="BZ44" s="25"/>
      <c r="CB44" s="25"/>
      <c r="CC44" s="25"/>
      <c r="CD44" s="25"/>
      <c r="CE44" s="25"/>
      <c r="CF44" s="25"/>
      <c r="CG44" s="25"/>
    </row>
    <row r="45" spans="1:88" ht="14" customHeight="1">
      <c r="A45" s="86" t="str">
        <f>IF(Poor!A45=0,"",Poor!A45)</f>
        <v>Potato: kg produced</v>
      </c>
      <c r="B45" s="216">
        <v>0</v>
      </c>
      <c r="C45" s="216">
        <v>0</v>
      </c>
      <c r="D45" s="38">
        <f t="shared" si="25"/>
        <v>0</v>
      </c>
      <c r="E45" s="75">
        <f>Poor!E45</f>
        <v>1</v>
      </c>
      <c r="F45" s="75">
        <f>Poor!F45</f>
        <v>1.4</v>
      </c>
      <c r="G45" s="75">
        <f>Poor!G45</f>
        <v>1.65</v>
      </c>
      <c r="H45" s="24">
        <f t="shared" si="30"/>
        <v>1.4</v>
      </c>
      <c r="I45" s="39">
        <f t="shared" si="31"/>
        <v>0</v>
      </c>
      <c r="J45" s="38">
        <f t="shared" si="32"/>
        <v>0</v>
      </c>
      <c r="K45" s="40">
        <f t="shared" si="33"/>
        <v>0</v>
      </c>
      <c r="L45" s="22">
        <f t="shared" si="34"/>
        <v>0</v>
      </c>
      <c r="M45" s="24">
        <f t="shared" si="35"/>
        <v>0</v>
      </c>
      <c r="N45" s="2"/>
      <c r="O45" s="2"/>
      <c r="P45" s="2"/>
      <c r="Q45" s="255"/>
      <c r="S45" s="41"/>
      <c r="U45" s="56"/>
      <c r="V45" s="56"/>
      <c r="W45" s="110"/>
      <c r="X45" s="118"/>
      <c r="Y45" s="110"/>
      <c r="Z45" s="156">
        <f>Poor!Z45</f>
        <v>0.25</v>
      </c>
      <c r="AA45" s="147">
        <f t="shared" si="40"/>
        <v>0</v>
      </c>
      <c r="AB45" s="156">
        <f>Poor!AB45</f>
        <v>0.25</v>
      </c>
      <c r="AC45" s="147">
        <f t="shared" si="41"/>
        <v>0</v>
      </c>
      <c r="AD45" s="156">
        <f>Poor!AD45</f>
        <v>0.25</v>
      </c>
      <c r="AE45" s="147">
        <f t="shared" si="42"/>
        <v>0</v>
      </c>
      <c r="AF45" s="122">
        <f t="shared" si="29"/>
        <v>0.25</v>
      </c>
      <c r="AG45" s="147">
        <f t="shared" si="36"/>
        <v>0</v>
      </c>
      <c r="AH45" s="123">
        <f t="shared" si="37"/>
        <v>1</v>
      </c>
      <c r="AI45" s="112">
        <f t="shared" si="37"/>
        <v>0</v>
      </c>
      <c r="AJ45" s="148">
        <f t="shared" si="38"/>
        <v>0</v>
      </c>
      <c r="AK45" s="147">
        <f t="shared" si="39"/>
        <v>0</v>
      </c>
      <c r="AP45" s="25"/>
      <c r="AQ45" s="25"/>
      <c r="AR45" s="25"/>
      <c r="AS45" s="25"/>
      <c r="AT45" s="25"/>
      <c r="AU45" s="25"/>
      <c r="AW45" s="25"/>
      <c r="AX45" s="25"/>
      <c r="AY45" s="25"/>
      <c r="AZ45" s="25"/>
      <c r="BA45" s="25"/>
      <c r="BB45" s="25"/>
      <c r="BF45" s="25"/>
      <c r="BG45" s="25"/>
      <c r="BH45" s="25"/>
      <c r="BI45" s="25"/>
      <c r="BJ45" s="25"/>
      <c r="BK45" s="25"/>
      <c r="BM45" s="25"/>
      <c r="BN45" s="25"/>
      <c r="BO45" s="25"/>
      <c r="BP45" s="25"/>
      <c r="BQ45" s="25"/>
      <c r="BR45" s="25"/>
      <c r="BU45" s="25"/>
      <c r="BV45" s="25"/>
      <c r="BW45" s="25"/>
      <c r="BX45" s="25"/>
      <c r="BY45" s="25"/>
      <c r="BZ45" s="25"/>
      <c r="CB45" s="25"/>
      <c r="CC45" s="25"/>
      <c r="CD45" s="25"/>
      <c r="CE45" s="25"/>
      <c r="CF45" s="25"/>
      <c r="CG45" s="25"/>
    </row>
    <row r="46" spans="1:88" ht="14" customHeight="1">
      <c r="A46" s="86" t="str">
        <f>IF(Poor!A46=0,"",Poor!A46)</f>
        <v>Sweet potato: no. local meas</v>
      </c>
      <c r="B46" s="216">
        <v>750</v>
      </c>
      <c r="C46" s="216">
        <v>-750</v>
      </c>
      <c r="D46" s="38">
        <f t="shared" si="25"/>
        <v>0</v>
      </c>
      <c r="E46" s="75">
        <f>Poor!E46</f>
        <v>1</v>
      </c>
      <c r="F46" s="75">
        <f>Poor!F46</f>
        <v>1.4</v>
      </c>
      <c r="G46" s="75">
        <f>Poor!G46</f>
        <v>1.65</v>
      </c>
      <c r="H46" s="24">
        <f t="shared" si="30"/>
        <v>1.4</v>
      </c>
      <c r="I46" s="39">
        <f t="shared" si="31"/>
        <v>0</v>
      </c>
      <c r="J46" s="38">
        <f t="shared" si="32"/>
        <v>0</v>
      </c>
      <c r="K46" s="40">
        <f t="shared" si="33"/>
        <v>2.3369339426672204E-2</v>
      </c>
      <c r="L46" s="22">
        <f t="shared" si="34"/>
        <v>3.2717075197341086E-2</v>
      </c>
      <c r="M46" s="24">
        <f t="shared" si="35"/>
        <v>0</v>
      </c>
      <c r="N46" s="2"/>
      <c r="O46" s="2"/>
      <c r="P46" s="2"/>
      <c r="Q46" s="255"/>
      <c r="S46" s="41"/>
      <c r="U46" s="56"/>
      <c r="V46" s="56"/>
      <c r="W46" s="110"/>
      <c r="X46" s="118"/>
      <c r="Y46" s="110"/>
      <c r="Z46" s="156">
        <f>Poor!Z46</f>
        <v>0.25</v>
      </c>
      <c r="AA46" s="147">
        <f t="shared" si="40"/>
        <v>0</v>
      </c>
      <c r="AB46" s="156">
        <f>Poor!AB46</f>
        <v>0.25</v>
      </c>
      <c r="AC46" s="147">
        <f t="shared" si="41"/>
        <v>0</v>
      </c>
      <c r="AD46" s="156">
        <f>Poor!AD46</f>
        <v>0.25</v>
      </c>
      <c r="AE46" s="147">
        <f t="shared" si="42"/>
        <v>0</v>
      </c>
      <c r="AF46" s="122">
        <f t="shared" si="29"/>
        <v>0.25</v>
      </c>
      <c r="AG46" s="147">
        <f t="shared" si="36"/>
        <v>0</v>
      </c>
      <c r="AH46" s="123">
        <f t="shared" si="37"/>
        <v>1</v>
      </c>
      <c r="AI46" s="112">
        <f t="shared" si="37"/>
        <v>0</v>
      </c>
      <c r="AJ46" s="148">
        <f t="shared" si="38"/>
        <v>0</v>
      </c>
      <c r="AK46" s="147">
        <f t="shared" si="39"/>
        <v>0</v>
      </c>
      <c r="AP46" s="25"/>
      <c r="AQ46" s="25"/>
      <c r="AR46" s="25"/>
      <c r="AS46" s="25"/>
      <c r="AT46" s="25"/>
      <c r="AU46" s="25"/>
      <c r="AW46" s="25"/>
      <c r="AX46" s="25"/>
      <c r="AY46" s="25"/>
      <c r="AZ46" s="25"/>
      <c r="BA46" s="25"/>
      <c r="BB46" s="25"/>
      <c r="BF46" s="25"/>
      <c r="BG46" s="25"/>
      <c r="BH46" s="25"/>
      <c r="BI46" s="25"/>
      <c r="BJ46" s="25"/>
      <c r="BK46" s="25"/>
      <c r="BM46" s="25"/>
      <c r="BN46" s="25"/>
      <c r="BO46" s="25"/>
      <c r="BP46" s="25"/>
      <c r="BQ46" s="25"/>
      <c r="BR46" s="25"/>
      <c r="BU46" s="25"/>
      <c r="BV46" s="25"/>
      <c r="BW46" s="25"/>
      <c r="BX46" s="25"/>
      <c r="BY46" s="25"/>
      <c r="BZ46" s="25"/>
      <c r="CB46" s="25"/>
      <c r="CC46" s="25"/>
      <c r="CD46" s="25"/>
      <c r="CE46" s="25"/>
      <c r="CF46" s="25"/>
      <c r="CG46" s="25"/>
    </row>
    <row r="47" spans="1:88" ht="14" customHeight="1">
      <c r="A47" s="86" t="str">
        <f>IF(Poor!A47=0,"",Poor!A47)</f>
        <v>Groundnuts (dry): no. local meas</v>
      </c>
      <c r="B47" s="216">
        <v>46</v>
      </c>
      <c r="C47" s="216">
        <v>-46</v>
      </c>
      <c r="D47" s="38">
        <f t="shared" si="25"/>
        <v>0</v>
      </c>
      <c r="E47" s="75">
        <f>Poor!E47</f>
        <v>1</v>
      </c>
      <c r="F47" s="75">
        <f>Poor!F47</f>
        <v>1.4</v>
      </c>
      <c r="G47" s="75">
        <f>Poor!G47</f>
        <v>1.65</v>
      </c>
      <c r="H47" s="24">
        <f t="shared" si="30"/>
        <v>1.4</v>
      </c>
      <c r="I47" s="39">
        <f t="shared" si="31"/>
        <v>0</v>
      </c>
      <c r="J47" s="38">
        <f t="shared" si="32"/>
        <v>0</v>
      </c>
      <c r="K47" s="40">
        <f t="shared" si="33"/>
        <v>1.4333194848358951E-3</v>
      </c>
      <c r="L47" s="22">
        <f t="shared" si="34"/>
        <v>2.0066472787702533E-3</v>
      </c>
      <c r="M47" s="24">
        <f t="shared" si="35"/>
        <v>0</v>
      </c>
      <c r="N47" s="2"/>
      <c r="O47" s="2"/>
      <c r="P47" s="2"/>
      <c r="R47" s="243"/>
      <c r="U47" s="56"/>
      <c r="V47" s="56"/>
      <c r="W47" s="110"/>
      <c r="X47" s="118"/>
      <c r="Y47" s="110"/>
      <c r="Z47" s="156">
        <f>Poor!Z47</f>
        <v>0.25</v>
      </c>
      <c r="AA47" s="147">
        <f t="shared" si="40"/>
        <v>0</v>
      </c>
      <c r="AB47" s="156">
        <f>Poor!AB47</f>
        <v>0.25</v>
      </c>
      <c r="AC47" s="147">
        <f t="shared" si="41"/>
        <v>0</v>
      </c>
      <c r="AD47" s="156">
        <f>Poor!AD47</f>
        <v>0.25</v>
      </c>
      <c r="AE47" s="147">
        <f t="shared" si="42"/>
        <v>0</v>
      </c>
      <c r="AF47" s="122">
        <f t="shared" si="29"/>
        <v>0.25</v>
      </c>
      <c r="AG47" s="147">
        <f t="shared" si="36"/>
        <v>0</v>
      </c>
      <c r="AH47" s="123">
        <f t="shared" si="37"/>
        <v>1</v>
      </c>
      <c r="AI47" s="112">
        <f t="shared" si="37"/>
        <v>0</v>
      </c>
      <c r="AJ47" s="148">
        <f t="shared" si="38"/>
        <v>0</v>
      </c>
      <c r="AK47" s="147">
        <f t="shared" si="39"/>
        <v>0</v>
      </c>
      <c r="AP47" s="25"/>
      <c r="AQ47" s="25"/>
      <c r="AR47" s="25"/>
      <c r="AS47" s="25"/>
      <c r="AT47" s="25"/>
      <c r="AU47" s="25"/>
      <c r="AW47" s="25"/>
      <c r="AX47" s="25"/>
      <c r="AY47" s="25"/>
      <c r="AZ47" s="25"/>
      <c r="BA47" s="25"/>
      <c r="BB47" s="25"/>
      <c r="BF47" s="25"/>
      <c r="BG47" s="25"/>
      <c r="BH47" s="25"/>
      <c r="BI47" s="25"/>
      <c r="BJ47" s="25"/>
      <c r="BK47" s="25"/>
      <c r="BM47" s="25"/>
      <c r="BN47" s="25"/>
      <c r="BO47" s="25"/>
      <c r="BP47" s="25"/>
      <c r="BQ47" s="25"/>
      <c r="BR47" s="25"/>
      <c r="BU47" s="25"/>
      <c r="BV47" s="25"/>
      <c r="BW47" s="25"/>
      <c r="BX47" s="25"/>
      <c r="BY47" s="25"/>
      <c r="BZ47" s="25"/>
      <c r="CB47" s="25"/>
      <c r="CC47" s="25"/>
      <c r="CD47" s="25"/>
      <c r="CE47" s="25"/>
      <c r="CF47" s="25"/>
      <c r="CG47" s="25"/>
    </row>
    <row r="48" spans="1:88" ht="14" customHeight="1">
      <c r="A48" s="86" t="str">
        <f>IF(Poor!A48=0,"",Poor!A48)</f>
        <v>Other crop: Rape</v>
      </c>
      <c r="B48" s="216">
        <v>0</v>
      </c>
      <c r="C48" s="216">
        <v>0</v>
      </c>
      <c r="D48" s="38">
        <f t="shared" si="25"/>
        <v>0</v>
      </c>
      <c r="E48" s="75">
        <f>Poor!E48</f>
        <v>1</v>
      </c>
      <c r="F48" s="75">
        <f>Poor!F48</f>
        <v>1.4</v>
      </c>
      <c r="G48" s="75">
        <f>Poor!G48</f>
        <v>1.65</v>
      </c>
      <c r="H48" s="24">
        <f t="shared" si="30"/>
        <v>1.4</v>
      </c>
      <c r="I48" s="39">
        <f t="shared" si="31"/>
        <v>0</v>
      </c>
      <c r="J48" s="38">
        <f t="shared" si="32"/>
        <v>0</v>
      </c>
      <c r="K48" s="40">
        <f t="shared" si="33"/>
        <v>0</v>
      </c>
      <c r="L48" s="22">
        <f t="shared" si="34"/>
        <v>0</v>
      </c>
      <c r="M48" s="24">
        <f t="shared" si="35"/>
        <v>0</v>
      </c>
      <c r="N48" s="2"/>
      <c r="O48" s="2"/>
      <c r="P48" s="2"/>
      <c r="Q48" s="255"/>
      <c r="R48" s="252"/>
      <c r="S48" s="41"/>
      <c r="T48" s="29"/>
      <c r="U48" s="56"/>
      <c r="V48" s="56"/>
      <c r="W48" s="110"/>
      <c r="X48" s="118"/>
      <c r="Y48" s="110"/>
      <c r="Z48" s="156">
        <f>Poor!Z48</f>
        <v>0.25</v>
      </c>
      <c r="AA48" s="147">
        <f t="shared" si="40"/>
        <v>0</v>
      </c>
      <c r="AB48" s="156">
        <f>Poor!AB48</f>
        <v>0.25</v>
      </c>
      <c r="AC48" s="147">
        <f t="shared" si="41"/>
        <v>0</v>
      </c>
      <c r="AD48" s="156">
        <f>Poor!AD48</f>
        <v>0.25</v>
      </c>
      <c r="AE48" s="147">
        <f t="shared" si="42"/>
        <v>0</v>
      </c>
      <c r="AF48" s="122">
        <f t="shared" si="29"/>
        <v>0.25</v>
      </c>
      <c r="AG48" s="147">
        <f t="shared" si="36"/>
        <v>0</v>
      </c>
      <c r="AH48" s="123">
        <f t="shared" si="37"/>
        <v>1</v>
      </c>
      <c r="AI48" s="112">
        <f t="shared" si="37"/>
        <v>0</v>
      </c>
      <c r="AJ48" s="148">
        <f t="shared" si="38"/>
        <v>0</v>
      </c>
      <c r="AK48" s="147">
        <f t="shared" si="39"/>
        <v>0</v>
      </c>
      <c r="AP48" s="25"/>
      <c r="AQ48" s="25"/>
      <c r="AR48" s="25"/>
      <c r="AS48" s="25"/>
      <c r="AT48" s="25"/>
      <c r="AU48" s="25"/>
      <c r="AW48" s="25"/>
      <c r="AX48" s="25"/>
      <c r="AY48" s="25"/>
      <c r="AZ48" s="25"/>
      <c r="BA48" s="25"/>
      <c r="BB48" s="25"/>
      <c r="BF48" s="25"/>
      <c r="BG48" s="25"/>
      <c r="BH48" s="25"/>
      <c r="BI48" s="25"/>
      <c r="BJ48" s="25"/>
      <c r="BK48" s="25"/>
      <c r="BM48" s="25"/>
      <c r="BN48" s="25"/>
      <c r="BO48" s="25"/>
      <c r="BP48" s="25"/>
      <c r="BQ48" s="25"/>
      <c r="BR48" s="25"/>
      <c r="BU48" s="25"/>
      <c r="BV48" s="25"/>
      <c r="BW48" s="25"/>
      <c r="BX48" s="25"/>
      <c r="BY48" s="25"/>
      <c r="BZ48" s="25"/>
      <c r="CB48" s="25"/>
      <c r="CC48" s="25"/>
      <c r="CD48" s="25"/>
      <c r="CE48" s="25"/>
      <c r="CF48" s="25"/>
      <c r="CG48" s="25"/>
    </row>
    <row r="49" spans="1:85" ht="14" customHeight="1">
      <c r="A49" s="86" t="str">
        <f>IF(Poor!A49=0,"",Poor!A49)</f>
        <v>Other cashcrop (cabbage): kg produced</v>
      </c>
      <c r="B49" s="216">
        <v>0</v>
      </c>
      <c r="C49" s="216">
        <v>0</v>
      </c>
      <c r="D49" s="38">
        <f t="shared" si="25"/>
        <v>0</v>
      </c>
      <c r="E49" s="75">
        <f>Poor!E49</f>
        <v>1</v>
      </c>
      <c r="F49" s="75">
        <f>Poor!F49</f>
        <v>1.4</v>
      </c>
      <c r="G49" s="75">
        <f>Poor!G49</f>
        <v>1.65</v>
      </c>
      <c r="H49" s="24">
        <f t="shared" si="30"/>
        <v>1.4</v>
      </c>
      <c r="I49" s="39">
        <f t="shared" si="31"/>
        <v>0</v>
      </c>
      <c r="J49" s="38">
        <f t="shared" si="32"/>
        <v>0</v>
      </c>
      <c r="K49" s="40">
        <f t="shared" si="33"/>
        <v>0</v>
      </c>
      <c r="L49" s="22">
        <f t="shared" si="34"/>
        <v>0</v>
      </c>
      <c r="M49" s="24">
        <f t="shared" si="35"/>
        <v>0</v>
      </c>
      <c r="N49" s="2"/>
      <c r="O49" s="2"/>
      <c r="P49" s="2"/>
      <c r="Q49" s="255"/>
      <c r="R49" s="252"/>
      <c r="S49" s="41"/>
      <c r="T49" s="29"/>
      <c r="U49" s="56"/>
      <c r="V49" s="56"/>
      <c r="W49" s="110"/>
      <c r="X49" s="118"/>
      <c r="Y49" s="110"/>
      <c r="Z49" s="156">
        <f>Poor!Z49</f>
        <v>0.25</v>
      </c>
      <c r="AA49" s="147">
        <f t="shared" si="40"/>
        <v>0</v>
      </c>
      <c r="AB49" s="156">
        <f>Poor!AB49</f>
        <v>0.25</v>
      </c>
      <c r="AC49" s="147">
        <f t="shared" si="41"/>
        <v>0</v>
      </c>
      <c r="AD49" s="156">
        <f>Poor!AD49</f>
        <v>0.25</v>
      </c>
      <c r="AE49" s="147">
        <f t="shared" si="42"/>
        <v>0</v>
      </c>
      <c r="AF49" s="122">
        <f t="shared" si="29"/>
        <v>0.25</v>
      </c>
      <c r="AG49" s="147">
        <f t="shared" si="36"/>
        <v>0</v>
      </c>
      <c r="AH49" s="123">
        <f t="shared" si="37"/>
        <v>1</v>
      </c>
      <c r="AI49" s="112">
        <f t="shared" si="37"/>
        <v>0</v>
      </c>
      <c r="AJ49" s="148">
        <f t="shared" si="38"/>
        <v>0</v>
      </c>
      <c r="AK49" s="147">
        <f t="shared" si="39"/>
        <v>0</v>
      </c>
      <c r="AP49" s="25"/>
      <c r="AQ49" s="25"/>
      <c r="AR49" s="25"/>
      <c r="AS49" s="25"/>
      <c r="AT49" s="25"/>
      <c r="AU49" s="25"/>
      <c r="AW49" s="25"/>
      <c r="AX49" s="25"/>
      <c r="AY49" s="25"/>
      <c r="AZ49" s="25"/>
      <c r="BA49" s="25"/>
      <c r="BB49" s="25"/>
      <c r="BF49" s="25"/>
      <c r="BG49" s="25"/>
      <c r="BH49" s="25"/>
      <c r="BI49" s="25"/>
      <c r="BJ49" s="25"/>
      <c r="BK49" s="25"/>
      <c r="BM49" s="25"/>
      <c r="BN49" s="25"/>
      <c r="BO49" s="25"/>
      <c r="BP49" s="25"/>
      <c r="BQ49" s="25"/>
      <c r="BR49" s="25"/>
      <c r="BU49" s="25"/>
      <c r="BV49" s="25"/>
      <c r="BW49" s="25"/>
      <c r="BX49" s="25"/>
      <c r="BY49" s="25"/>
      <c r="BZ49" s="25"/>
      <c r="CB49" s="25"/>
      <c r="CC49" s="25"/>
      <c r="CD49" s="25"/>
      <c r="CE49" s="25"/>
      <c r="CF49" s="25"/>
      <c r="CG49" s="25"/>
    </row>
    <row r="50" spans="1:85" ht="14" customHeight="1">
      <c r="A50" s="86" t="str">
        <f>IF(Poor!A50=0,"",Poor!A50)</f>
        <v>Other crop: Amadumbe</v>
      </c>
      <c r="B50" s="216">
        <v>0</v>
      </c>
      <c r="C50" s="216">
        <v>0</v>
      </c>
      <c r="D50" s="38">
        <f t="shared" si="25"/>
        <v>0</v>
      </c>
      <c r="E50" s="75">
        <f>Poor!E50</f>
        <v>1</v>
      </c>
      <c r="F50" s="75">
        <f>Poor!F50</f>
        <v>1.4</v>
      </c>
      <c r="G50" s="75">
        <f>Poor!G50</f>
        <v>1.65</v>
      </c>
      <c r="H50" s="24">
        <f t="shared" si="30"/>
        <v>1.4</v>
      </c>
      <c r="I50" s="39">
        <f t="shared" si="31"/>
        <v>0</v>
      </c>
      <c r="J50" s="38">
        <f t="shared" si="32"/>
        <v>0</v>
      </c>
      <c r="K50" s="40">
        <f t="shared" si="33"/>
        <v>0</v>
      </c>
      <c r="L50" s="22">
        <f t="shared" si="34"/>
        <v>0</v>
      </c>
      <c r="M50" s="24">
        <f t="shared" si="35"/>
        <v>0</v>
      </c>
      <c r="N50" s="2"/>
      <c r="O50" s="2"/>
      <c r="P50" s="2"/>
      <c r="Q50" s="255"/>
      <c r="R50" s="252"/>
      <c r="S50" s="41"/>
      <c r="T50" s="29"/>
      <c r="U50" s="56"/>
      <c r="V50" s="56"/>
      <c r="W50" s="110"/>
      <c r="X50" s="118"/>
      <c r="Y50" s="110"/>
      <c r="Z50" s="156">
        <f>Poor!Z55</f>
        <v>0.25</v>
      </c>
      <c r="AA50" s="147">
        <f t="shared" si="40"/>
        <v>0</v>
      </c>
      <c r="AB50" s="156">
        <f>Poor!AB55</f>
        <v>0.25</v>
      </c>
      <c r="AC50" s="147">
        <f t="shared" si="41"/>
        <v>0</v>
      </c>
      <c r="AD50" s="156">
        <f>Poor!AD55</f>
        <v>0.25</v>
      </c>
      <c r="AE50" s="147">
        <f t="shared" si="42"/>
        <v>0</v>
      </c>
      <c r="AF50" s="122">
        <f t="shared" si="29"/>
        <v>0.25</v>
      </c>
      <c r="AG50" s="147">
        <f t="shared" si="36"/>
        <v>0</v>
      </c>
      <c r="AH50" s="123">
        <f t="shared" si="37"/>
        <v>1</v>
      </c>
      <c r="AI50" s="112">
        <f t="shared" si="37"/>
        <v>0</v>
      </c>
      <c r="AJ50" s="148">
        <f t="shared" si="38"/>
        <v>0</v>
      </c>
      <c r="AK50" s="147">
        <f t="shared" si="39"/>
        <v>0</v>
      </c>
      <c r="AP50" s="25"/>
      <c r="AQ50" s="25"/>
      <c r="AR50" s="25"/>
      <c r="AS50" s="25"/>
      <c r="AT50" s="25"/>
      <c r="AU50" s="25"/>
      <c r="AW50" s="25"/>
      <c r="AX50" s="25"/>
      <c r="AY50" s="25"/>
      <c r="AZ50" s="25"/>
      <c r="BA50" s="25"/>
      <c r="BB50" s="25"/>
      <c r="BF50" s="25"/>
      <c r="BG50" s="25"/>
      <c r="BH50" s="25"/>
      <c r="BI50" s="25"/>
      <c r="BJ50" s="25"/>
      <c r="BK50" s="25"/>
      <c r="BM50" s="25"/>
      <c r="BN50" s="25"/>
      <c r="BO50" s="25"/>
      <c r="BP50" s="25"/>
      <c r="BQ50" s="25"/>
      <c r="BR50" s="25"/>
      <c r="BU50" s="25"/>
      <c r="BV50" s="25"/>
      <c r="BW50" s="25"/>
      <c r="BX50" s="25"/>
      <c r="BY50" s="25"/>
      <c r="BZ50" s="25"/>
      <c r="CB50" s="25"/>
      <c r="CC50" s="25"/>
      <c r="CD50" s="25"/>
      <c r="CE50" s="25"/>
      <c r="CF50" s="25"/>
      <c r="CG50" s="25"/>
    </row>
    <row r="51" spans="1:85" ht="14" customHeight="1">
      <c r="A51" s="86" t="str">
        <f>IF(Poor!A51=0,"",Poor!A51)</f>
        <v>Water melon: no. local meas</v>
      </c>
      <c r="B51" s="216">
        <v>0</v>
      </c>
      <c r="C51" s="216">
        <v>0</v>
      </c>
      <c r="D51" s="38">
        <f t="shared" si="25"/>
        <v>0</v>
      </c>
      <c r="E51" s="75">
        <f>Poor!E51</f>
        <v>1</v>
      </c>
      <c r="F51" s="75">
        <f>Poor!F51</f>
        <v>1.4</v>
      </c>
      <c r="G51" s="75">
        <f>Poor!G51</f>
        <v>1.65</v>
      </c>
      <c r="H51" s="24">
        <f t="shared" si="30"/>
        <v>1.4</v>
      </c>
      <c r="I51" s="39">
        <f t="shared" si="31"/>
        <v>0</v>
      </c>
      <c r="J51" s="38">
        <f t="shared" si="32"/>
        <v>0</v>
      </c>
      <c r="K51" s="40">
        <f t="shared" si="33"/>
        <v>0</v>
      </c>
      <c r="L51" s="22">
        <f t="shared" si="34"/>
        <v>0</v>
      </c>
      <c r="M51" s="24">
        <f t="shared" si="35"/>
        <v>0</v>
      </c>
      <c r="N51" s="2"/>
      <c r="O51" s="2"/>
      <c r="P51" s="2"/>
      <c r="Q51" s="255"/>
      <c r="R51" s="252"/>
      <c r="S51" s="41"/>
      <c r="T51" s="29"/>
      <c r="U51" s="56"/>
      <c r="V51" s="56"/>
      <c r="W51" s="110"/>
      <c r="X51" s="118"/>
      <c r="Y51" s="110"/>
      <c r="Z51" s="156">
        <f>Poor!Z56</f>
        <v>0.25</v>
      </c>
      <c r="AA51" s="147">
        <f t="shared" si="40"/>
        <v>0</v>
      </c>
      <c r="AB51" s="156">
        <f>Poor!AB56</f>
        <v>0.25</v>
      </c>
      <c r="AC51" s="147">
        <f t="shared" si="41"/>
        <v>0</v>
      </c>
      <c r="AD51" s="156">
        <f>Poor!AD56</f>
        <v>0.25</v>
      </c>
      <c r="AE51" s="147">
        <f t="shared" si="42"/>
        <v>0</v>
      </c>
      <c r="AF51" s="122">
        <f t="shared" si="29"/>
        <v>0.25</v>
      </c>
      <c r="AG51" s="147">
        <f t="shared" si="36"/>
        <v>0</v>
      </c>
      <c r="AH51" s="123">
        <f t="shared" si="37"/>
        <v>1</v>
      </c>
      <c r="AI51" s="112">
        <f t="shared" si="37"/>
        <v>0</v>
      </c>
      <c r="AJ51" s="148">
        <f t="shared" si="38"/>
        <v>0</v>
      </c>
      <c r="AK51" s="147">
        <f t="shared" si="39"/>
        <v>0</v>
      </c>
      <c r="AP51" s="25"/>
      <c r="AQ51" s="25"/>
      <c r="AR51" s="25"/>
      <c r="AS51" s="25"/>
      <c r="AT51" s="25"/>
      <c r="AU51" s="25"/>
      <c r="AW51" s="25"/>
      <c r="AX51" s="25"/>
      <c r="AY51" s="25"/>
      <c r="AZ51" s="25"/>
      <c r="BA51" s="25"/>
      <c r="BB51" s="25"/>
      <c r="BF51" s="25"/>
      <c r="BG51" s="25"/>
      <c r="BH51" s="25"/>
      <c r="BI51" s="25"/>
      <c r="BJ51" s="25"/>
      <c r="BK51" s="25"/>
      <c r="BM51" s="25"/>
      <c r="BN51" s="25"/>
      <c r="BO51" s="25"/>
      <c r="BP51" s="25"/>
      <c r="BQ51" s="25"/>
      <c r="BR51" s="25"/>
      <c r="BU51" s="25"/>
      <c r="BV51" s="25"/>
      <c r="BW51" s="25"/>
      <c r="BX51" s="25"/>
      <c r="BY51" s="25"/>
      <c r="BZ51" s="25"/>
      <c r="CB51" s="25"/>
      <c r="CC51" s="25"/>
      <c r="CD51" s="25"/>
      <c r="CE51" s="25"/>
      <c r="CF51" s="25"/>
      <c r="CG51" s="25"/>
    </row>
    <row r="52" spans="1:85" ht="14" customHeight="1">
      <c r="A52" s="86" t="str">
        <f>IF(Poor!A52=0,"",Poor!A52)</f>
        <v>FISHING -- see worksheet Data 3</v>
      </c>
      <c r="B52" s="216">
        <v>0</v>
      </c>
      <c r="C52" s="216">
        <v>0</v>
      </c>
      <c r="D52" s="38">
        <f t="shared" si="25"/>
        <v>0</v>
      </c>
      <c r="E52" s="75">
        <f>Poor!E52</f>
        <v>1</v>
      </c>
      <c r="F52" s="75">
        <f>Poor!F52</f>
        <v>1.18</v>
      </c>
      <c r="G52" s="75">
        <f>Poor!G52</f>
        <v>1.65</v>
      </c>
      <c r="H52" s="24">
        <f t="shared" si="30"/>
        <v>1.18</v>
      </c>
      <c r="I52" s="39">
        <f t="shared" si="31"/>
        <v>0</v>
      </c>
      <c r="J52" s="38">
        <f t="shared" si="32"/>
        <v>0</v>
      </c>
      <c r="K52" s="40">
        <f t="shared" si="33"/>
        <v>0</v>
      </c>
      <c r="L52" s="22">
        <f t="shared" si="34"/>
        <v>0</v>
      </c>
      <c r="M52" s="24">
        <f t="shared" si="35"/>
        <v>0</v>
      </c>
      <c r="N52" s="2"/>
      <c r="O52" s="2"/>
      <c r="P52" s="2"/>
      <c r="Q52" s="41"/>
      <c r="R52" s="242"/>
      <c r="S52" s="56"/>
      <c r="T52" s="56"/>
      <c r="U52" s="56"/>
      <c r="V52" s="56"/>
      <c r="W52" s="110"/>
      <c r="X52" s="118"/>
      <c r="Y52" s="110"/>
      <c r="Z52" s="156">
        <f>Poor!Z57</f>
        <v>0.25</v>
      </c>
      <c r="AA52" s="147">
        <f t="shared" si="40"/>
        <v>0</v>
      </c>
      <c r="AB52" s="156">
        <f>Poor!AB57</f>
        <v>0.25</v>
      </c>
      <c r="AC52" s="147">
        <f t="shared" si="41"/>
        <v>0</v>
      </c>
      <c r="AD52" s="156">
        <f>Poor!AD57</f>
        <v>0.25</v>
      </c>
      <c r="AE52" s="147">
        <f t="shared" si="42"/>
        <v>0</v>
      </c>
      <c r="AF52" s="122">
        <f t="shared" si="29"/>
        <v>0.25</v>
      </c>
      <c r="AG52" s="147">
        <f t="shared" si="36"/>
        <v>0</v>
      </c>
      <c r="AH52" s="123">
        <f t="shared" si="37"/>
        <v>1</v>
      </c>
      <c r="AI52" s="112">
        <f t="shared" si="37"/>
        <v>0</v>
      </c>
      <c r="AJ52" s="148">
        <f t="shared" si="38"/>
        <v>0</v>
      </c>
      <c r="AK52" s="147">
        <f t="shared" si="39"/>
        <v>0</v>
      </c>
      <c r="AP52" s="25"/>
      <c r="AQ52" s="25"/>
      <c r="AR52" s="25"/>
      <c r="AS52" s="25"/>
      <c r="AT52" s="25"/>
      <c r="AU52" s="25"/>
      <c r="AW52" s="25"/>
      <c r="AX52" s="25"/>
      <c r="AY52" s="25"/>
      <c r="AZ52" s="25"/>
      <c r="BA52" s="25"/>
      <c r="BB52" s="25"/>
      <c r="BF52" s="25"/>
      <c r="BG52" s="25"/>
      <c r="BH52" s="25"/>
      <c r="BI52" s="25"/>
      <c r="BJ52" s="25"/>
      <c r="BK52" s="25"/>
      <c r="BM52" s="25"/>
      <c r="BN52" s="25"/>
      <c r="BO52" s="25"/>
      <c r="BP52" s="25"/>
      <c r="BQ52" s="25"/>
      <c r="BR52" s="25"/>
      <c r="BU52" s="25"/>
      <c r="BV52" s="25"/>
      <c r="BW52" s="25"/>
      <c r="BX52" s="25"/>
      <c r="BY52" s="25"/>
      <c r="BZ52" s="25"/>
      <c r="CB52" s="25"/>
      <c r="CC52" s="25"/>
      <c r="CD52" s="25"/>
      <c r="CE52" s="25"/>
      <c r="CF52" s="25"/>
      <c r="CG52" s="25"/>
    </row>
    <row r="53" spans="1:85" ht="14" customHeight="1">
      <c r="A53" s="86" t="str">
        <f>IF(Poor!A53=0,"",Poor!A53)</f>
        <v>WILD FOODS -- see worksheet Data 3</v>
      </c>
      <c r="B53" s="216">
        <v>446.66666666666669</v>
      </c>
      <c r="C53" s="216">
        <v>278.33333333333331</v>
      </c>
      <c r="D53" s="38">
        <f t="shared" si="25"/>
        <v>725</v>
      </c>
      <c r="E53" s="75">
        <f>Poor!E53</f>
        <v>1</v>
      </c>
      <c r="F53" s="75">
        <f>Poor!F53</f>
        <v>1.18</v>
      </c>
      <c r="G53" s="75">
        <f>Poor!G53</f>
        <v>1.65</v>
      </c>
      <c r="H53" s="24">
        <f t="shared" si="30"/>
        <v>1.18</v>
      </c>
      <c r="I53" s="39">
        <f t="shared" si="31"/>
        <v>855.5</v>
      </c>
      <c r="J53" s="38">
        <f t="shared" si="32"/>
        <v>855.49999999999989</v>
      </c>
      <c r="K53" s="40">
        <f t="shared" si="33"/>
        <v>1.3917739925218114E-2</v>
      </c>
      <c r="L53" s="22">
        <f t="shared" si="34"/>
        <v>1.6422933111757375E-2</v>
      </c>
      <c r="M53" s="24">
        <f t="shared" si="35"/>
        <v>2.665662650602409E-2</v>
      </c>
      <c r="N53" s="2"/>
      <c r="O53" s="2"/>
      <c r="P53" s="2"/>
      <c r="Q53" s="41"/>
      <c r="R53" s="56"/>
      <c r="S53" s="56"/>
      <c r="T53" s="56"/>
      <c r="U53" s="56"/>
      <c r="V53" s="56"/>
      <c r="W53" s="110"/>
      <c r="X53" s="118"/>
      <c r="Y53" s="110"/>
      <c r="Z53" s="156"/>
      <c r="AA53" s="147"/>
      <c r="AB53" s="156"/>
      <c r="AC53" s="147"/>
      <c r="AD53" s="156"/>
      <c r="AE53" s="147"/>
      <c r="AF53" s="122"/>
      <c r="AG53" s="147"/>
      <c r="AH53" s="123"/>
      <c r="AI53" s="112"/>
      <c r="AJ53" s="148"/>
      <c r="AK53" s="147"/>
      <c r="AP53" s="25"/>
      <c r="AQ53" s="25"/>
      <c r="AR53" s="25"/>
      <c r="AS53" s="25"/>
      <c r="AT53" s="25"/>
      <c r="AU53" s="25"/>
      <c r="AW53" s="25"/>
      <c r="AX53" s="25"/>
      <c r="AY53" s="25"/>
      <c r="AZ53" s="25"/>
      <c r="BA53" s="25"/>
      <c r="BB53" s="25"/>
      <c r="BF53" s="25"/>
      <c r="BG53" s="25"/>
      <c r="BH53" s="25"/>
      <c r="BI53" s="25"/>
      <c r="BJ53" s="25"/>
      <c r="BK53" s="25"/>
      <c r="BM53" s="25"/>
      <c r="BN53" s="25"/>
      <c r="BO53" s="25"/>
      <c r="BP53" s="25"/>
      <c r="BQ53" s="25"/>
      <c r="BR53" s="25"/>
      <c r="BU53" s="25"/>
      <c r="BV53" s="25"/>
      <c r="BW53" s="25"/>
      <c r="BX53" s="25"/>
      <c r="BY53" s="25"/>
      <c r="BZ53" s="25"/>
      <c r="CB53" s="25"/>
      <c r="CC53" s="25"/>
      <c r="CD53" s="25"/>
      <c r="CE53" s="25"/>
      <c r="CF53" s="25"/>
      <c r="CG53" s="25"/>
    </row>
    <row r="54" spans="1:85" ht="14" customHeight="1">
      <c r="A54" s="86" t="str">
        <f>IF(Poor!A54=0,"",Poor!A54)</f>
        <v>Agricultural casual work -- see Data2</v>
      </c>
      <c r="B54" s="216">
        <v>533.33333333333337</v>
      </c>
      <c r="C54" s="216">
        <v>0</v>
      </c>
      <c r="D54" s="38">
        <f t="shared" si="25"/>
        <v>533.33333333333337</v>
      </c>
      <c r="E54" s="75">
        <f>Poor!E54</f>
        <v>1</v>
      </c>
      <c r="F54" s="75">
        <f>Poor!F54</f>
        <v>1.1100000000000001</v>
      </c>
      <c r="G54" s="75">
        <f>Poor!G54</f>
        <v>1.65</v>
      </c>
      <c r="H54" s="24">
        <f t="shared" si="30"/>
        <v>1.1100000000000001</v>
      </c>
      <c r="I54" s="39">
        <f t="shared" si="31"/>
        <v>592.00000000000011</v>
      </c>
      <c r="J54" s="38">
        <f t="shared" si="32"/>
        <v>592.00000000000011</v>
      </c>
      <c r="K54" s="40">
        <f t="shared" si="33"/>
        <v>1.6618196925633568E-2</v>
      </c>
      <c r="L54" s="22">
        <f t="shared" si="34"/>
        <v>1.8446198587453264E-2</v>
      </c>
      <c r="M54" s="24">
        <f t="shared" si="35"/>
        <v>1.8446198587453264E-2</v>
      </c>
      <c r="N54" s="2"/>
      <c r="O54" s="2"/>
      <c r="P54" s="2"/>
      <c r="Q54" s="56"/>
      <c r="R54" s="56"/>
      <c r="S54" s="56"/>
      <c r="T54" s="56"/>
      <c r="U54" s="56"/>
      <c r="V54" s="56"/>
      <c r="W54" s="110"/>
      <c r="X54" s="118"/>
      <c r="Y54" s="110"/>
      <c r="Z54" s="156"/>
      <c r="AA54" s="147"/>
      <c r="AB54" s="156"/>
      <c r="AC54" s="147"/>
      <c r="AD54" s="156"/>
      <c r="AE54" s="147"/>
      <c r="AF54" s="122"/>
      <c r="AG54" s="147"/>
      <c r="AH54" s="123"/>
      <c r="AI54" s="112"/>
      <c r="AJ54" s="148"/>
      <c r="AK54" s="147"/>
      <c r="AP54" s="25"/>
      <c r="AQ54" s="25"/>
      <c r="AR54" s="25"/>
      <c r="AS54" s="25"/>
      <c r="AT54" s="25"/>
      <c r="AU54" s="25"/>
      <c r="AW54" s="25"/>
      <c r="AX54" s="25"/>
      <c r="AY54" s="25"/>
      <c r="AZ54" s="25"/>
      <c r="BA54" s="25"/>
      <c r="BB54" s="25"/>
      <c r="BF54" s="25"/>
      <c r="BG54" s="25"/>
      <c r="BH54" s="25"/>
      <c r="BI54" s="25"/>
      <c r="BJ54" s="25"/>
      <c r="BK54" s="25"/>
      <c r="BM54" s="25"/>
      <c r="BN54" s="25"/>
      <c r="BO54" s="25"/>
      <c r="BP54" s="25"/>
      <c r="BQ54" s="25"/>
      <c r="BR54" s="25"/>
      <c r="BU54" s="25"/>
      <c r="BV54" s="25"/>
      <c r="BW54" s="25"/>
      <c r="BX54" s="25"/>
      <c r="BY54" s="25"/>
      <c r="BZ54" s="25"/>
      <c r="CB54" s="25"/>
      <c r="CC54" s="25"/>
      <c r="CD54" s="25"/>
      <c r="CE54" s="25"/>
      <c r="CF54" s="25"/>
      <c r="CG54" s="25"/>
    </row>
    <row r="55" spans="1:85" ht="14" customHeight="1">
      <c r="A55" s="86" t="str">
        <f>IF(Poor!A55=0,"",Poor!A55)</f>
        <v>Construction casual work -- see Data2</v>
      </c>
      <c r="B55" s="216">
        <v>773.33333333333337</v>
      </c>
      <c r="C55" s="216">
        <v>0</v>
      </c>
      <c r="D55" s="38">
        <f t="shared" si="25"/>
        <v>773.33333333333337</v>
      </c>
      <c r="E55" s="75">
        <f>Poor!E55</f>
        <v>1</v>
      </c>
      <c r="F55" s="75">
        <f>Poor!F55</f>
        <v>1.1100000000000001</v>
      </c>
      <c r="G55" s="75">
        <f>Poor!G55</f>
        <v>1.65</v>
      </c>
      <c r="H55" s="24">
        <f t="shared" si="30"/>
        <v>1.1100000000000001</v>
      </c>
      <c r="I55" s="39">
        <f t="shared" si="31"/>
        <v>858.40000000000009</v>
      </c>
      <c r="J55" s="38">
        <f t="shared" si="32"/>
        <v>858.4000000000002</v>
      </c>
      <c r="K55" s="40">
        <f t="shared" si="33"/>
        <v>2.4096385542168672E-2</v>
      </c>
      <c r="L55" s="22">
        <f t="shared" si="34"/>
        <v>2.674698795180723E-2</v>
      </c>
      <c r="M55" s="24">
        <f t="shared" si="35"/>
        <v>2.6746987951807234E-2</v>
      </c>
      <c r="N55" s="2"/>
      <c r="O55" s="2"/>
      <c r="P55" s="2"/>
      <c r="Q55" s="56"/>
      <c r="R55" s="41"/>
      <c r="S55" s="56"/>
      <c r="T55" s="56"/>
      <c r="U55" s="56"/>
      <c r="V55" s="56"/>
      <c r="W55" s="110"/>
      <c r="X55" s="118"/>
      <c r="Y55" s="110"/>
      <c r="Z55" s="156"/>
      <c r="AA55" s="147"/>
      <c r="AB55" s="156"/>
      <c r="AC55" s="147"/>
      <c r="AD55" s="156"/>
      <c r="AE55" s="147"/>
      <c r="AF55" s="122"/>
      <c r="AG55" s="147"/>
      <c r="AH55" s="123"/>
      <c r="AI55" s="112"/>
      <c r="AJ55" s="148"/>
      <c r="AK55" s="147"/>
      <c r="AP55" s="25"/>
      <c r="AQ55" s="25"/>
      <c r="AR55" s="25"/>
      <c r="AS55" s="25"/>
      <c r="AT55" s="25"/>
      <c r="AU55" s="25"/>
      <c r="AW55" s="25"/>
      <c r="AX55" s="25"/>
      <c r="AY55" s="25"/>
      <c r="AZ55" s="25"/>
      <c r="BA55" s="25"/>
      <c r="BB55" s="25"/>
      <c r="BF55" s="25"/>
      <c r="BG55" s="25"/>
      <c r="BH55" s="25"/>
      <c r="BI55" s="25"/>
      <c r="BJ55" s="25"/>
      <c r="BK55" s="25"/>
      <c r="BM55" s="25"/>
      <c r="BN55" s="25"/>
      <c r="BO55" s="25"/>
      <c r="BP55" s="25"/>
      <c r="BQ55" s="25"/>
      <c r="BR55" s="25"/>
      <c r="BU55" s="25"/>
      <c r="BV55" s="25"/>
      <c r="BW55" s="25"/>
      <c r="BX55" s="25"/>
      <c r="BY55" s="25"/>
      <c r="BZ55" s="25"/>
      <c r="CB55" s="25"/>
      <c r="CC55" s="25"/>
      <c r="CD55" s="25"/>
      <c r="CE55" s="25"/>
      <c r="CF55" s="25"/>
      <c r="CG55" s="25"/>
    </row>
    <row r="56" spans="1:85" ht="14" customHeight="1">
      <c r="A56" s="86" t="str">
        <f>IF(Poor!A56=0,"",Poor!A56)</f>
        <v>Domestic casual work -- see Data2</v>
      </c>
      <c r="B56" s="216">
        <v>3600</v>
      </c>
      <c r="C56" s="216">
        <v>0</v>
      </c>
      <c r="D56" s="38">
        <f t="shared" si="25"/>
        <v>3600</v>
      </c>
      <c r="E56" s="75">
        <f>Poor!E56</f>
        <v>1</v>
      </c>
      <c r="F56" s="75">
        <f>Poor!F56</f>
        <v>1.1100000000000001</v>
      </c>
      <c r="G56" s="75">
        <f>Poor!G56</f>
        <v>1.65</v>
      </c>
      <c r="H56" s="24">
        <f t="shared" si="30"/>
        <v>1.1100000000000001</v>
      </c>
      <c r="I56" s="39">
        <f t="shared" si="31"/>
        <v>3996.0000000000005</v>
      </c>
      <c r="J56" s="38">
        <f t="shared" si="32"/>
        <v>3996.0000000000005</v>
      </c>
      <c r="K56" s="40">
        <f t="shared" si="33"/>
        <v>0.11217282924802659</v>
      </c>
      <c r="L56" s="22">
        <f t="shared" si="34"/>
        <v>0.12451184046530953</v>
      </c>
      <c r="M56" s="24">
        <f t="shared" si="35"/>
        <v>0.12451184046530951</v>
      </c>
      <c r="N56" s="2"/>
      <c r="O56" s="2"/>
      <c r="P56" s="2"/>
      <c r="Q56" s="56"/>
      <c r="R56" s="56"/>
      <c r="S56" s="56"/>
      <c r="T56" s="56"/>
      <c r="U56" s="56"/>
      <c r="V56" s="56"/>
      <c r="W56" s="110"/>
      <c r="X56" s="118"/>
      <c r="Y56" s="110"/>
      <c r="Z56" s="156"/>
      <c r="AA56" s="147"/>
      <c r="AB56" s="156"/>
      <c r="AC56" s="147"/>
      <c r="AD56" s="156"/>
      <c r="AE56" s="147"/>
      <c r="AF56" s="122"/>
      <c r="AG56" s="147"/>
      <c r="AH56" s="123"/>
      <c r="AI56" s="112"/>
      <c r="AJ56" s="148"/>
      <c r="AK56" s="147"/>
      <c r="AP56" s="25"/>
      <c r="AQ56" s="25"/>
      <c r="AR56" s="25"/>
      <c r="AS56" s="25"/>
      <c r="AT56" s="25"/>
      <c r="AU56" s="25"/>
      <c r="AW56" s="25"/>
      <c r="AX56" s="25"/>
      <c r="AY56" s="25"/>
      <c r="AZ56" s="25"/>
      <c r="BA56" s="25"/>
      <c r="BB56" s="25"/>
      <c r="BF56" s="25"/>
      <c r="BG56" s="25"/>
      <c r="BH56" s="25"/>
      <c r="BI56" s="25"/>
      <c r="BJ56" s="25"/>
      <c r="BK56" s="25"/>
      <c r="BM56" s="25"/>
      <c r="BN56" s="25"/>
      <c r="BO56" s="25"/>
      <c r="BP56" s="25"/>
      <c r="BQ56" s="25"/>
      <c r="BR56" s="25"/>
      <c r="BU56" s="25"/>
      <c r="BV56" s="25"/>
      <c r="BW56" s="25"/>
      <c r="BX56" s="25"/>
      <c r="BY56" s="25"/>
      <c r="BZ56" s="25"/>
      <c r="CB56" s="25"/>
      <c r="CC56" s="25"/>
      <c r="CD56" s="25"/>
      <c r="CE56" s="25"/>
      <c r="CF56" s="25"/>
      <c r="CG56" s="25"/>
    </row>
    <row r="57" spans="1:85" ht="14" customHeight="1">
      <c r="A57" s="86" t="str">
        <f>IF(Poor!A57=0,"",Poor!A57)</f>
        <v>Labour migration(formal employment): no. people per HH</v>
      </c>
      <c r="B57" s="216">
        <v>0</v>
      </c>
      <c r="C57" s="216">
        <v>0</v>
      </c>
      <c r="D57" s="38">
        <f t="shared" si="25"/>
        <v>0</v>
      </c>
      <c r="E57" s="75">
        <f>Poor!E57</f>
        <v>0.8</v>
      </c>
      <c r="F57" s="75">
        <f>Poor!F57</f>
        <v>1.18</v>
      </c>
      <c r="G57" s="75">
        <f>Poor!G57</f>
        <v>1.65</v>
      </c>
      <c r="H57" s="24">
        <f t="shared" si="30"/>
        <v>0.94399999999999995</v>
      </c>
      <c r="I57" s="39">
        <f t="shared" si="31"/>
        <v>0</v>
      </c>
      <c r="J57" s="38">
        <f t="shared" si="32"/>
        <v>0</v>
      </c>
      <c r="K57" s="40">
        <f t="shared" si="33"/>
        <v>0</v>
      </c>
      <c r="L57" s="22">
        <f t="shared" si="34"/>
        <v>0</v>
      </c>
      <c r="M57" s="24">
        <f t="shared" si="35"/>
        <v>0</v>
      </c>
      <c r="N57" s="2"/>
      <c r="O57" s="2"/>
      <c r="P57" s="2"/>
      <c r="Q57" s="2"/>
      <c r="R57" s="218"/>
      <c r="S57" s="68"/>
      <c r="T57" s="2"/>
      <c r="U57" s="56"/>
      <c r="V57" s="56"/>
      <c r="W57" s="110"/>
      <c r="X57" s="118"/>
      <c r="Y57" s="110"/>
      <c r="Z57" s="156"/>
      <c r="AA57" s="147"/>
      <c r="AB57" s="156"/>
      <c r="AC57" s="147"/>
      <c r="AD57" s="156"/>
      <c r="AE57" s="147"/>
      <c r="AF57" s="122"/>
      <c r="AG57" s="147"/>
      <c r="AH57" s="123"/>
      <c r="AI57" s="112"/>
      <c r="AJ57" s="148"/>
      <c r="AK57" s="147"/>
      <c r="AP57" s="25"/>
      <c r="AQ57" s="25"/>
      <c r="AR57" s="25"/>
      <c r="AS57" s="25"/>
      <c r="AT57" s="25"/>
      <c r="AU57" s="25"/>
      <c r="AW57" s="25"/>
      <c r="AX57" s="25"/>
      <c r="AY57" s="25"/>
      <c r="AZ57" s="25"/>
      <c r="BA57" s="25"/>
      <c r="BB57" s="25"/>
      <c r="BF57" s="25"/>
      <c r="BG57" s="25"/>
      <c r="BH57" s="25"/>
      <c r="BI57" s="25"/>
      <c r="BJ57" s="25"/>
      <c r="BK57" s="25"/>
      <c r="BM57" s="25"/>
      <c r="BN57" s="25"/>
      <c r="BO57" s="25"/>
      <c r="BP57" s="25"/>
      <c r="BQ57" s="25"/>
      <c r="BR57" s="25"/>
      <c r="BU57" s="25"/>
      <c r="BV57" s="25"/>
      <c r="BW57" s="25"/>
      <c r="BX57" s="25"/>
      <c r="BY57" s="25"/>
      <c r="BZ57" s="25"/>
      <c r="CB57" s="25"/>
      <c r="CC57" s="25"/>
      <c r="CD57" s="25"/>
      <c r="CE57" s="25"/>
      <c r="CF57" s="25"/>
      <c r="CG57" s="25"/>
    </row>
    <row r="58" spans="1:85" ht="14" customHeight="1">
      <c r="A58" s="86" t="str">
        <f>IF(Poor!A58=0,"",Poor!A58)</f>
        <v>Formal Employment (e.g. teachers, salaried staff, etc.)</v>
      </c>
      <c r="B58" s="216">
        <v>0</v>
      </c>
      <c r="C58" s="216">
        <v>0</v>
      </c>
      <c r="D58" s="38">
        <f t="shared" si="25"/>
        <v>0</v>
      </c>
      <c r="E58" s="75">
        <f>Poor!E58</f>
        <v>0.8</v>
      </c>
      <c r="F58" s="75">
        <f>Poor!F58</f>
        <v>1.18</v>
      </c>
      <c r="G58" s="75">
        <f>Poor!G58</f>
        <v>1.65</v>
      </c>
      <c r="H58" s="24">
        <f t="shared" si="30"/>
        <v>0.94399999999999995</v>
      </c>
      <c r="I58" s="39">
        <f t="shared" si="31"/>
        <v>0</v>
      </c>
      <c r="J58" s="38">
        <f t="shared" si="32"/>
        <v>0</v>
      </c>
      <c r="K58" s="40">
        <f t="shared" si="33"/>
        <v>0</v>
      </c>
      <c r="L58" s="22">
        <f t="shared" si="34"/>
        <v>0</v>
      </c>
      <c r="M58" s="24">
        <f t="shared" si="35"/>
        <v>0</v>
      </c>
      <c r="N58" s="2"/>
      <c r="O58" s="2"/>
      <c r="P58" s="2"/>
      <c r="Q58" s="2"/>
      <c r="R58" s="218"/>
      <c r="S58" s="68"/>
      <c r="T58" s="2"/>
      <c r="U58" s="56"/>
      <c r="V58" s="56"/>
      <c r="W58" s="110"/>
      <c r="X58" s="118"/>
      <c r="Y58" s="110"/>
      <c r="Z58" s="156">
        <f>Poor!Z58</f>
        <v>0.25</v>
      </c>
      <c r="AA58" s="147">
        <f t="shared" si="40"/>
        <v>0</v>
      </c>
      <c r="AB58" s="156">
        <f>Poor!AB58</f>
        <v>0.25</v>
      </c>
      <c r="AC58" s="147">
        <f t="shared" si="41"/>
        <v>0</v>
      </c>
      <c r="AD58" s="156">
        <f>Poor!AD58</f>
        <v>0.25</v>
      </c>
      <c r="AE58" s="147">
        <f t="shared" si="42"/>
        <v>0</v>
      </c>
      <c r="AF58" s="122">
        <f t="shared" si="29"/>
        <v>0.25</v>
      </c>
      <c r="AG58" s="147">
        <f t="shared" si="36"/>
        <v>0</v>
      </c>
      <c r="AH58" s="123">
        <f t="shared" si="37"/>
        <v>1</v>
      </c>
      <c r="AI58" s="112">
        <f t="shared" si="37"/>
        <v>0</v>
      </c>
      <c r="AJ58" s="148">
        <f t="shared" si="38"/>
        <v>0</v>
      </c>
      <c r="AK58" s="147">
        <f t="shared" si="39"/>
        <v>0</v>
      </c>
      <c r="AP58" s="25"/>
      <c r="AQ58" s="25"/>
      <c r="AR58" s="25"/>
      <c r="AS58" s="25"/>
      <c r="AT58" s="25"/>
      <c r="AU58" s="25"/>
      <c r="AW58" s="25"/>
      <c r="AX58" s="25"/>
      <c r="AY58" s="25"/>
      <c r="AZ58" s="25"/>
      <c r="BA58" s="25"/>
      <c r="BB58" s="25"/>
      <c r="BF58" s="25"/>
      <c r="BG58" s="25"/>
      <c r="BH58" s="25"/>
      <c r="BI58" s="25"/>
      <c r="BJ58" s="25"/>
      <c r="BK58" s="25"/>
      <c r="BM58" s="25"/>
      <c r="BN58" s="25"/>
      <c r="BO58" s="25"/>
      <c r="BP58" s="25"/>
      <c r="BQ58" s="25"/>
      <c r="BR58" s="25"/>
      <c r="BU58" s="25"/>
      <c r="BV58" s="25"/>
      <c r="BW58" s="25"/>
      <c r="BX58" s="25"/>
      <c r="BY58" s="25"/>
      <c r="BZ58" s="25"/>
      <c r="CB58" s="25"/>
      <c r="CC58" s="25"/>
      <c r="CD58" s="25"/>
      <c r="CE58" s="25"/>
      <c r="CF58" s="25"/>
      <c r="CG58" s="25"/>
    </row>
    <row r="59" spans="1:85" ht="14" customHeight="1">
      <c r="A59" s="86" t="str">
        <f>IF(Poor!A59=0,"",Poor!A59)</f>
        <v>Self-employment -- see Data2</v>
      </c>
      <c r="B59" s="216">
        <v>764</v>
      </c>
      <c r="C59" s="216">
        <v>152.80000000000004</v>
      </c>
      <c r="D59" s="38">
        <f t="shared" si="25"/>
        <v>916.80000000000007</v>
      </c>
      <c r="E59" s="75">
        <f>Poor!E59</f>
        <v>0.8</v>
      </c>
      <c r="F59" s="75">
        <f>Poor!F59</f>
        <v>1</v>
      </c>
      <c r="G59" s="75">
        <f>Poor!G59</f>
        <v>1.65</v>
      </c>
      <c r="H59" s="24">
        <f t="shared" si="30"/>
        <v>0.8</v>
      </c>
      <c r="I59" s="39">
        <f t="shared" si="31"/>
        <v>733.44</v>
      </c>
      <c r="J59" s="38">
        <f t="shared" si="32"/>
        <v>733.43999999999994</v>
      </c>
      <c r="K59" s="40">
        <f t="shared" si="33"/>
        <v>2.3805567095970086E-2</v>
      </c>
      <c r="L59" s="22">
        <f t="shared" si="34"/>
        <v>1.9044453676776069E-2</v>
      </c>
      <c r="M59" s="24">
        <f t="shared" si="35"/>
        <v>2.2853344412131282E-2</v>
      </c>
      <c r="N59" s="2"/>
      <c r="O59" s="2"/>
      <c r="P59" s="2"/>
      <c r="Q59" s="2"/>
      <c r="R59" s="218"/>
      <c r="S59" s="2"/>
      <c r="T59" s="2"/>
      <c r="U59" s="56"/>
      <c r="V59" s="56"/>
      <c r="W59" s="110"/>
      <c r="X59" s="118"/>
      <c r="Y59" s="110"/>
      <c r="Z59" s="156">
        <f>Poor!Z59</f>
        <v>0.25</v>
      </c>
      <c r="AA59" s="147">
        <f t="shared" si="40"/>
        <v>183.35999999999999</v>
      </c>
      <c r="AB59" s="156">
        <f>Poor!AB59</f>
        <v>0.25</v>
      </c>
      <c r="AC59" s="147">
        <f t="shared" si="41"/>
        <v>183.35999999999999</v>
      </c>
      <c r="AD59" s="156">
        <f>Poor!AD59</f>
        <v>0.25</v>
      </c>
      <c r="AE59" s="147">
        <f t="shared" si="42"/>
        <v>183.35999999999999</v>
      </c>
      <c r="AF59" s="122">
        <f t="shared" si="29"/>
        <v>0.25</v>
      </c>
      <c r="AG59" s="147">
        <f t="shared" si="36"/>
        <v>183.35999999999999</v>
      </c>
      <c r="AH59" s="123">
        <f t="shared" ref="AH59:AI64" si="43">SUM(Z59,AB59,AD59,AF59)</f>
        <v>1</v>
      </c>
      <c r="AI59" s="112">
        <f t="shared" si="43"/>
        <v>733.43999999999994</v>
      </c>
      <c r="AJ59" s="148">
        <f t="shared" si="38"/>
        <v>366.71999999999997</v>
      </c>
      <c r="AK59" s="147">
        <f t="shared" si="39"/>
        <v>366.71999999999997</v>
      </c>
      <c r="AP59" s="25"/>
      <c r="AQ59" s="25"/>
      <c r="AR59" s="25"/>
      <c r="AS59" s="25"/>
      <c r="AT59" s="25"/>
      <c r="AU59" s="25"/>
      <c r="AW59" s="25"/>
      <c r="AX59" s="25"/>
      <c r="AY59" s="25"/>
      <c r="AZ59" s="25"/>
      <c r="BA59" s="25"/>
      <c r="BB59" s="25"/>
      <c r="BF59" s="25"/>
      <c r="BG59" s="25"/>
      <c r="BH59" s="25"/>
      <c r="BI59" s="25"/>
      <c r="BJ59" s="25"/>
      <c r="BK59" s="25"/>
      <c r="BM59" s="25"/>
      <c r="BN59" s="25"/>
      <c r="BO59" s="25"/>
      <c r="BP59" s="25"/>
      <c r="BQ59" s="25"/>
      <c r="BR59" s="25"/>
      <c r="BU59" s="25"/>
      <c r="BV59" s="25"/>
      <c r="BW59" s="25"/>
      <c r="BX59" s="25"/>
      <c r="BY59" s="25"/>
      <c r="BZ59" s="25"/>
      <c r="CB59" s="25"/>
      <c r="CC59" s="25"/>
      <c r="CD59" s="25"/>
      <c r="CE59" s="25"/>
      <c r="CF59" s="25"/>
      <c r="CG59" s="25"/>
    </row>
    <row r="60" spans="1:85" ht="14" customHeight="1">
      <c r="A60" s="86" t="str">
        <f>IF(Poor!A60=0,"",Poor!A60)</f>
        <v>Small business -- see Data2</v>
      </c>
      <c r="B60" s="216">
        <v>0</v>
      </c>
      <c r="C60" s="216">
        <v>0</v>
      </c>
      <c r="D60" s="38">
        <f t="shared" si="25"/>
        <v>0</v>
      </c>
      <c r="E60" s="75">
        <f>Poor!E60</f>
        <v>0.8</v>
      </c>
      <c r="F60" s="75">
        <f>Poor!F60</f>
        <v>1.18</v>
      </c>
      <c r="G60" s="75">
        <f>Poor!G60</f>
        <v>1.65</v>
      </c>
      <c r="H60" s="24">
        <f t="shared" si="30"/>
        <v>0.94399999999999995</v>
      </c>
      <c r="I60" s="39">
        <f t="shared" si="31"/>
        <v>0</v>
      </c>
      <c r="J60" s="38">
        <f t="shared" si="32"/>
        <v>0</v>
      </c>
      <c r="K60" s="40">
        <f t="shared" si="33"/>
        <v>0</v>
      </c>
      <c r="L60" s="22">
        <f t="shared" si="34"/>
        <v>0</v>
      </c>
      <c r="M60" s="24">
        <f t="shared" si="35"/>
        <v>0</v>
      </c>
      <c r="N60" s="2"/>
      <c r="O60" s="2"/>
      <c r="P60" s="2"/>
      <c r="Q60" s="2"/>
      <c r="R60" s="22"/>
      <c r="S60" s="2"/>
      <c r="T60" s="2"/>
      <c r="U60" s="56"/>
      <c r="V60" s="56"/>
      <c r="W60" s="110"/>
      <c r="X60" s="118"/>
      <c r="Y60" s="110"/>
      <c r="Z60" s="156">
        <f>Poor!Z60</f>
        <v>0.25</v>
      </c>
      <c r="AA60" s="147">
        <f t="shared" si="40"/>
        <v>0</v>
      </c>
      <c r="AB60" s="156">
        <f>Poor!AB60</f>
        <v>0.25</v>
      </c>
      <c r="AC60" s="147">
        <f t="shared" si="41"/>
        <v>0</v>
      </c>
      <c r="AD60" s="156">
        <f>Poor!AD60</f>
        <v>0.25</v>
      </c>
      <c r="AE60" s="147">
        <f t="shared" si="42"/>
        <v>0</v>
      </c>
      <c r="AF60" s="122">
        <f t="shared" si="29"/>
        <v>0.25</v>
      </c>
      <c r="AG60" s="147">
        <f t="shared" si="36"/>
        <v>0</v>
      </c>
      <c r="AH60" s="123">
        <f t="shared" si="43"/>
        <v>1</v>
      </c>
      <c r="AI60" s="112">
        <f t="shared" si="43"/>
        <v>0</v>
      </c>
      <c r="AJ60" s="148">
        <f t="shared" si="38"/>
        <v>0</v>
      </c>
      <c r="AK60" s="147">
        <f t="shared" si="39"/>
        <v>0</v>
      </c>
      <c r="AP60" s="25"/>
      <c r="AQ60" s="25"/>
      <c r="AR60" s="25"/>
      <c r="AS60" s="25"/>
      <c r="AT60" s="25"/>
      <c r="AU60" s="25"/>
      <c r="AW60" s="25"/>
      <c r="AX60" s="25"/>
      <c r="AY60" s="25"/>
      <c r="AZ60" s="25"/>
      <c r="BA60" s="25"/>
      <c r="BB60" s="25"/>
      <c r="BF60" s="25"/>
      <c r="BG60" s="25"/>
      <c r="BH60" s="25"/>
      <c r="BI60" s="25"/>
      <c r="BJ60" s="25"/>
      <c r="BK60" s="25"/>
      <c r="BM60" s="25"/>
      <c r="BN60" s="25"/>
      <c r="BO60" s="25"/>
      <c r="BP60" s="25"/>
      <c r="BQ60" s="25"/>
      <c r="BR60" s="25"/>
      <c r="BU60" s="25"/>
      <c r="BV60" s="25"/>
      <c r="BW60" s="25"/>
      <c r="BX60" s="25"/>
      <c r="BY60" s="25"/>
      <c r="BZ60" s="25"/>
      <c r="CB60" s="25"/>
      <c r="CC60" s="25"/>
      <c r="CD60" s="25"/>
      <c r="CE60" s="25"/>
      <c r="CF60" s="25"/>
      <c r="CG60" s="25"/>
    </row>
    <row r="61" spans="1:85" ht="14" customHeight="1">
      <c r="A61" s="86" t="str">
        <f>IF(Poor!A61=0,"",Poor!A61)</f>
        <v>Social development -- see Data2</v>
      </c>
      <c r="B61" s="216">
        <v>21720</v>
      </c>
      <c r="C61" s="216">
        <v>0</v>
      </c>
      <c r="D61" s="38">
        <f t="shared" si="25"/>
        <v>21720</v>
      </c>
      <c r="E61" s="75">
        <f>Poor!E61</f>
        <v>0</v>
      </c>
      <c r="F61" s="75">
        <f>Poor!F61</f>
        <v>1.18</v>
      </c>
      <c r="G61" s="75">
        <f>Poor!G61</f>
        <v>1.65</v>
      </c>
      <c r="H61" s="24">
        <f t="shared" si="30"/>
        <v>0</v>
      </c>
      <c r="I61" s="39">
        <f t="shared" si="31"/>
        <v>0</v>
      </c>
      <c r="J61" s="38">
        <f t="shared" si="32"/>
        <v>0</v>
      </c>
      <c r="K61" s="40">
        <f t="shared" si="33"/>
        <v>0.67677606979642702</v>
      </c>
      <c r="L61" s="22">
        <f t="shared" si="34"/>
        <v>0</v>
      </c>
      <c r="M61" s="24">
        <f t="shared" si="35"/>
        <v>0</v>
      </c>
      <c r="N61" s="2"/>
      <c r="O61" s="2"/>
      <c r="P61" s="2"/>
      <c r="Q61" s="2"/>
      <c r="R61" s="176"/>
      <c r="S61" s="68"/>
      <c r="T61" s="2"/>
      <c r="U61" s="56"/>
      <c r="V61" s="56"/>
      <c r="W61" s="110"/>
      <c r="X61" s="118"/>
      <c r="Y61" s="110"/>
      <c r="Z61" s="156">
        <f>Poor!Z61</f>
        <v>0.25</v>
      </c>
      <c r="AA61" s="147">
        <f t="shared" si="40"/>
        <v>0</v>
      </c>
      <c r="AB61" s="156">
        <f>Poor!AB61</f>
        <v>0.25</v>
      </c>
      <c r="AC61" s="147">
        <f t="shared" si="41"/>
        <v>0</v>
      </c>
      <c r="AD61" s="156">
        <f>Poor!AD61</f>
        <v>0.25</v>
      </c>
      <c r="AE61" s="147">
        <f t="shared" si="42"/>
        <v>0</v>
      </c>
      <c r="AF61" s="122">
        <f t="shared" si="29"/>
        <v>0.25</v>
      </c>
      <c r="AG61" s="147">
        <f t="shared" si="36"/>
        <v>0</v>
      </c>
      <c r="AH61" s="123">
        <f t="shared" si="43"/>
        <v>1</v>
      </c>
      <c r="AI61" s="112">
        <f t="shared" si="43"/>
        <v>0</v>
      </c>
      <c r="AJ61" s="148">
        <f t="shared" si="38"/>
        <v>0</v>
      </c>
      <c r="AK61" s="147">
        <f t="shared" si="39"/>
        <v>0</v>
      </c>
      <c r="AP61" s="25"/>
      <c r="AQ61" s="25"/>
      <c r="AR61" s="25"/>
      <c r="AS61" s="25"/>
      <c r="AT61" s="25"/>
      <c r="AU61" s="25"/>
      <c r="AW61" s="25"/>
      <c r="AX61" s="25"/>
      <c r="AY61" s="25"/>
      <c r="AZ61" s="25"/>
      <c r="BA61" s="25"/>
      <c r="BB61" s="25"/>
      <c r="BF61" s="25"/>
      <c r="BG61" s="25"/>
      <c r="BH61" s="25"/>
      <c r="BI61" s="25"/>
      <c r="BJ61" s="25"/>
      <c r="BK61" s="25"/>
      <c r="BM61" s="25"/>
      <c r="BN61" s="25"/>
      <c r="BO61" s="25"/>
      <c r="BP61" s="25"/>
      <c r="BQ61" s="25"/>
      <c r="BR61" s="25"/>
      <c r="BU61" s="25"/>
      <c r="BV61" s="25"/>
      <c r="BW61" s="25"/>
      <c r="BX61" s="25"/>
      <c r="BY61" s="25"/>
      <c r="BZ61" s="25"/>
      <c r="CB61" s="25"/>
      <c r="CC61" s="25"/>
      <c r="CD61" s="25"/>
      <c r="CE61" s="25"/>
      <c r="CF61" s="25"/>
      <c r="CG61" s="25"/>
    </row>
    <row r="62" spans="1:85" ht="14" customHeight="1">
      <c r="A62" s="86" t="str">
        <f>IF(Poor!A62=0,"",Poor!A62)</f>
        <v>Public works -- see Data2</v>
      </c>
      <c r="B62" s="216">
        <v>3460</v>
      </c>
      <c r="C62" s="216">
        <v>0</v>
      </c>
      <c r="D62" s="38">
        <f t="shared" si="25"/>
        <v>3460</v>
      </c>
      <c r="E62" s="75">
        <f>Poor!E62</f>
        <v>1</v>
      </c>
      <c r="F62" s="75">
        <f>Poor!F62</f>
        <v>1.18</v>
      </c>
      <c r="G62" s="75">
        <f>Poor!G62</f>
        <v>1.65</v>
      </c>
      <c r="H62" s="24">
        <f t="shared" si="30"/>
        <v>1.18</v>
      </c>
      <c r="I62" s="39">
        <f t="shared" si="31"/>
        <v>4082.7999999999997</v>
      </c>
      <c r="J62" s="38">
        <f t="shared" si="32"/>
        <v>4082.8</v>
      </c>
      <c r="K62" s="40">
        <f t="shared" si="33"/>
        <v>0.10781055255504778</v>
      </c>
      <c r="L62" s="22">
        <f t="shared" si="34"/>
        <v>0.12721645201495638</v>
      </c>
      <c r="M62" s="24">
        <f t="shared" si="35"/>
        <v>0.12721645201495638</v>
      </c>
      <c r="N62" s="2"/>
      <c r="O62" s="2"/>
      <c r="P62" s="2"/>
      <c r="Q62" s="2"/>
      <c r="R62" s="220"/>
      <c r="S62" s="2"/>
      <c r="T62" s="2"/>
      <c r="U62" s="56"/>
      <c r="V62" s="56"/>
      <c r="W62" s="110"/>
      <c r="X62" s="118"/>
      <c r="Y62" s="110"/>
      <c r="Z62" s="156">
        <f>Poor!Z62</f>
        <v>0.25</v>
      </c>
      <c r="AA62" s="147">
        <f t="shared" si="40"/>
        <v>1020.7</v>
      </c>
      <c r="AB62" s="156">
        <f>Poor!AB62</f>
        <v>0.25</v>
      </c>
      <c r="AC62" s="147">
        <f t="shared" si="41"/>
        <v>1020.7</v>
      </c>
      <c r="AD62" s="156">
        <f>Poor!AD62</f>
        <v>0.25</v>
      </c>
      <c r="AE62" s="147">
        <f t="shared" si="42"/>
        <v>1020.7</v>
      </c>
      <c r="AF62" s="122">
        <f t="shared" si="29"/>
        <v>0.25</v>
      </c>
      <c r="AG62" s="147">
        <f t="shared" si="36"/>
        <v>1020.7</v>
      </c>
      <c r="AH62" s="123">
        <f t="shared" si="43"/>
        <v>1</v>
      </c>
      <c r="AI62" s="112">
        <f t="shared" si="43"/>
        <v>4082.8</v>
      </c>
      <c r="AJ62" s="148">
        <f t="shared" si="38"/>
        <v>2041.4</v>
      </c>
      <c r="AK62" s="147">
        <f t="shared" si="39"/>
        <v>2041.4</v>
      </c>
      <c r="AP62" s="25"/>
      <c r="AQ62" s="25"/>
      <c r="AR62" s="25"/>
      <c r="AS62" s="25"/>
      <c r="AT62" s="25"/>
      <c r="AU62" s="25"/>
      <c r="AW62" s="25"/>
      <c r="AX62" s="25"/>
      <c r="AY62" s="25"/>
      <c r="AZ62" s="25"/>
      <c r="BA62" s="25"/>
      <c r="BB62" s="25"/>
      <c r="BF62" s="25"/>
      <c r="BG62" s="25"/>
      <c r="BH62" s="25"/>
      <c r="BI62" s="25"/>
      <c r="BJ62" s="25"/>
      <c r="BK62" s="25"/>
      <c r="BM62" s="25"/>
      <c r="BN62" s="25"/>
      <c r="BO62" s="25"/>
      <c r="BP62" s="25"/>
      <c r="BQ62" s="25"/>
      <c r="BR62" s="25"/>
      <c r="BU62" s="25"/>
      <c r="BV62" s="25"/>
      <c r="BW62" s="25"/>
      <c r="BX62" s="25"/>
      <c r="BY62" s="25"/>
      <c r="BZ62" s="25"/>
      <c r="CB62" s="25"/>
      <c r="CC62" s="25"/>
      <c r="CD62" s="25"/>
      <c r="CE62" s="25"/>
      <c r="CF62" s="25"/>
      <c r="CG62" s="25"/>
    </row>
    <row r="63" spans="1:85" ht="14" customHeight="1">
      <c r="A63" s="86" t="str">
        <f>IF(Poor!A63=0,"",Poor!A63)</f>
        <v>Other income: e.g. Credit (cotton loans)</v>
      </c>
      <c r="B63" s="216">
        <v>0</v>
      </c>
      <c r="C63" s="216">
        <v>0</v>
      </c>
      <c r="D63" s="38">
        <f t="shared" si="25"/>
        <v>0</v>
      </c>
      <c r="E63" s="75">
        <f>Poor!E63</f>
        <v>1</v>
      </c>
      <c r="F63" s="75">
        <f>Poor!F63</f>
        <v>1</v>
      </c>
      <c r="G63" s="75">
        <f>Poor!G63</f>
        <v>1.65</v>
      </c>
      <c r="H63" s="24">
        <f t="shared" si="30"/>
        <v>1</v>
      </c>
      <c r="I63" s="39">
        <f t="shared" si="31"/>
        <v>0</v>
      </c>
      <c r="J63" s="38">
        <f t="shared" si="32"/>
        <v>0</v>
      </c>
      <c r="K63" s="40">
        <f t="shared" si="33"/>
        <v>0</v>
      </c>
      <c r="L63" s="22">
        <f t="shared" si="34"/>
        <v>0</v>
      </c>
      <c r="M63" s="24">
        <f t="shared" si="35"/>
        <v>0</v>
      </c>
      <c r="N63" s="2"/>
      <c r="O63" s="2"/>
      <c r="P63" s="2"/>
      <c r="Q63" s="2"/>
      <c r="R63" s="2"/>
      <c r="S63" s="2"/>
      <c r="T63" s="2"/>
      <c r="U63" s="56"/>
      <c r="V63" s="56"/>
      <c r="W63" s="110"/>
      <c r="X63" s="118"/>
      <c r="Y63" s="110"/>
      <c r="Z63" s="156">
        <f>Poor!Z63</f>
        <v>0.25</v>
      </c>
      <c r="AA63" s="147">
        <f t="shared" si="40"/>
        <v>0</v>
      </c>
      <c r="AB63" s="156">
        <f>Poor!AB63</f>
        <v>0.25</v>
      </c>
      <c r="AC63" s="147">
        <f t="shared" si="41"/>
        <v>0</v>
      </c>
      <c r="AD63" s="156">
        <f>Poor!AD63</f>
        <v>0.25</v>
      </c>
      <c r="AE63" s="147">
        <f t="shared" si="42"/>
        <v>0</v>
      </c>
      <c r="AF63" s="122">
        <f t="shared" si="29"/>
        <v>0.25</v>
      </c>
      <c r="AG63" s="147">
        <f t="shared" si="36"/>
        <v>0</v>
      </c>
      <c r="AH63" s="123">
        <f t="shared" si="43"/>
        <v>1</v>
      </c>
      <c r="AI63" s="112">
        <f t="shared" si="43"/>
        <v>0</v>
      </c>
      <c r="AJ63" s="148">
        <f t="shared" si="38"/>
        <v>0</v>
      </c>
      <c r="AK63" s="147">
        <f t="shared" si="39"/>
        <v>0</v>
      </c>
      <c r="AP63" s="25"/>
      <c r="AQ63" s="25"/>
      <c r="AR63" s="25"/>
      <c r="AS63" s="25"/>
      <c r="AT63" s="25"/>
      <c r="AU63" s="25"/>
      <c r="AW63" s="25"/>
      <c r="AX63" s="25"/>
      <c r="AY63" s="25"/>
      <c r="AZ63" s="25"/>
      <c r="BA63" s="25"/>
      <c r="BB63" s="25"/>
      <c r="BF63" s="25"/>
      <c r="BG63" s="25"/>
      <c r="BH63" s="25"/>
      <c r="BI63" s="25"/>
      <c r="BJ63" s="25"/>
      <c r="BK63" s="25"/>
      <c r="BM63" s="25"/>
      <c r="BN63" s="25"/>
      <c r="BO63" s="25"/>
      <c r="BP63" s="25"/>
      <c r="BQ63" s="25"/>
      <c r="BR63" s="25"/>
      <c r="BU63" s="25"/>
      <c r="BV63" s="25"/>
      <c r="BW63" s="25"/>
      <c r="BX63" s="25"/>
      <c r="BY63" s="25"/>
      <c r="BZ63" s="25"/>
      <c r="CB63" s="25"/>
      <c r="CC63" s="25"/>
      <c r="CD63" s="25"/>
      <c r="CE63" s="25"/>
      <c r="CF63" s="25"/>
      <c r="CG63" s="25"/>
    </row>
    <row r="64" spans="1:85" ht="14" customHeight="1">
      <c r="A64" s="86" t="str">
        <f>IF(Poor!A64=0,"",Poor!A64)</f>
        <v>Remittances: no. times per year</v>
      </c>
      <c r="B64" s="216">
        <v>0</v>
      </c>
      <c r="C64" s="216">
        <v>0</v>
      </c>
      <c r="D64" s="38">
        <f t="shared" si="25"/>
        <v>0</v>
      </c>
      <c r="E64" s="75">
        <f>Poor!E64</f>
        <v>1</v>
      </c>
      <c r="F64" s="75">
        <f>Poor!F64</f>
        <v>1.1100000000000001</v>
      </c>
      <c r="G64" s="75">
        <f>Poor!G64</f>
        <v>1.65</v>
      </c>
      <c r="H64" s="24">
        <f t="shared" si="30"/>
        <v>1.1100000000000001</v>
      </c>
      <c r="I64" s="39">
        <f t="shared" si="31"/>
        <v>0</v>
      </c>
      <c r="J64" s="38">
        <f t="shared" si="32"/>
        <v>0</v>
      </c>
      <c r="K64" s="40">
        <f t="shared" si="33"/>
        <v>0</v>
      </c>
      <c r="L64" s="22">
        <f t="shared" si="34"/>
        <v>0</v>
      </c>
      <c r="M64" s="24">
        <f t="shared" si="35"/>
        <v>0</v>
      </c>
      <c r="N64" s="2"/>
      <c r="O64" s="2"/>
      <c r="P64" s="2"/>
      <c r="Q64" s="2"/>
      <c r="R64" s="2"/>
      <c r="S64" s="2"/>
      <c r="T64" s="2"/>
      <c r="U64" s="56"/>
      <c r="V64" s="56"/>
      <c r="W64" s="110"/>
      <c r="X64" s="118"/>
      <c r="Y64" s="110"/>
      <c r="Z64" s="156">
        <f>Poor!Z64</f>
        <v>0.25</v>
      </c>
      <c r="AA64" s="149">
        <f t="shared" si="40"/>
        <v>0</v>
      </c>
      <c r="AB64" s="156">
        <f>Poor!AB64</f>
        <v>0.25</v>
      </c>
      <c r="AC64" s="149">
        <f t="shared" si="41"/>
        <v>0</v>
      </c>
      <c r="AD64" s="156">
        <f>Poor!AD64</f>
        <v>0.25</v>
      </c>
      <c r="AE64" s="149">
        <f t="shared" si="42"/>
        <v>0</v>
      </c>
      <c r="AF64" s="150">
        <f t="shared" si="29"/>
        <v>0.25</v>
      </c>
      <c r="AG64" s="149">
        <f t="shared" si="36"/>
        <v>0</v>
      </c>
      <c r="AH64" s="123">
        <f t="shared" si="43"/>
        <v>1</v>
      </c>
      <c r="AI64" s="112">
        <f t="shared" si="43"/>
        <v>0</v>
      </c>
      <c r="AJ64" s="151">
        <f t="shared" si="38"/>
        <v>0</v>
      </c>
      <c r="AK64" s="149">
        <f t="shared" si="39"/>
        <v>0</v>
      </c>
      <c r="AP64" s="25"/>
      <c r="AQ64" s="25"/>
      <c r="AR64" s="25"/>
      <c r="AS64" s="25"/>
      <c r="AT64" s="25"/>
      <c r="AU64" s="25"/>
      <c r="AW64" s="25"/>
      <c r="AX64" s="25"/>
      <c r="AY64" s="25"/>
      <c r="AZ64" s="25"/>
      <c r="BA64" s="25"/>
      <c r="BB64" s="25"/>
      <c r="BF64" s="25"/>
      <c r="BG64" s="25"/>
      <c r="BH64" s="25"/>
      <c r="BI64" s="25"/>
      <c r="BJ64" s="25"/>
      <c r="BK64" s="25"/>
      <c r="BM64" s="25"/>
      <c r="BN64" s="25"/>
      <c r="BO64" s="25"/>
      <c r="BP64" s="25"/>
      <c r="BQ64" s="25"/>
      <c r="BR64" s="25"/>
      <c r="BU64" s="25"/>
      <c r="BV64" s="25"/>
      <c r="BW64" s="25"/>
      <c r="BX64" s="25"/>
      <c r="BY64" s="25"/>
      <c r="BZ64" s="25"/>
      <c r="CB64" s="25"/>
      <c r="CC64" s="25"/>
      <c r="CD64" s="25"/>
      <c r="CE64" s="25"/>
      <c r="CF64" s="25"/>
      <c r="CG64" s="25"/>
    </row>
    <row r="65" spans="1:88" ht="14" customHeight="1">
      <c r="A65" s="39" t="s">
        <v>32</v>
      </c>
      <c r="B65" s="39">
        <f>SUM(B37:B64)</f>
        <v>32093.333333333336</v>
      </c>
      <c r="C65" s="39">
        <f>SUM(C37:C64)</f>
        <v>-364.86666666666667</v>
      </c>
      <c r="D65" s="42">
        <f>SUM(D37:D64)</f>
        <v>31728.466666666667</v>
      </c>
      <c r="E65" s="32"/>
      <c r="F65" s="32"/>
      <c r="G65" s="32"/>
      <c r="H65" s="31"/>
      <c r="I65" s="39">
        <f>SUM(I37:I64)</f>
        <v>11118.14</v>
      </c>
      <c r="J65" s="39">
        <f>SUM(J37:J64)</f>
        <v>11118.14</v>
      </c>
      <c r="K65" s="40">
        <f>SUM(K37:K64)</f>
        <v>0.99999999999999989</v>
      </c>
      <c r="L65" s="22">
        <f>SUM(L37:L64)</f>
        <v>0.36711258828417115</v>
      </c>
      <c r="M65" s="24">
        <f>SUM(M37:M64)</f>
        <v>0.34643144993768171</v>
      </c>
      <c r="N65" s="2"/>
      <c r="O65" s="2"/>
      <c r="P65" s="2"/>
      <c r="Q65" s="2"/>
      <c r="R65" s="2"/>
      <c r="S65" s="2"/>
      <c r="T65" s="2"/>
      <c r="U65" s="56"/>
      <c r="V65" s="56"/>
      <c r="W65" s="110"/>
      <c r="X65" s="152"/>
      <c r="Y65" s="110"/>
      <c r="Z65" s="137"/>
      <c r="AA65" s="153">
        <f>SUM(AA37:AA64)</f>
        <v>1204.06</v>
      </c>
      <c r="AB65" s="137"/>
      <c r="AC65" s="153">
        <f>SUM(AC37:AC64)</f>
        <v>1204.06</v>
      </c>
      <c r="AD65" s="137"/>
      <c r="AE65" s="153">
        <f>SUM(AE37:AE64)</f>
        <v>1204.06</v>
      </c>
      <c r="AF65" s="137"/>
      <c r="AG65" s="153">
        <f>SUM(AG37:AG64)</f>
        <v>1204.06</v>
      </c>
      <c r="AH65" s="137"/>
      <c r="AI65" s="153">
        <f>SUM(AI37:AI64)</f>
        <v>4816.24</v>
      </c>
      <c r="AJ65" s="153">
        <f>SUM(AJ37:AJ64)</f>
        <v>2408.12</v>
      </c>
      <c r="AK65" s="153">
        <f>SUM(AK37:AK64)</f>
        <v>2408.12</v>
      </c>
      <c r="AP65" s="25"/>
      <c r="AQ65" s="25"/>
      <c r="AR65" s="25"/>
      <c r="AS65" s="25"/>
      <c r="AT65" s="25"/>
      <c r="AU65" s="25"/>
      <c r="AW65" s="25"/>
      <c r="AX65" s="25"/>
      <c r="AY65" s="25"/>
      <c r="AZ65" s="25"/>
      <c r="BA65" s="25"/>
      <c r="BB65" s="25"/>
      <c r="BF65" s="25"/>
      <c r="BG65" s="25"/>
      <c r="BH65" s="25"/>
      <c r="BI65" s="25"/>
      <c r="BJ65" s="25"/>
      <c r="BK65" s="25"/>
      <c r="BM65" s="25"/>
      <c r="BN65" s="25"/>
      <c r="BO65" s="25"/>
      <c r="BP65" s="25"/>
      <c r="BQ65" s="25"/>
      <c r="BR65" s="25"/>
      <c r="BU65" s="25"/>
      <c r="BV65" s="25"/>
      <c r="BW65" s="25"/>
      <c r="BX65" s="25"/>
      <c r="BY65" s="25"/>
      <c r="BZ65" s="25"/>
      <c r="CB65" s="25"/>
      <c r="CC65" s="25"/>
      <c r="CD65" s="25"/>
      <c r="CE65" s="25"/>
      <c r="CF65" s="25"/>
      <c r="CG65" s="25"/>
    </row>
    <row r="66" spans="1:88" ht="13.5" customHeight="1">
      <c r="A66" s="78"/>
      <c r="B66" s="78"/>
      <c r="C66" s="78"/>
      <c r="D66" s="44"/>
      <c r="E66" s="14"/>
      <c r="F66" s="14"/>
      <c r="G66" s="14"/>
      <c r="H66" s="44"/>
      <c r="I66" s="14"/>
      <c r="J66" s="44"/>
      <c r="K66" s="45"/>
      <c r="L66" s="11"/>
      <c r="M66" s="10"/>
      <c r="N66" s="2"/>
      <c r="O66" s="2"/>
      <c r="P66" s="2"/>
      <c r="Q66" s="2"/>
      <c r="R66" s="2"/>
      <c r="S66" s="2"/>
      <c r="T66" s="2"/>
      <c r="U66" s="56"/>
      <c r="V66" s="56"/>
      <c r="W66" s="110"/>
      <c r="X66" s="118"/>
      <c r="Y66" s="110"/>
      <c r="Z66" s="143"/>
      <c r="AA66" s="154"/>
      <c r="AB66" s="143"/>
      <c r="AC66" s="154"/>
      <c r="AD66" s="143"/>
      <c r="AE66" s="154"/>
      <c r="AF66" s="143"/>
      <c r="AG66" s="154"/>
      <c r="AH66" s="143"/>
      <c r="AI66" s="154"/>
      <c r="AJ66" s="143"/>
      <c r="AK66" s="144"/>
      <c r="AP66" s="25"/>
      <c r="AQ66" s="25"/>
      <c r="AR66" s="25"/>
      <c r="AS66" s="25"/>
      <c r="AT66" s="25"/>
      <c r="AU66" s="25"/>
      <c r="AW66" s="25"/>
      <c r="AX66" s="25"/>
      <c r="AY66" s="25"/>
      <c r="AZ66" s="25"/>
      <c r="BA66" s="25"/>
      <c r="BB66" s="25"/>
      <c r="BF66" s="25"/>
      <c r="BG66" s="25"/>
      <c r="BH66" s="25"/>
      <c r="BI66" s="25"/>
      <c r="BJ66" s="25"/>
      <c r="BK66" s="25"/>
      <c r="BM66" s="25"/>
      <c r="BN66" s="25"/>
      <c r="BO66" s="25"/>
      <c r="BP66" s="25"/>
      <c r="BQ66" s="25"/>
      <c r="BR66" s="25"/>
      <c r="BU66" s="25"/>
      <c r="BV66" s="25"/>
      <c r="BW66" s="25"/>
      <c r="BX66" s="25"/>
      <c r="BY66" s="25"/>
      <c r="BZ66" s="25"/>
      <c r="CB66" s="25"/>
      <c r="CC66" s="25"/>
      <c r="CD66" s="25"/>
      <c r="CE66" s="25"/>
      <c r="CF66" s="25"/>
      <c r="CG66" s="25"/>
    </row>
    <row r="67" spans="1:88" ht="15.75" customHeight="1">
      <c r="A67" s="73" t="s">
        <v>54</v>
      </c>
      <c r="B67" s="39"/>
      <c r="C67" s="39"/>
      <c r="D67" s="38"/>
      <c r="E67" s="32"/>
      <c r="F67" s="32"/>
      <c r="G67" s="32"/>
      <c r="H67" s="31"/>
      <c r="I67" s="47"/>
      <c r="J67" s="48"/>
      <c r="K67" s="34" t="s">
        <v>34</v>
      </c>
      <c r="L67" s="2"/>
      <c r="M67" s="31"/>
      <c r="N67" s="2"/>
      <c r="O67" s="2"/>
      <c r="P67" s="2"/>
      <c r="Q67" s="2"/>
      <c r="R67" s="2"/>
      <c r="S67" s="2"/>
      <c r="T67" s="2"/>
      <c r="U67" s="56"/>
      <c r="V67" s="56"/>
      <c r="W67" s="110"/>
      <c r="X67" s="118"/>
      <c r="Y67" s="110"/>
      <c r="Z67" s="145"/>
      <c r="AA67" s="147"/>
      <c r="AB67" s="145"/>
      <c r="AC67" s="147"/>
      <c r="AD67" s="145"/>
      <c r="AE67" s="147"/>
      <c r="AF67" s="145"/>
      <c r="AG67" s="147"/>
      <c r="AH67" s="145"/>
      <c r="AI67" s="147"/>
      <c r="AJ67" s="145"/>
      <c r="AK67" s="146"/>
      <c r="AP67" s="25"/>
      <c r="AQ67" s="25"/>
      <c r="AR67" s="25"/>
      <c r="AS67" s="25"/>
      <c r="AT67" s="25"/>
      <c r="AU67" s="25"/>
      <c r="AW67" s="25"/>
      <c r="AX67" s="25"/>
      <c r="AY67" s="25"/>
      <c r="AZ67" s="25"/>
      <c r="BA67" s="25"/>
      <c r="BB67" s="25"/>
      <c r="BF67" s="25"/>
      <c r="BG67" s="25"/>
      <c r="BH67" s="25"/>
      <c r="BI67" s="25"/>
      <c r="BJ67" s="25"/>
      <c r="BK67" s="25"/>
      <c r="BM67" s="25"/>
      <c r="BN67" s="25"/>
      <c r="BO67" s="25"/>
      <c r="BP67" s="25"/>
      <c r="BQ67" s="25"/>
      <c r="BR67" s="25"/>
      <c r="BU67" s="25"/>
      <c r="BV67" s="25"/>
      <c r="BW67" s="25"/>
      <c r="BX67" s="25"/>
      <c r="BY67" s="25"/>
      <c r="BZ67" s="25"/>
      <c r="CB67" s="25"/>
      <c r="CC67" s="25"/>
      <c r="CD67" s="25"/>
      <c r="CE67" s="25"/>
      <c r="CF67" s="25"/>
      <c r="CG67" s="25"/>
    </row>
    <row r="68" spans="1:88" ht="14" customHeight="1">
      <c r="A68" s="79"/>
      <c r="B68" s="80" t="s">
        <v>7</v>
      </c>
      <c r="C68" s="39"/>
      <c r="D68" s="50"/>
      <c r="E68" s="19" t="s">
        <v>10</v>
      </c>
      <c r="F68" s="2" t="s">
        <v>28</v>
      </c>
      <c r="G68" s="2"/>
      <c r="H68" s="16" t="s">
        <v>12</v>
      </c>
      <c r="I68" s="19" t="s">
        <v>13</v>
      </c>
      <c r="J68" s="16" t="s">
        <v>14</v>
      </c>
      <c r="K68" s="37" t="s">
        <v>7</v>
      </c>
      <c r="L68" s="19" t="s">
        <v>15</v>
      </c>
      <c r="M68" s="16" t="s">
        <v>14</v>
      </c>
      <c r="N68" s="2"/>
      <c r="O68" s="2"/>
      <c r="P68" s="2"/>
      <c r="Q68" s="2"/>
      <c r="R68" s="2"/>
      <c r="S68" s="2"/>
      <c r="T68" s="2"/>
      <c r="U68" s="56"/>
      <c r="V68" s="56"/>
      <c r="W68" s="112"/>
      <c r="X68" s="118"/>
      <c r="Y68" s="110"/>
      <c r="Z68" s="145"/>
      <c r="AA68" s="147"/>
      <c r="AB68" s="145"/>
      <c r="AC68" s="147"/>
      <c r="AD68" s="145"/>
      <c r="AE68" s="147"/>
      <c r="AF68" s="145"/>
      <c r="AG68" s="147"/>
      <c r="AH68" s="145"/>
      <c r="AI68" s="147"/>
      <c r="AJ68" s="145"/>
      <c r="AK68" s="146"/>
      <c r="AP68" s="25"/>
      <c r="AQ68" s="25"/>
      <c r="AR68" s="25"/>
      <c r="AS68" s="25"/>
      <c r="AT68" s="25"/>
      <c r="AU68" s="25"/>
      <c r="AW68" s="25"/>
      <c r="AX68" s="25"/>
      <c r="AY68" s="25"/>
      <c r="AZ68" s="25"/>
      <c r="BA68" s="25"/>
      <c r="BB68" s="25"/>
      <c r="BF68" s="25"/>
      <c r="BG68" s="25"/>
      <c r="BH68" s="25"/>
      <c r="BI68" s="25"/>
      <c r="BJ68" s="25"/>
      <c r="BK68" s="25"/>
      <c r="BM68" s="25"/>
      <c r="BN68" s="25"/>
      <c r="BO68" s="25"/>
      <c r="BP68" s="25"/>
      <c r="BQ68" s="25"/>
      <c r="BR68" s="25"/>
      <c r="BU68" s="25"/>
      <c r="BV68" s="25"/>
      <c r="BW68" s="25"/>
      <c r="BX68" s="25"/>
      <c r="BY68" s="25"/>
      <c r="BZ68" s="25"/>
      <c r="CB68" s="25"/>
      <c r="CC68" s="25"/>
      <c r="CD68" s="25"/>
      <c r="CE68" s="25"/>
      <c r="CF68" s="25"/>
      <c r="CG68" s="25"/>
    </row>
    <row r="69" spans="1:88" ht="14" customHeight="1">
      <c r="A69" s="39" t="s">
        <v>30</v>
      </c>
      <c r="B69" s="80" t="s">
        <v>35</v>
      </c>
      <c r="C69" s="39"/>
      <c r="D69" s="38"/>
      <c r="E69" s="19" t="s">
        <v>18</v>
      </c>
      <c r="F69" s="2" t="s">
        <v>31</v>
      </c>
      <c r="G69" s="2"/>
      <c r="H69" s="16" t="s">
        <v>18</v>
      </c>
      <c r="I69" s="19" t="s">
        <v>35</v>
      </c>
      <c r="J69" s="16" t="s">
        <v>35</v>
      </c>
      <c r="K69" s="37" t="s">
        <v>35</v>
      </c>
      <c r="L69" s="19" t="s">
        <v>19</v>
      </c>
      <c r="M69" s="16" t="s">
        <v>35</v>
      </c>
      <c r="N69" s="2"/>
      <c r="O69" s="2"/>
      <c r="P69" s="2"/>
      <c r="Q69" s="2"/>
      <c r="R69" s="2"/>
      <c r="S69" s="2"/>
      <c r="T69" s="2"/>
      <c r="U69" s="56"/>
      <c r="V69" s="56"/>
      <c r="W69" s="110"/>
      <c r="X69" s="118"/>
      <c r="Y69" s="110"/>
      <c r="Z69" s="145"/>
      <c r="AA69" s="147"/>
      <c r="AB69" s="145"/>
      <c r="AC69" s="147"/>
      <c r="AD69" s="145"/>
      <c r="AE69" s="147"/>
      <c r="AF69" s="145"/>
      <c r="AG69" s="147"/>
      <c r="AH69" s="145"/>
      <c r="AI69" s="147"/>
      <c r="AJ69" s="145"/>
      <c r="AK69" s="146"/>
      <c r="AP69" s="25"/>
      <c r="AQ69" s="25"/>
      <c r="AR69" s="25"/>
      <c r="AS69" s="25"/>
      <c r="AT69" s="25"/>
      <c r="AU69" s="25"/>
      <c r="AW69" s="25"/>
      <c r="AX69" s="25"/>
      <c r="AY69" s="25"/>
      <c r="AZ69" s="25"/>
      <c r="BA69" s="25"/>
      <c r="BB69" s="25"/>
      <c r="BF69" s="25"/>
      <c r="BG69" s="25"/>
      <c r="BH69" s="25"/>
      <c r="BI69" s="25"/>
      <c r="BJ69" s="25"/>
      <c r="BK69" s="25"/>
      <c r="BM69" s="25"/>
      <c r="BN69" s="25"/>
      <c r="BO69" s="25"/>
      <c r="BP69" s="25"/>
      <c r="BQ69" s="25"/>
      <c r="BR69" s="25"/>
      <c r="BU69" s="25"/>
      <c r="BV69" s="25"/>
      <c r="BW69" s="25"/>
      <c r="BX69" s="25"/>
      <c r="BY69" s="25"/>
      <c r="BZ69" s="25"/>
      <c r="CB69" s="25"/>
      <c r="CC69" s="25"/>
      <c r="CD69" s="25"/>
      <c r="CE69" s="25"/>
      <c r="CF69" s="25"/>
      <c r="CG69" s="25"/>
    </row>
    <row r="70" spans="1:88" ht="14" customHeight="1">
      <c r="A70" s="110" t="s">
        <v>131</v>
      </c>
      <c r="B70" s="104">
        <v>19510.877969022746</v>
      </c>
      <c r="C70" s="39"/>
      <c r="D70" s="38"/>
      <c r="E70" s="75">
        <f>Poor!E70</f>
        <v>1</v>
      </c>
      <c r="F70" s="75">
        <f>Poor!F70</f>
        <v>1.4</v>
      </c>
      <c r="G70" s="22"/>
      <c r="H70" s="24">
        <f>(E70*F70)</f>
        <v>1.4</v>
      </c>
      <c r="I70" s="39">
        <f>I124*I$83</f>
        <v>11118.140000000001</v>
      </c>
      <c r="J70" s="51">
        <f t="shared" ref="J70:J77" si="44">J124*I$83</f>
        <v>11118.140000000001</v>
      </c>
      <c r="K70" s="40">
        <f>B70/B$76</f>
        <v>0.60794177302729779</v>
      </c>
      <c r="L70" s="22">
        <f t="shared" ref="L70:L74" si="45">(L124*G$37*F$9/F$7)/B$130</f>
        <v>0.3671125882841712</v>
      </c>
      <c r="M70" s="24">
        <f>J70/B$76</f>
        <v>0.34643144993768177</v>
      </c>
      <c r="N70" s="2"/>
      <c r="O70" s="2"/>
      <c r="P70" s="2"/>
      <c r="Q70" s="2"/>
      <c r="R70" s="2"/>
      <c r="S70" s="2"/>
      <c r="T70" s="2"/>
      <c r="U70" s="56"/>
      <c r="V70" s="56"/>
      <c r="W70" s="110"/>
      <c r="X70" s="118"/>
      <c r="Y70" s="110"/>
      <c r="Z70" s="156">
        <f>Poor!Z70</f>
        <v>0.25</v>
      </c>
      <c r="AA70" s="147">
        <f>$J70*Z70</f>
        <v>2779.5350000000003</v>
      </c>
      <c r="AB70" s="156">
        <f>Poor!AB70</f>
        <v>0.25</v>
      </c>
      <c r="AC70" s="147">
        <f>$J70*AB70</f>
        <v>2779.5350000000003</v>
      </c>
      <c r="AD70" s="156">
        <f>Poor!AD70</f>
        <v>0.25</v>
      </c>
      <c r="AE70" s="147">
        <f>$J70*AD70</f>
        <v>2779.5350000000003</v>
      </c>
      <c r="AF70" s="156">
        <f>Poor!AF70</f>
        <v>0.25</v>
      </c>
      <c r="AG70" s="147">
        <f>$J70*AF70</f>
        <v>2779.5350000000003</v>
      </c>
      <c r="AH70" s="155">
        <f>SUM(Z70,AB70,AD70,AF70)</f>
        <v>1</v>
      </c>
      <c r="AI70" s="147">
        <f>SUM(AA70,AC70,AE70,AG70)</f>
        <v>11118.140000000001</v>
      </c>
      <c r="AJ70" s="148">
        <f>(AA70+AC70)</f>
        <v>5559.0700000000006</v>
      </c>
      <c r="AK70" s="147">
        <f>(AE70+AG70)</f>
        <v>5559.0700000000006</v>
      </c>
      <c r="AP70" s="25"/>
      <c r="AQ70" s="25"/>
      <c r="AR70" s="25"/>
      <c r="AS70" s="25"/>
      <c r="AT70" s="25"/>
      <c r="AU70" s="25"/>
      <c r="AW70" s="25"/>
      <c r="AX70" s="25"/>
      <c r="AY70" s="25"/>
      <c r="AZ70" s="25"/>
      <c r="BA70" s="25"/>
      <c r="BB70" s="25"/>
      <c r="BF70" s="25"/>
      <c r="BG70" s="25"/>
      <c r="BH70" s="25"/>
      <c r="BI70" s="25"/>
      <c r="BJ70" s="25"/>
      <c r="BK70" s="25"/>
      <c r="BM70" s="25"/>
      <c r="BN70" s="25"/>
      <c r="BO70" s="25"/>
      <c r="BP70" s="25"/>
      <c r="BQ70" s="25"/>
      <c r="BR70" s="25"/>
      <c r="BU70" s="25"/>
      <c r="BV70" s="25"/>
      <c r="BW70" s="25"/>
      <c r="BX70" s="25"/>
      <c r="BY70" s="25"/>
      <c r="BZ70" s="25"/>
      <c r="CB70" s="25"/>
      <c r="CC70" s="25"/>
      <c r="CD70" s="25"/>
      <c r="CE70" s="25"/>
      <c r="CF70" s="25"/>
      <c r="CG70" s="25"/>
    </row>
    <row r="71" spans="1:88" ht="14" customHeight="1">
      <c r="A71" s="110" t="s">
        <v>132</v>
      </c>
      <c r="B71" s="104">
        <v>16472.888888888912</v>
      </c>
      <c r="C71" s="39"/>
      <c r="D71" s="38"/>
      <c r="E71" s="75">
        <f>Poor!E71</f>
        <v>1</v>
      </c>
      <c r="F71" s="75">
        <f>Poor!F71</f>
        <v>1.18</v>
      </c>
      <c r="G71" s="22"/>
      <c r="H71" s="24">
        <f t="shared" ref="H71:H72" si="46">(E71*F71)</f>
        <v>1.18</v>
      </c>
      <c r="I71" s="39">
        <f>I125*I$83</f>
        <v>0</v>
      </c>
      <c r="J71" s="51">
        <f t="shared" si="44"/>
        <v>0</v>
      </c>
      <c r="K71" s="40">
        <f t="shared" ref="K71:K72" si="47">B71/B$76</f>
        <v>0.51328070904306955</v>
      </c>
      <c r="L71" s="22">
        <f t="shared" si="45"/>
        <v>0</v>
      </c>
      <c r="M71" s="24">
        <f t="shared" ref="M71:M72" si="48">J71/B$76</f>
        <v>0</v>
      </c>
      <c r="N71" s="2"/>
      <c r="O71" s="2"/>
      <c r="P71" s="2"/>
      <c r="Q71" s="2"/>
      <c r="R71" s="2"/>
      <c r="S71" s="2"/>
      <c r="T71" s="2"/>
      <c r="U71" s="56"/>
      <c r="V71" s="56"/>
      <c r="W71" s="110"/>
      <c r="X71" s="118"/>
      <c r="Y71" s="110"/>
      <c r="Z71" s="156"/>
      <c r="AA71" s="147"/>
      <c r="AB71" s="156"/>
      <c r="AC71" s="147"/>
      <c r="AD71" s="156"/>
      <c r="AE71" s="147"/>
      <c r="AF71" s="156"/>
      <c r="AG71" s="147"/>
      <c r="AH71" s="155"/>
      <c r="AI71" s="147"/>
      <c r="AJ71" s="148"/>
      <c r="AK71" s="147"/>
      <c r="AP71" s="25"/>
      <c r="AQ71" s="25"/>
      <c r="AR71" s="25"/>
      <c r="AS71" s="25"/>
      <c r="AT71" s="25"/>
      <c r="AU71" s="25"/>
      <c r="AW71" s="25"/>
      <c r="AX71" s="25"/>
      <c r="AY71" s="25"/>
      <c r="AZ71" s="25"/>
      <c r="BA71" s="25"/>
      <c r="BB71" s="25"/>
      <c r="BF71" s="25"/>
      <c r="BG71" s="25"/>
      <c r="BH71" s="25"/>
      <c r="BI71" s="25"/>
      <c r="BJ71" s="25"/>
      <c r="BK71" s="25"/>
      <c r="BM71" s="25"/>
      <c r="BN71" s="25"/>
      <c r="BO71" s="25"/>
      <c r="BP71" s="25"/>
      <c r="BQ71" s="25"/>
      <c r="BR71" s="25"/>
      <c r="BU71" s="25"/>
      <c r="BV71" s="25"/>
      <c r="BW71" s="25"/>
      <c r="BX71" s="25"/>
      <c r="BY71" s="25"/>
      <c r="BZ71" s="25"/>
      <c r="CB71" s="25"/>
      <c r="CC71" s="25"/>
      <c r="CD71" s="25"/>
      <c r="CE71" s="25"/>
      <c r="CF71" s="25"/>
      <c r="CG71" s="25"/>
    </row>
    <row r="72" spans="1:88" ht="14" customHeight="1">
      <c r="A72" s="110" t="s">
        <v>133</v>
      </c>
      <c r="B72" s="104">
        <v>29065.142857142859</v>
      </c>
      <c r="C72" s="39"/>
      <c r="D72" s="38"/>
      <c r="E72" s="75">
        <f>Poor!E72</f>
        <v>1</v>
      </c>
      <c r="F72" s="75">
        <f>Poor!F72</f>
        <v>1.18</v>
      </c>
      <c r="G72" s="22"/>
      <c r="H72" s="24">
        <f t="shared" si="46"/>
        <v>1.18</v>
      </c>
      <c r="I72" s="39">
        <f>I126*I$83</f>
        <v>0</v>
      </c>
      <c r="J72" s="51">
        <f t="shared" si="44"/>
        <v>0</v>
      </c>
      <c r="K72" s="40">
        <f t="shared" si="47"/>
        <v>0.9056442518843848</v>
      </c>
      <c r="L72" s="22">
        <f t="shared" si="45"/>
        <v>0</v>
      </c>
      <c r="M72" s="24">
        <f t="shared" si="48"/>
        <v>0</v>
      </c>
      <c r="N72" s="2"/>
      <c r="O72" s="2"/>
      <c r="P72" s="2"/>
      <c r="Q72" s="2"/>
      <c r="R72" s="2"/>
      <c r="S72" s="2"/>
      <c r="T72" s="2"/>
      <c r="U72" s="56"/>
      <c r="V72" s="56"/>
      <c r="W72" s="110"/>
      <c r="X72" s="118"/>
      <c r="Y72" s="110"/>
      <c r="Z72" s="156"/>
      <c r="AA72" s="147"/>
      <c r="AB72" s="156"/>
      <c r="AC72" s="147"/>
      <c r="AD72" s="156"/>
      <c r="AE72" s="147"/>
      <c r="AF72" s="156"/>
      <c r="AG72" s="147"/>
      <c r="AH72" s="155"/>
      <c r="AI72" s="147"/>
      <c r="AJ72" s="148"/>
      <c r="AK72" s="147"/>
      <c r="AP72" s="25"/>
      <c r="AQ72" s="25"/>
      <c r="AR72" s="25"/>
      <c r="AS72" s="25"/>
      <c r="AT72" s="25"/>
      <c r="AU72" s="25"/>
      <c r="AW72" s="25"/>
      <c r="AX72" s="25"/>
      <c r="AY72" s="25"/>
      <c r="AZ72" s="25"/>
      <c r="BA72" s="25"/>
      <c r="BB72" s="25"/>
      <c r="BF72" s="25"/>
      <c r="BG72" s="25"/>
      <c r="BH72" s="25"/>
      <c r="BI72" s="25"/>
      <c r="BJ72" s="25"/>
      <c r="BK72" s="25"/>
      <c r="BM72" s="25"/>
      <c r="BN72" s="25"/>
      <c r="BO72" s="25"/>
      <c r="BP72" s="25"/>
      <c r="BQ72" s="25"/>
      <c r="BR72" s="25"/>
      <c r="BU72" s="25"/>
      <c r="BV72" s="25"/>
      <c r="BW72" s="25"/>
      <c r="BX72" s="25"/>
      <c r="BY72" s="25"/>
      <c r="BZ72" s="25"/>
      <c r="CB72" s="25"/>
      <c r="CC72" s="25"/>
      <c r="CD72" s="25"/>
      <c r="CE72" s="25"/>
      <c r="CF72" s="25"/>
      <c r="CG72" s="25"/>
    </row>
    <row r="73" spans="1:88" ht="13.5" customHeight="1">
      <c r="A73" s="110" t="s">
        <v>134</v>
      </c>
      <c r="B73" s="104">
        <v>2240.6666666666665</v>
      </c>
      <c r="C73" s="39"/>
      <c r="D73" s="38"/>
      <c r="E73" s="75">
        <f>Poor!E73</f>
        <v>1</v>
      </c>
      <c r="F73" s="75">
        <f>Poor!F73</f>
        <v>1.18</v>
      </c>
      <c r="G73" s="22"/>
      <c r="H73" s="24">
        <f>(E73*F73)</f>
        <v>1.18</v>
      </c>
      <c r="I73" s="39">
        <f>I127*I$83</f>
        <v>0</v>
      </c>
      <c r="J73" s="51">
        <f t="shared" si="44"/>
        <v>0</v>
      </c>
      <c r="K73" s="40">
        <f>B73/B$76</f>
        <v>6.9817199833818025E-2</v>
      </c>
      <c r="L73" s="22">
        <f t="shared" si="45"/>
        <v>0</v>
      </c>
      <c r="M73" s="24">
        <f>J73/B$76</f>
        <v>0</v>
      </c>
      <c r="O73" s="2"/>
      <c r="P73" s="2"/>
      <c r="Q73" s="2"/>
      <c r="R73" s="2"/>
      <c r="S73" s="2"/>
      <c r="T73" s="2"/>
      <c r="U73" s="56"/>
      <c r="V73" s="56"/>
      <c r="W73" s="110"/>
      <c r="X73" s="118"/>
      <c r="Y73" s="110"/>
      <c r="Z73" s="156">
        <f>Poor!Z73</f>
        <v>0.09</v>
      </c>
      <c r="AA73" s="147">
        <f>$H$73*$B$73*Z73</f>
        <v>237.95879999999994</v>
      </c>
      <c r="AB73" s="156">
        <f>Poor!AB73</f>
        <v>0.09</v>
      </c>
      <c r="AC73" s="147">
        <f>$H$73*$B$73*AB73</f>
        <v>237.95879999999994</v>
      </c>
      <c r="AD73" s="156">
        <f>Poor!AD73</f>
        <v>0.23</v>
      </c>
      <c r="AE73" s="147">
        <f>$H$73*$B$73*AD73</f>
        <v>608.11693333333324</v>
      </c>
      <c r="AF73" s="156">
        <f>Poor!AF73</f>
        <v>0.59</v>
      </c>
      <c r="AG73" s="147">
        <f>$H$73*$B$73*AF73</f>
        <v>1559.952133333333</v>
      </c>
      <c r="AH73" s="155">
        <f>SUM(Z73,AB73,AD73,AF73)</f>
        <v>1</v>
      </c>
      <c r="AI73" s="147">
        <f>SUM(AA73,AC73,AE73,AG73)</f>
        <v>2643.9866666666658</v>
      </c>
      <c r="AJ73" s="148">
        <f>(AA73+AC73)</f>
        <v>475.91759999999988</v>
      </c>
      <c r="AK73" s="147">
        <f>(AE73+AG73)</f>
        <v>2168.069066666666</v>
      </c>
      <c r="AP73" s="25"/>
      <c r="AQ73" s="25"/>
      <c r="AR73" s="25"/>
      <c r="AS73" s="25"/>
      <c r="AT73" s="25"/>
      <c r="AU73" s="25"/>
      <c r="AW73" s="25"/>
      <c r="AX73" s="25"/>
      <c r="AY73" s="25"/>
      <c r="AZ73" s="25"/>
      <c r="BA73" s="25"/>
      <c r="BB73" s="25"/>
      <c r="BF73" s="25"/>
      <c r="BG73" s="25"/>
      <c r="BH73" s="25"/>
      <c r="BI73" s="25"/>
      <c r="BJ73" s="25"/>
      <c r="BK73" s="25"/>
      <c r="BM73" s="25"/>
      <c r="BN73" s="25"/>
      <c r="BO73" s="25"/>
      <c r="BP73" s="25"/>
      <c r="BQ73" s="25"/>
      <c r="BR73" s="25"/>
      <c r="BU73" s="25"/>
      <c r="BV73" s="25"/>
      <c r="BW73" s="25"/>
      <c r="BX73" s="25"/>
      <c r="BY73" s="25"/>
      <c r="BZ73" s="25"/>
      <c r="CB73" s="25"/>
      <c r="CC73" s="25"/>
      <c r="CD73" s="25"/>
      <c r="CE73" s="25"/>
      <c r="CF73" s="25"/>
      <c r="CG73" s="25"/>
    </row>
    <row r="74" spans="1:88" ht="14" customHeight="1">
      <c r="A74" s="1" t="s">
        <v>135</v>
      </c>
      <c r="B74" s="81">
        <f>B128*B83</f>
        <v>6286.8660781087356</v>
      </c>
      <c r="C74" s="39"/>
      <c r="D74" s="38"/>
      <c r="E74" s="32"/>
      <c r="F74" s="32"/>
      <c r="G74" s="32"/>
      <c r="H74" s="31"/>
      <c r="I74" s="39">
        <f>I128*I$83</f>
        <v>0</v>
      </c>
      <c r="J74" s="51">
        <f t="shared" si="44"/>
        <v>0</v>
      </c>
      <c r="K74" s="40">
        <f>B74/B$76</f>
        <v>0.19589320974580604</v>
      </c>
      <c r="L74" s="22">
        <f t="shared" si="45"/>
        <v>0</v>
      </c>
      <c r="M74" s="24">
        <f>J74/B$76</f>
        <v>0</v>
      </c>
      <c r="O74" s="2"/>
      <c r="P74" s="2"/>
      <c r="Q74" s="2"/>
      <c r="R74" s="2"/>
      <c r="S74" s="2"/>
      <c r="T74" s="2"/>
      <c r="U74" s="56"/>
      <c r="V74" s="56"/>
      <c r="W74" s="110"/>
      <c r="X74" s="118"/>
      <c r="Y74" s="110"/>
      <c r="Z74" s="156"/>
      <c r="AA74" s="147">
        <f>AA30*$I$83/4</f>
        <v>-1575.4750000000004</v>
      </c>
      <c r="AB74" s="156"/>
      <c r="AC74" s="147">
        <f>AC30*$I$83/4</f>
        <v>-1575.4750000000004</v>
      </c>
      <c r="AD74" s="156"/>
      <c r="AE74" s="147">
        <f>AE30*$I$83/4</f>
        <v>-1575.4750000000004</v>
      </c>
      <c r="AF74" s="156"/>
      <c r="AG74" s="147">
        <f>AG30*$I$83/4</f>
        <v>-1575.4750000000004</v>
      </c>
      <c r="AH74" s="155"/>
      <c r="AI74" s="147">
        <f>SUM(AA74,AC74,AE74,AG74)</f>
        <v>-6301.9000000000015</v>
      </c>
      <c r="AJ74" s="148">
        <f>(AA74+AC74)</f>
        <v>-3150.9500000000007</v>
      </c>
      <c r="AK74" s="147">
        <f>(AE74+AG74)</f>
        <v>-3150.9500000000007</v>
      </c>
      <c r="AP74" s="25"/>
      <c r="AQ74" s="25"/>
      <c r="AR74" s="25"/>
      <c r="AS74" s="25"/>
      <c r="AT74" s="25"/>
      <c r="AU74" s="25"/>
      <c r="AW74" s="25"/>
      <c r="AX74" s="25"/>
      <c r="AY74" s="25"/>
      <c r="AZ74" s="25"/>
      <c r="BA74" s="25"/>
      <c r="BB74" s="25"/>
      <c r="BF74" s="25"/>
      <c r="BG74" s="25"/>
      <c r="BH74" s="25"/>
      <c r="BI74" s="25"/>
      <c r="BJ74" s="25"/>
      <c r="BK74" s="25"/>
      <c r="BM74" s="25"/>
      <c r="BN74" s="25"/>
      <c r="BO74" s="25"/>
      <c r="BP74" s="25"/>
      <c r="BQ74" s="25"/>
      <c r="BR74" s="25"/>
      <c r="BU74" s="25"/>
      <c r="BV74" s="25"/>
      <c r="BW74" s="25"/>
      <c r="BX74" s="25"/>
      <c r="BY74" s="25"/>
      <c r="BZ74" s="25"/>
      <c r="CB74" s="25"/>
      <c r="CC74" s="25"/>
      <c r="CD74" s="25"/>
      <c r="CE74" s="25"/>
      <c r="CF74" s="25"/>
      <c r="CG74" s="25"/>
    </row>
    <row r="75" spans="1:88" ht="14" customHeight="1">
      <c r="A75" s="1" t="s">
        <v>55</v>
      </c>
      <c r="B75" s="81">
        <f>B129*B83</f>
        <v>0</v>
      </c>
      <c r="C75" s="39"/>
      <c r="D75" s="38"/>
      <c r="E75" s="32"/>
      <c r="F75" s="32"/>
      <c r="G75" s="32"/>
      <c r="H75" s="31"/>
      <c r="I75" s="47"/>
      <c r="J75" s="51">
        <f t="shared" si="44"/>
        <v>0</v>
      </c>
      <c r="K75" s="40">
        <f>B75/B$76</f>
        <v>0</v>
      </c>
      <c r="L75" s="22">
        <f>(L129*G$37*F$9/F$7)/B$130</f>
        <v>0</v>
      </c>
      <c r="M75" s="24">
        <f>J75/B$76</f>
        <v>0</v>
      </c>
      <c r="O75" s="2"/>
      <c r="P75" s="2"/>
      <c r="Q75" s="2"/>
      <c r="R75" s="2"/>
      <c r="S75" s="2"/>
      <c r="T75" s="2"/>
      <c r="U75" s="56"/>
      <c r="V75" s="56"/>
      <c r="W75" s="110"/>
      <c r="X75" s="157"/>
      <c r="Y75" s="161" t="s">
        <v>104</v>
      </c>
      <c r="Z75" s="158"/>
      <c r="AA75" s="149">
        <f>AA79-AA74</f>
        <v>0</v>
      </c>
      <c r="AB75" s="158"/>
      <c r="AC75" s="149">
        <f>AA75+AC65-SUM(AC70,AC74)</f>
        <v>0</v>
      </c>
      <c r="AD75" s="158"/>
      <c r="AE75" s="149">
        <f>AC75+AE65-SUM(AE70,AE74)</f>
        <v>0</v>
      </c>
      <c r="AF75" s="158"/>
      <c r="AG75" s="149">
        <f>IF(SUM(AG6:AG29)+((AG65-AG70-$J$75)*4/I$83)&lt;1,0,AG65-AG70-$J$75-(1-SUM(AG6:AG29))*I$83/4)</f>
        <v>0</v>
      </c>
      <c r="AH75" s="134"/>
      <c r="AI75" s="149">
        <f>AI76-SUM(AI70,AI74)</f>
        <v>0</v>
      </c>
      <c r="AJ75" s="151">
        <f>AJ76-SUM(AJ70,AJ74)</f>
        <v>0</v>
      </c>
      <c r="AK75" s="149">
        <f>AJ75+AK76-SUM(AK70,AK74)</f>
        <v>0</v>
      </c>
      <c r="AP75" s="25"/>
      <c r="AQ75" s="25"/>
      <c r="AR75" s="25"/>
      <c r="AS75" s="25"/>
      <c r="AT75" s="25"/>
      <c r="AU75" s="25"/>
      <c r="AW75" s="25"/>
      <c r="AX75" s="25"/>
      <c r="AY75" s="25"/>
      <c r="AZ75" s="25"/>
      <c r="BA75" s="25"/>
      <c r="BB75" s="25"/>
      <c r="BF75" s="25"/>
      <c r="BG75" s="25"/>
      <c r="BH75" s="25"/>
      <c r="BI75" s="25"/>
      <c r="BJ75" s="25"/>
      <c r="BK75" s="25"/>
      <c r="BM75" s="25"/>
      <c r="BN75" s="25"/>
      <c r="BO75" s="25"/>
      <c r="BP75" s="25"/>
      <c r="BQ75" s="25"/>
      <c r="BR75" s="25"/>
      <c r="BU75" s="25"/>
      <c r="BV75" s="25"/>
      <c r="BW75" s="25"/>
      <c r="BX75" s="25"/>
      <c r="BY75" s="25"/>
      <c r="BZ75" s="25"/>
      <c r="CB75" s="25"/>
      <c r="CC75" s="25"/>
      <c r="CD75" s="25"/>
      <c r="CE75" s="25"/>
      <c r="CF75" s="25"/>
      <c r="CG75" s="25"/>
    </row>
    <row r="76" spans="1:88" ht="14" customHeight="1" thickBot="1">
      <c r="A76" s="1" t="s">
        <v>32</v>
      </c>
      <c r="B76" s="81">
        <f>B65</f>
        <v>32093.333333333336</v>
      </c>
      <c r="C76" s="39"/>
      <c r="D76" s="38"/>
      <c r="E76" s="32"/>
      <c r="F76" s="32"/>
      <c r="G76" s="32"/>
      <c r="H76" s="31"/>
      <c r="I76" s="39">
        <f>I130*I$83</f>
        <v>11118.140000000001</v>
      </c>
      <c r="J76" s="51">
        <f t="shared" si="44"/>
        <v>11118.140000000001</v>
      </c>
      <c r="K76" s="40">
        <f>SUM(K70:K75)</f>
        <v>2.292577143534376</v>
      </c>
      <c r="L76" s="22">
        <f>SUM(L70:L75)</f>
        <v>0.3671125882841712</v>
      </c>
      <c r="M76" s="24">
        <f>SUM(M70:M75)</f>
        <v>0.34643144993768177</v>
      </c>
      <c r="O76" s="2"/>
      <c r="P76" s="2"/>
      <c r="Q76" s="2"/>
      <c r="R76" s="2"/>
      <c r="S76" s="2"/>
      <c r="T76" s="2"/>
      <c r="U76" s="56"/>
      <c r="V76" s="56"/>
      <c r="W76" s="110"/>
      <c r="X76" s="189"/>
      <c r="Y76" s="189"/>
      <c r="Z76" s="137"/>
      <c r="AA76" s="154">
        <f>AA65</f>
        <v>1204.06</v>
      </c>
      <c r="AB76" s="137"/>
      <c r="AC76" s="153">
        <f>AC65</f>
        <v>1204.06</v>
      </c>
      <c r="AD76" s="137"/>
      <c r="AE76" s="153">
        <f>AE65</f>
        <v>1204.06</v>
      </c>
      <c r="AF76" s="137"/>
      <c r="AG76" s="153">
        <f>AG65</f>
        <v>1204.06</v>
      </c>
      <c r="AH76" s="137"/>
      <c r="AI76" s="153">
        <f>SUM(AA76,AC76,AE76,AG76)</f>
        <v>4816.24</v>
      </c>
      <c r="AJ76" s="154">
        <f>SUM(AA76,AC76)</f>
        <v>2408.12</v>
      </c>
      <c r="AK76" s="154">
        <f>SUM(AE76,AG76)</f>
        <v>2408.12</v>
      </c>
      <c r="AP76" s="25"/>
      <c r="AQ76" s="25"/>
      <c r="AR76" s="25"/>
      <c r="AS76" s="25"/>
      <c r="AT76" s="25"/>
      <c r="AU76" s="25"/>
      <c r="AW76" s="25"/>
      <c r="AX76" s="25"/>
      <c r="AY76" s="25"/>
      <c r="AZ76" s="25"/>
      <c r="BA76" s="25"/>
      <c r="BB76" s="25"/>
      <c r="BF76" s="25"/>
      <c r="BG76" s="25"/>
      <c r="BH76" s="25"/>
      <c r="BI76" s="25"/>
      <c r="BJ76" s="25"/>
      <c r="BK76" s="25"/>
      <c r="BM76" s="25"/>
      <c r="BN76" s="25"/>
      <c r="BO76" s="25"/>
      <c r="BP76" s="25"/>
      <c r="BQ76" s="25"/>
      <c r="BR76" s="25"/>
      <c r="BU76" s="25"/>
      <c r="BV76" s="25"/>
      <c r="BW76" s="25"/>
      <c r="BX76" s="25"/>
      <c r="BY76" s="25"/>
      <c r="BZ76" s="25"/>
      <c r="CB76" s="25"/>
      <c r="CC76" s="25"/>
      <c r="CD76" s="25"/>
      <c r="CE76" s="25"/>
      <c r="CF76" s="25"/>
      <c r="CG76" s="25"/>
    </row>
    <row r="77" spans="1:88" ht="14" customHeight="1" thickBot="1">
      <c r="A77" s="99" t="s">
        <v>36</v>
      </c>
      <c r="B77" s="81"/>
      <c r="C77" s="39"/>
      <c r="D77" s="38"/>
      <c r="E77" s="32"/>
      <c r="F77" s="32"/>
      <c r="G77" s="32"/>
      <c r="H77" s="31"/>
      <c r="I77" s="39">
        <f>I131*I$83</f>
        <v>35635.098045520754</v>
      </c>
      <c r="J77" s="100">
        <f t="shared" si="44"/>
        <v>35635.098045520754</v>
      </c>
      <c r="K77" s="40"/>
      <c r="L77" s="22">
        <f>-(L131*G$37*F$9/F$7)/B$130</f>
        <v>-1.1103582689713569</v>
      </c>
      <c r="M77" s="24">
        <f>-J77/B$76</f>
        <v>-1.1103582689713569</v>
      </c>
      <c r="O77" s="2"/>
      <c r="P77" s="2"/>
      <c r="Q77" s="2"/>
      <c r="R77" s="2"/>
      <c r="S77" s="2"/>
      <c r="T77" s="2"/>
      <c r="U77" s="56"/>
      <c r="V77" s="56"/>
      <c r="W77" s="110"/>
      <c r="X77" s="110"/>
      <c r="Y77" s="161" t="s">
        <v>102</v>
      </c>
      <c r="Z77" s="159"/>
      <c r="AA77" s="111">
        <f>AA31*$I$83/4</f>
        <v>1575.4750000000008</v>
      </c>
      <c r="AB77" s="112"/>
      <c r="AC77" s="111">
        <f>AC31*$I$83/4</f>
        <v>3504.8062955123887</v>
      </c>
      <c r="AD77" s="112"/>
      <c r="AE77" s="111">
        <f>AE31*$I$83/4</f>
        <v>4323.1805296490875</v>
      </c>
      <c r="AF77" s="112"/>
      <c r="AG77" s="111">
        <f>AG31*$I$83/4</f>
        <v>4181.2955117475858</v>
      </c>
      <c r="AH77" s="110"/>
      <c r="AI77" s="154">
        <f>SUM(AA77,AC77,AE77,AG77)</f>
        <v>13584.757336909064</v>
      </c>
      <c r="AJ77" s="153">
        <f>SUM(AA77,AC77)</f>
        <v>5080.28129551239</v>
      </c>
      <c r="AK77" s="160">
        <f>SUM(AE77,AG77)</f>
        <v>8504.4760413966724</v>
      </c>
      <c r="AP77" s="25"/>
      <c r="AQ77" s="25"/>
      <c r="AR77" s="25"/>
      <c r="AS77" s="25"/>
      <c r="AT77" s="25"/>
      <c r="AU77" s="25"/>
      <c r="AW77" s="25"/>
      <c r="AX77" s="25"/>
      <c r="AY77" s="25"/>
      <c r="AZ77" s="25"/>
      <c r="BA77" s="25"/>
      <c r="BB77" s="25"/>
      <c r="BF77" s="25"/>
      <c r="BG77" s="25"/>
      <c r="BH77" s="25"/>
      <c r="BI77" s="25"/>
      <c r="BJ77" s="25"/>
      <c r="BK77" s="25"/>
      <c r="BM77" s="25"/>
      <c r="BN77" s="25"/>
      <c r="BO77" s="25"/>
      <c r="BP77" s="25"/>
      <c r="BQ77" s="25"/>
      <c r="BR77" s="25"/>
      <c r="BU77" s="25"/>
      <c r="BV77" s="25"/>
      <c r="BW77" s="25"/>
      <c r="BX77" s="25"/>
      <c r="BY77" s="25"/>
      <c r="BZ77" s="25"/>
      <c r="CB77" s="25"/>
      <c r="CC77" s="25"/>
      <c r="CD77" s="25"/>
      <c r="CE77" s="25"/>
      <c r="CF77" s="25"/>
      <c r="CG77" s="25"/>
    </row>
    <row r="78" spans="1:88" ht="14" customHeight="1">
      <c r="A78" s="82" t="s">
        <v>37</v>
      </c>
      <c r="B78" s="39"/>
      <c r="C78" s="39"/>
      <c r="D78" s="38"/>
      <c r="E78" s="32"/>
      <c r="F78" s="32"/>
      <c r="G78" s="32"/>
      <c r="H78" s="31"/>
      <c r="I78" s="47"/>
      <c r="J78" s="48"/>
      <c r="K78" s="32"/>
      <c r="L78" s="32"/>
      <c r="M78" s="48"/>
      <c r="N78" s="2"/>
      <c r="O78" s="2"/>
      <c r="P78" s="2"/>
      <c r="Q78" s="2"/>
      <c r="R78" s="2"/>
      <c r="S78" s="2"/>
      <c r="T78" s="2"/>
      <c r="U78" s="56"/>
      <c r="V78" s="56"/>
      <c r="W78" s="110"/>
      <c r="X78" s="110"/>
      <c r="Y78" s="161" t="s">
        <v>103</v>
      </c>
      <c r="Z78" s="110"/>
      <c r="AA78" s="112">
        <f>IF(SUM(AG6:AG29)+((AG65-AG70-$J$75)*4/I$83)&lt;1,0,AG65-AG70-$J$75-(1-SUM(AG6:AG29))*I$83/4)</f>
        <v>0</v>
      </c>
      <c r="AB78" s="112"/>
      <c r="AC78" s="112">
        <f>IF(AA75&lt;0,0,AA75)</f>
        <v>0</v>
      </c>
      <c r="AD78" s="112"/>
      <c r="AE78" s="112">
        <f>AC75</f>
        <v>0</v>
      </c>
      <c r="AF78" s="112"/>
      <c r="AG78" s="112">
        <f>AE75</f>
        <v>0</v>
      </c>
      <c r="AH78" s="110"/>
      <c r="AI78" s="146"/>
      <c r="AJ78" s="110"/>
      <c r="AK78" s="146"/>
      <c r="AP78" s="25"/>
      <c r="AQ78" s="25"/>
      <c r="AR78" s="25"/>
      <c r="AS78" s="25"/>
      <c r="AT78" s="25"/>
      <c r="AU78" s="25"/>
      <c r="AW78" s="25"/>
      <c r="AX78" s="25"/>
      <c r="AY78" s="25"/>
      <c r="AZ78" s="25"/>
      <c r="BA78" s="25"/>
      <c r="BB78" s="25"/>
      <c r="BF78" s="25"/>
      <c r="BG78" s="25"/>
      <c r="BH78" s="25"/>
      <c r="BI78" s="25"/>
      <c r="BJ78" s="25"/>
      <c r="BK78" s="25"/>
      <c r="BM78" s="25"/>
      <c r="BN78" s="25"/>
      <c r="BO78" s="25"/>
      <c r="BP78" s="25"/>
      <c r="BQ78" s="25"/>
      <c r="BR78" s="25"/>
      <c r="BU78" s="25"/>
      <c r="BV78" s="25"/>
      <c r="BW78" s="25"/>
      <c r="BX78" s="25"/>
      <c r="BY78" s="25"/>
      <c r="BZ78" s="25"/>
      <c r="CB78" s="25"/>
      <c r="CC78" s="25"/>
      <c r="CD78" s="25"/>
      <c r="CE78" s="25"/>
      <c r="CF78" s="25"/>
      <c r="CG78" s="25"/>
    </row>
    <row r="79" spans="1:88" ht="14" customHeight="1">
      <c r="A79" s="39" t="s">
        <v>38</v>
      </c>
      <c r="B79" s="230" t="s">
        <v>189</v>
      </c>
      <c r="C79" s="39"/>
      <c r="D79" s="38"/>
      <c r="E79" s="32"/>
      <c r="F79" s="32"/>
      <c r="G79" s="32"/>
      <c r="H79" s="31"/>
      <c r="I79" s="47"/>
      <c r="J79" s="48"/>
      <c r="K79" s="32"/>
      <c r="L79" s="32"/>
      <c r="M79" s="48"/>
      <c r="N79" s="32"/>
      <c r="O79" s="2"/>
      <c r="P79" s="2"/>
      <c r="Q79" s="2"/>
      <c r="R79" s="2"/>
      <c r="S79" s="2"/>
      <c r="T79" s="2"/>
      <c r="U79" s="56"/>
      <c r="V79" s="56"/>
      <c r="W79" s="110"/>
      <c r="X79" s="110"/>
      <c r="Y79" s="161" t="s">
        <v>63</v>
      </c>
      <c r="Z79" s="110"/>
      <c r="AA79" s="112">
        <f>AA65-AA70+IF(SUM(AG6:AG29)+((AG65-AG70-$J$75)*4/I$83)&lt;1,0,AG65-AG70-$J$75-(1-SUM(AG6:AG29))*I$83/4)</f>
        <v>-1575.4750000000004</v>
      </c>
      <c r="AB79" s="112"/>
      <c r="AC79" s="112">
        <f>AA79-AA74+AC65-AC70</f>
        <v>-1575.4750000000004</v>
      </c>
      <c r="AD79" s="112"/>
      <c r="AE79" s="112">
        <f>AC79-AC74+AE65-AE70</f>
        <v>-1575.4750000000004</v>
      </c>
      <c r="AF79" s="112"/>
      <c r="AG79" s="112">
        <f>AE79-AE74+AG65-AG70</f>
        <v>-1575.4750000000004</v>
      </c>
      <c r="AH79" s="110"/>
      <c r="AI79" s="146"/>
      <c r="AJ79" s="110"/>
      <c r="AK79" s="146"/>
      <c r="AS79" s="25"/>
      <c r="AT79" s="25"/>
      <c r="AU79" s="25"/>
      <c r="AV79" s="25"/>
      <c r="AW79" s="25"/>
      <c r="AX79" s="25"/>
      <c r="AZ79" s="25"/>
      <c r="BA79" s="25"/>
      <c r="BB79" s="25"/>
      <c r="BC79" s="25"/>
      <c r="BD79" s="25"/>
      <c r="BE79" s="25"/>
      <c r="BI79" s="25"/>
      <c r="BJ79" s="25"/>
      <c r="BK79" s="25"/>
      <c r="BL79" s="25"/>
      <c r="BM79" s="25"/>
      <c r="BN79" s="25"/>
      <c r="BP79" s="25"/>
      <c r="BQ79" s="25"/>
      <c r="BR79" s="25"/>
      <c r="BS79" s="25"/>
      <c r="BT79" s="25"/>
      <c r="BU79" s="25"/>
      <c r="BX79" s="25"/>
      <c r="BY79" s="25"/>
      <c r="BZ79" s="25"/>
      <c r="CA79" s="25"/>
      <c r="CB79" s="25"/>
      <c r="CC79" s="25"/>
      <c r="CE79" s="25"/>
      <c r="CF79" s="25"/>
      <c r="CG79" s="25"/>
      <c r="CH79" s="25"/>
      <c r="CI79" s="25"/>
      <c r="CJ79" s="25"/>
    </row>
    <row r="80" spans="1:88" ht="14" customHeight="1">
      <c r="A80" s="39" t="s">
        <v>39</v>
      </c>
      <c r="B80" s="105">
        <v>0.60121974522379507</v>
      </c>
      <c r="C80" s="39"/>
      <c r="D80" s="38"/>
      <c r="E80" s="32"/>
      <c r="F80" s="32"/>
      <c r="G80" s="32"/>
      <c r="H80" s="31"/>
      <c r="I80" s="47"/>
      <c r="J80" s="48"/>
      <c r="K80" s="32"/>
      <c r="L80" s="32"/>
      <c r="M80" s="48"/>
      <c r="N80" s="32"/>
      <c r="O80" s="2"/>
      <c r="P80" s="2"/>
      <c r="Q80" s="2"/>
      <c r="R80" s="2"/>
      <c r="S80" s="2"/>
      <c r="T80" s="2"/>
      <c r="U80" s="56"/>
      <c r="V80" s="56"/>
      <c r="W80" s="110"/>
      <c r="X80" s="110"/>
      <c r="Y80" s="110"/>
      <c r="Z80" s="110"/>
      <c r="AA80" s="110"/>
      <c r="AB80" s="110"/>
      <c r="AC80" s="110"/>
      <c r="AD80" s="110"/>
      <c r="AE80" s="110"/>
      <c r="AF80" s="110"/>
      <c r="AG80" s="110"/>
      <c r="AH80" s="110"/>
      <c r="AI80" s="146"/>
      <c r="AJ80" s="110"/>
      <c r="AK80" s="146"/>
      <c r="AS80" s="25"/>
      <c r="AT80" s="25"/>
      <c r="AU80" s="25"/>
      <c r="AV80" s="25"/>
      <c r="AW80" s="25"/>
      <c r="AX80" s="25"/>
      <c r="AZ80" s="25"/>
      <c r="BA80" s="25"/>
      <c r="BB80" s="25"/>
      <c r="BC80" s="25"/>
      <c r="BD80" s="25"/>
      <c r="BE80" s="25"/>
      <c r="BI80" s="25"/>
      <c r="BJ80" s="25"/>
      <c r="BK80" s="25"/>
      <c r="BL80" s="25"/>
      <c r="BM80" s="25"/>
      <c r="BN80" s="25"/>
      <c r="BP80" s="25"/>
      <c r="BQ80" s="25"/>
      <c r="BR80" s="25"/>
      <c r="BS80" s="25"/>
      <c r="BT80" s="25"/>
      <c r="BU80" s="25"/>
      <c r="BX80" s="25"/>
      <c r="BY80" s="25"/>
      <c r="BZ80" s="25"/>
      <c r="CA80" s="25"/>
      <c r="CB80" s="25"/>
      <c r="CC80" s="25"/>
      <c r="CE80" s="25"/>
      <c r="CF80" s="25"/>
      <c r="CG80" s="25"/>
      <c r="CH80" s="25"/>
      <c r="CI80" s="25"/>
      <c r="CJ80" s="25"/>
    </row>
    <row r="81" spans="1:88" ht="14" customHeight="1">
      <c r="A81" s="39" t="s">
        <v>40</v>
      </c>
      <c r="B81" s="230">
        <v>8</v>
      </c>
      <c r="C81" s="39"/>
      <c r="D81" s="38"/>
      <c r="E81" s="32"/>
      <c r="F81" s="32"/>
      <c r="G81" s="32"/>
      <c r="H81" s="31"/>
      <c r="I81" s="47"/>
      <c r="J81" s="48"/>
      <c r="K81" s="32"/>
      <c r="L81" s="32"/>
      <c r="M81" s="48"/>
      <c r="N81" s="32"/>
      <c r="O81" s="2"/>
      <c r="P81" s="2"/>
      <c r="Q81" s="2"/>
      <c r="R81" s="2"/>
      <c r="S81" s="2"/>
      <c r="T81" s="2"/>
      <c r="U81" s="56"/>
      <c r="V81" s="56"/>
      <c r="W81" s="110"/>
      <c r="X81" s="110"/>
      <c r="Y81" s="110"/>
      <c r="Z81" s="143" t="s">
        <v>64</v>
      </c>
      <c r="AA81" s="159"/>
      <c r="AB81" s="159"/>
      <c r="AC81" s="159"/>
      <c r="AD81" s="159"/>
      <c r="AE81" s="159"/>
      <c r="AF81" s="159"/>
      <c r="AG81" s="144"/>
      <c r="AH81" s="114" t="s">
        <v>65</v>
      </c>
      <c r="AI81" s="146"/>
      <c r="AJ81" s="110"/>
      <c r="AK81" s="146"/>
      <c r="AS81" s="25"/>
      <c r="AT81" s="25"/>
      <c r="AU81" s="25"/>
      <c r="AV81" s="25"/>
      <c r="AW81" s="25"/>
      <c r="AX81" s="25"/>
      <c r="AZ81" s="25"/>
      <c r="BA81" s="25"/>
      <c r="BB81" s="25"/>
      <c r="BC81" s="25"/>
      <c r="BD81" s="25"/>
      <c r="BE81" s="25"/>
      <c r="BI81" s="25"/>
      <c r="BJ81" s="25"/>
      <c r="BK81" s="25"/>
      <c r="BL81" s="25"/>
      <c r="BM81" s="25"/>
      <c r="BN81" s="25"/>
      <c r="BP81" s="25"/>
      <c r="BQ81" s="25"/>
      <c r="BR81" s="25"/>
      <c r="BS81" s="25"/>
      <c r="BT81" s="25"/>
      <c r="BU81" s="25"/>
      <c r="BX81" s="25"/>
      <c r="BY81" s="25"/>
      <c r="BZ81" s="25"/>
      <c r="CA81" s="25"/>
      <c r="CB81" s="25"/>
      <c r="CC81" s="25"/>
      <c r="CE81" s="25"/>
      <c r="CF81" s="25"/>
      <c r="CG81" s="25"/>
      <c r="CH81" s="25"/>
      <c r="CI81" s="25"/>
      <c r="CJ81" s="25"/>
    </row>
    <row r="82" spans="1:88" ht="14" customHeight="1">
      <c r="A82" s="39" t="s">
        <v>41</v>
      </c>
      <c r="B82" s="105">
        <v>5.8592428953253695</v>
      </c>
      <c r="C82" s="39"/>
      <c r="D82" s="38"/>
      <c r="E82" s="32"/>
      <c r="F82" s="32"/>
      <c r="G82" s="32"/>
      <c r="H82" s="31"/>
      <c r="I82" s="47"/>
      <c r="J82" s="48"/>
      <c r="K82" s="32"/>
      <c r="L82" s="32"/>
      <c r="M82" s="48"/>
      <c r="N82" s="32"/>
      <c r="O82" s="2"/>
      <c r="P82" s="2"/>
      <c r="Q82" s="2"/>
      <c r="R82" s="2"/>
      <c r="S82" s="2"/>
      <c r="T82" s="2"/>
      <c r="U82" s="56"/>
      <c r="V82" s="56"/>
      <c r="X82" s="110"/>
      <c r="Y82" s="161" t="s">
        <v>66</v>
      </c>
      <c r="Z82" s="162">
        <f>IF($AH$82=0,0,AA82/$AH$82)</f>
        <v>1</v>
      </c>
      <c r="AA82" s="193">
        <f>Poor!AA82</f>
        <v>5.6000000000000005</v>
      </c>
      <c r="AB82" s="162">
        <f>IF($AH$82=0,0,AC82/$AH$82)</f>
        <v>1</v>
      </c>
      <c r="AC82" s="193">
        <f>Poor!AC82</f>
        <v>5.6000000000000005</v>
      </c>
      <c r="AD82" s="162">
        <f>IF($AH$82=0,0,AE82/$AH$82)</f>
        <v>1</v>
      </c>
      <c r="AE82" s="193">
        <f>Poor!AE82</f>
        <v>5.6000000000000005</v>
      </c>
      <c r="AF82" s="162">
        <f>IF($AH$82=0,0,AG82/$AH$82)</f>
        <v>1</v>
      </c>
      <c r="AG82" s="193">
        <f>Poor!AG82</f>
        <v>5.6000000000000005</v>
      </c>
      <c r="AH82" s="164">
        <f>IF(PRODUCT(AA82,AC82,AE82,AG82)=0,0,SUM(AA82,AC82,AE82,AG82)/4)</f>
        <v>5.6000000000000005</v>
      </c>
      <c r="AI82" s="146"/>
      <c r="AJ82" s="110"/>
      <c r="AK82" s="146"/>
      <c r="AS82" s="25"/>
      <c r="AT82" s="25"/>
      <c r="AU82" s="25"/>
      <c r="AV82" s="25"/>
      <c r="AW82" s="25"/>
      <c r="AX82" s="25"/>
      <c r="AZ82" s="25"/>
      <c r="BA82" s="25"/>
      <c r="BB82" s="25"/>
      <c r="BC82" s="25"/>
      <c r="BD82" s="25"/>
      <c r="BE82" s="25"/>
      <c r="BI82" s="25"/>
      <c r="BJ82" s="25"/>
      <c r="BK82" s="25"/>
      <c r="BL82" s="25"/>
      <c r="BM82" s="25"/>
      <c r="BN82" s="25"/>
      <c r="BP82" s="25"/>
      <c r="BQ82" s="25"/>
      <c r="BR82" s="25"/>
      <c r="BS82" s="25"/>
      <c r="BT82" s="25"/>
      <c r="BU82" s="25"/>
      <c r="BX82" s="25"/>
      <c r="BY82" s="25"/>
      <c r="BZ82" s="25"/>
      <c r="CA82" s="25"/>
      <c r="CB82" s="25"/>
      <c r="CC82" s="25"/>
      <c r="CE82" s="25"/>
      <c r="CF82" s="25"/>
      <c r="CG82" s="25"/>
      <c r="CH82" s="25"/>
      <c r="CI82" s="25"/>
      <c r="CJ82" s="25"/>
    </row>
    <row r="83" spans="1:88" ht="14" customHeight="1">
      <c r="A83" s="39" t="s">
        <v>42</v>
      </c>
      <c r="B83" s="39">
        <f>365*B80*B81*B82</f>
        <v>10286.262160537002</v>
      </c>
      <c r="C83" s="39"/>
      <c r="D83" s="38"/>
      <c r="E83" s="32"/>
      <c r="F83" s="32"/>
      <c r="G83" s="32"/>
      <c r="H83" s="24">
        <f>G$37*F$9/F$7</f>
        <v>1.65</v>
      </c>
      <c r="I83" s="39">
        <f xml:space="preserve"> B83*H83</f>
        <v>16972.332564886052</v>
      </c>
      <c r="J83" s="48"/>
      <c r="K83" s="32"/>
      <c r="L83" s="32"/>
      <c r="M83" s="48"/>
      <c r="N83" s="32"/>
      <c r="O83" s="2"/>
      <c r="P83" s="2"/>
      <c r="Q83" s="2"/>
      <c r="R83" s="2"/>
      <c r="S83" s="2"/>
      <c r="T83" s="2"/>
      <c r="U83" s="56"/>
      <c r="V83" s="56"/>
      <c r="X83" s="110"/>
      <c r="Y83" s="161" t="s">
        <v>130</v>
      </c>
      <c r="Z83" s="110"/>
      <c r="AA83" s="165">
        <f>$I$83*Z82/4</f>
        <v>4243.083141221513</v>
      </c>
      <c r="AB83" s="112"/>
      <c r="AC83" s="165">
        <f>$I$83*AB82/4</f>
        <v>4243.083141221513</v>
      </c>
      <c r="AD83" s="112"/>
      <c r="AE83" s="165">
        <f>$I$83*AD82/4</f>
        <v>4243.083141221513</v>
      </c>
      <c r="AF83" s="112"/>
      <c r="AG83" s="165">
        <f>$I$83*AF82/4</f>
        <v>4243.083141221513</v>
      </c>
      <c r="AH83" s="165">
        <f>SUM(AA83,AC83,AE83,AG83)</f>
        <v>16972.332564886052</v>
      </c>
      <c r="AI83" s="146"/>
      <c r="AJ83" s="110"/>
      <c r="AK83" s="146"/>
      <c r="AS83" s="25"/>
      <c r="AT83" s="25"/>
      <c r="AU83" s="25"/>
      <c r="AV83" s="25"/>
      <c r="AW83" s="25"/>
      <c r="AX83" s="25"/>
      <c r="AZ83" s="25"/>
      <c r="BA83" s="25"/>
      <c r="BB83" s="25"/>
      <c r="BC83" s="25"/>
      <c r="BD83" s="25"/>
      <c r="BE83" s="25"/>
      <c r="BI83" s="25"/>
      <c r="BJ83" s="25"/>
      <c r="BK83" s="25"/>
      <c r="BL83" s="25"/>
      <c r="BM83" s="25"/>
      <c r="BN83" s="25"/>
      <c r="BP83" s="25"/>
      <c r="BQ83" s="25"/>
      <c r="BR83" s="25"/>
      <c r="BS83" s="25"/>
      <c r="BT83" s="25"/>
      <c r="BU83" s="25"/>
      <c r="BX83" s="25"/>
      <c r="BY83" s="25"/>
      <c r="BZ83" s="25"/>
      <c r="CA83" s="25"/>
      <c r="CB83" s="25"/>
      <c r="CC83" s="25"/>
      <c r="CE83" s="25"/>
      <c r="CF83" s="25"/>
      <c r="CG83" s="25"/>
      <c r="CH83" s="25"/>
      <c r="CI83" s="25"/>
      <c r="CJ83" s="25"/>
    </row>
    <row r="84" spans="1:88" ht="14" customHeight="1" thickBot="1">
      <c r="A84" s="46" t="s">
        <v>136</v>
      </c>
      <c r="B84" s="234">
        <f>B70+((1-D29)*B83)</f>
        <v>27486.46738189508</v>
      </c>
      <c r="C84" s="46"/>
      <c r="D84" s="235"/>
      <c r="E84" s="64"/>
      <c r="F84" s="64"/>
      <c r="G84" s="64"/>
      <c r="H84" s="236">
        <f>IF(B84=0,0,I84/B84)</f>
        <v>1.4725410554042833</v>
      </c>
      <c r="I84" s="234">
        <f>(B70*H70)+((1-(D29*H29))*I83)</f>
        <v>40474.951687871187</v>
      </c>
      <c r="J84" s="48"/>
      <c r="K84" s="32"/>
      <c r="L84" s="32"/>
      <c r="M84" s="48"/>
      <c r="N84" s="32"/>
      <c r="O84" s="2"/>
      <c r="P84" s="2"/>
      <c r="Q84" s="2"/>
      <c r="R84" s="2"/>
      <c r="S84" s="2"/>
      <c r="T84" s="2"/>
      <c r="U84" s="56"/>
      <c r="V84" s="56"/>
      <c r="X84" s="110"/>
      <c r="Y84" s="161"/>
      <c r="Z84" s="110"/>
      <c r="AA84" s="110"/>
      <c r="AB84" s="110"/>
      <c r="AC84" s="110"/>
      <c r="AD84" s="110"/>
      <c r="AE84" s="110"/>
      <c r="AF84" s="110"/>
      <c r="AG84" s="110"/>
      <c r="AH84" s="110"/>
      <c r="AI84" s="146"/>
      <c r="AJ84" s="110"/>
      <c r="AK84" s="146"/>
      <c r="AS84" s="25"/>
      <c r="AT84" s="25"/>
      <c r="AU84" s="25"/>
      <c r="AV84" s="25"/>
      <c r="AW84" s="25"/>
      <c r="AX84" s="25"/>
      <c r="AZ84" s="25"/>
      <c r="BA84" s="25"/>
      <c r="BB84" s="25"/>
      <c r="BC84" s="25"/>
      <c r="BD84" s="25"/>
      <c r="BE84" s="25"/>
      <c r="BI84" s="25"/>
      <c r="BJ84" s="25"/>
      <c r="BK84" s="25"/>
      <c r="BL84" s="25"/>
      <c r="BM84" s="25"/>
      <c r="BN84" s="25"/>
      <c r="BP84" s="25"/>
      <c r="BQ84" s="25"/>
      <c r="BR84" s="25"/>
      <c r="BS84" s="25"/>
      <c r="BT84" s="25"/>
      <c r="BU84" s="25"/>
      <c r="BX84" s="25"/>
      <c r="BY84" s="25"/>
      <c r="BZ84" s="25"/>
      <c r="CA84" s="25"/>
      <c r="CB84" s="25"/>
      <c r="CC84" s="25"/>
      <c r="CE84" s="25"/>
      <c r="CF84" s="25"/>
      <c r="CG84" s="25"/>
      <c r="CH84" s="25"/>
      <c r="CI84" s="25"/>
      <c r="CJ84" s="25"/>
    </row>
    <row r="85" spans="1:88" ht="14" customHeight="1" thickBot="1">
      <c r="A85" s="39" t="s">
        <v>43</v>
      </c>
      <c r="B85" s="39"/>
      <c r="C85" s="39"/>
      <c r="D85" s="38"/>
      <c r="E85" s="32"/>
      <c r="F85" s="32"/>
      <c r="G85" s="32"/>
      <c r="H85" s="31"/>
      <c r="I85" s="47"/>
      <c r="J85" s="48"/>
      <c r="K85" s="32"/>
      <c r="L85" s="32"/>
      <c r="M85" s="48"/>
      <c r="N85" s="32"/>
      <c r="O85" s="2"/>
      <c r="P85" s="2"/>
      <c r="Q85" s="2"/>
      <c r="R85" s="2"/>
      <c r="S85" s="2"/>
      <c r="T85" s="2"/>
      <c r="U85" s="56"/>
      <c r="V85" s="56"/>
      <c r="X85" s="110"/>
      <c r="Y85" s="161"/>
      <c r="Z85" s="110"/>
      <c r="AA85" s="113"/>
      <c r="AB85" s="110"/>
      <c r="AC85" s="113"/>
      <c r="AD85" s="110"/>
      <c r="AE85" s="113"/>
      <c r="AF85" s="110"/>
      <c r="AG85" s="113"/>
      <c r="AH85" s="110"/>
      <c r="AI85" s="190"/>
      <c r="AJ85" s="191"/>
      <c r="AK85" s="192"/>
      <c r="AS85" s="25"/>
      <c r="AT85" s="25"/>
      <c r="AU85" s="25"/>
      <c r="AV85" s="25"/>
      <c r="AW85" s="25"/>
      <c r="AX85" s="25"/>
      <c r="AZ85" s="25"/>
      <c r="BA85" s="25"/>
      <c r="BB85" s="25"/>
      <c r="BC85" s="25"/>
      <c r="BD85" s="25"/>
      <c r="BE85" s="25"/>
      <c r="BI85" s="25"/>
      <c r="BJ85" s="25"/>
      <c r="BK85" s="25"/>
      <c r="BL85" s="25"/>
      <c r="BM85" s="25"/>
      <c r="BN85" s="25"/>
      <c r="BP85" s="25"/>
      <c r="BQ85" s="25"/>
      <c r="BR85" s="25"/>
      <c r="BS85" s="25"/>
      <c r="BT85" s="25"/>
      <c r="BU85" s="25"/>
      <c r="BX85" s="25"/>
      <c r="BY85" s="25"/>
      <c r="BZ85" s="25"/>
      <c r="CA85" s="25"/>
      <c r="CB85" s="25"/>
      <c r="CC85" s="25"/>
      <c r="CE85" s="25"/>
      <c r="CF85" s="25"/>
      <c r="CG85" s="25"/>
      <c r="CH85" s="25"/>
      <c r="CI85" s="25"/>
      <c r="CJ85" s="25"/>
    </row>
    <row r="86" spans="1:88" ht="14" customHeight="1">
      <c r="A86" s="106"/>
      <c r="B86" s="107"/>
      <c r="C86" s="39"/>
      <c r="D86" s="38"/>
      <c r="E86" s="32"/>
      <c r="F86" s="32"/>
      <c r="G86" s="32"/>
      <c r="H86" s="31"/>
      <c r="I86" s="47"/>
      <c r="J86" s="48"/>
      <c r="K86" s="32"/>
      <c r="L86" s="32"/>
      <c r="M86" s="48"/>
      <c r="N86" s="32"/>
      <c r="O86" s="2"/>
      <c r="P86" s="2"/>
      <c r="Q86" s="2"/>
      <c r="R86" s="2"/>
      <c r="S86" s="2"/>
      <c r="T86" s="2"/>
      <c r="U86" s="2"/>
      <c r="V86" s="2"/>
      <c r="W86" s="2"/>
      <c r="X86" s="2"/>
      <c r="Y86" s="56"/>
      <c r="Z86" s="56"/>
      <c r="AA86" s="41"/>
      <c r="AB86" s="56"/>
      <c r="AC86" s="41"/>
      <c r="AD86" s="56"/>
      <c r="AE86" s="41"/>
      <c r="AF86" s="56"/>
      <c r="AG86" s="41"/>
      <c r="AH86" s="67"/>
      <c r="AI86" s="67"/>
      <c r="AJ86" s="67"/>
      <c r="AS86" s="25"/>
      <c r="AT86" s="25"/>
      <c r="AU86" s="25"/>
      <c r="AV86" s="25"/>
      <c r="AW86" s="25"/>
      <c r="AX86" s="25"/>
      <c r="AZ86" s="25"/>
      <c r="BA86" s="25"/>
      <c r="BB86" s="25"/>
      <c r="BC86" s="25"/>
      <c r="BD86" s="25"/>
      <c r="BE86" s="25"/>
      <c r="BI86" s="25"/>
      <c r="BJ86" s="25"/>
      <c r="BK86" s="25"/>
      <c r="BL86" s="25"/>
      <c r="BM86" s="25"/>
      <c r="BN86" s="25"/>
      <c r="BP86" s="25"/>
      <c r="BQ86" s="25"/>
      <c r="BR86" s="25"/>
      <c r="BS86" s="25"/>
      <c r="BT86" s="25"/>
      <c r="BU86" s="25"/>
      <c r="BX86" s="25"/>
      <c r="BY86" s="25"/>
      <c r="BZ86" s="25"/>
      <c r="CA86" s="25"/>
      <c r="CB86" s="25"/>
      <c r="CC86" s="25"/>
      <c r="CE86" s="25"/>
      <c r="CF86" s="25"/>
      <c r="CG86" s="25"/>
      <c r="CH86" s="25"/>
      <c r="CI86" s="25"/>
      <c r="CJ86" s="25"/>
    </row>
    <row r="87" spans="1:88" ht="14" customHeight="1">
      <c r="A87" s="39" t="s">
        <v>123</v>
      </c>
      <c r="B87" s="75"/>
      <c r="C87" s="14"/>
      <c r="D87" s="12"/>
      <c r="E87" s="14"/>
      <c r="F87" s="14"/>
      <c r="G87" s="14"/>
      <c r="H87" s="12"/>
      <c r="I87" s="14"/>
      <c r="J87" s="12"/>
      <c r="K87" s="14"/>
      <c r="L87" s="14"/>
      <c r="M87" s="10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59"/>
      <c r="Z87" s="56"/>
      <c r="AA87" s="67"/>
      <c r="AB87" s="67"/>
      <c r="AC87" s="67"/>
      <c r="AD87" s="67"/>
      <c r="AE87" s="67"/>
      <c r="AF87" s="67"/>
      <c r="AG87" s="67"/>
      <c r="AH87" s="67"/>
      <c r="AI87" s="67"/>
      <c r="AJ87" s="67"/>
      <c r="AS87" s="25"/>
      <c r="AT87" s="25"/>
      <c r="AU87" s="25"/>
      <c r="AV87" s="25"/>
      <c r="AW87" s="25"/>
      <c r="AX87" s="25"/>
      <c r="AZ87" s="25"/>
      <c r="BA87" s="25"/>
      <c r="BB87" s="25"/>
      <c r="BC87" s="25"/>
      <c r="BD87" s="25"/>
      <c r="BE87" s="25"/>
      <c r="BI87" s="25"/>
      <c r="BJ87" s="25"/>
      <c r="BK87" s="25"/>
      <c r="BL87" s="25"/>
      <c r="BM87" s="25"/>
      <c r="BN87" s="25"/>
      <c r="BP87" s="25"/>
      <c r="BQ87" s="25"/>
      <c r="BR87" s="25"/>
      <c r="BS87" s="25"/>
      <c r="BT87" s="25"/>
      <c r="BU87" s="25"/>
      <c r="BX87" s="25"/>
      <c r="BY87" s="25"/>
      <c r="BZ87" s="25"/>
      <c r="CA87" s="25"/>
      <c r="CB87" s="25"/>
      <c r="CC87" s="25"/>
      <c r="CE87" s="25"/>
      <c r="CF87" s="25"/>
      <c r="CG87" s="25"/>
      <c r="CH87" s="25"/>
      <c r="CI87" s="25"/>
      <c r="CJ87" s="25"/>
    </row>
    <row r="88" spans="1:88" ht="15.75" customHeight="1">
      <c r="A88" s="73" t="str">
        <f>A34</f>
        <v>Income : Very Poor HHs</v>
      </c>
      <c r="B88" s="2"/>
      <c r="C88" s="2"/>
      <c r="D88" s="31"/>
      <c r="E88" s="2"/>
      <c r="F88" s="2"/>
      <c r="G88" s="2"/>
      <c r="H88" s="17"/>
      <c r="I88" s="2"/>
      <c r="J88" s="33"/>
      <c r="M88" s="57"/>
      <c r="N88" s="58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S88" s="25"/>
      <c r="AT88" s="25"/>
      <c r="AU88" s="25"/>
      <c r="AV88" s="25"/>
      <c r="AW88" s="25"/>
      <c r="AX88" s="25"/>
      <c r="AZ88" s="25"/>
      <c r="BA88" s="25"/>
      <c r="BB88" s="25"/>
      <c r="BC88" s="25"/>
      <c r="BD88" s="25"/>
      <c r="BE88" s="25"/>
      <c r="BI88" s="25"/>
      <c r="BJ88" s="25"/>
      <c r="BK88" s="25"/>
      <c r="BL88" s="25"/>
      <c r="BM88" s="25"/>
      <c r="BN88" s="25"/>
      <c r="BP88" s="25"/>
      <c r="BQ88" s="25"/>
      <c r="BR88" s="25"/>
      <c r="BS88" s="25"/>
      <c r="BT88" s="25"/>
      <c r="BU88" s="25"/>
      <c r="BX88" s="25"/>
      <c r="BY88" s="25"/>
      <c r="BZ88" s="25"/>
      <c r="CA88" s="25"/>
      <c r="CB88" s="25"/>
      <c r="CC88" s="25"/>
      <c r="CE88" s="25"/>
      <c r="CF88" s="25"/>
      <c r="CG88" s="25"/>
      <c r="CH88" s="25"/>
      <c r="CI88" s="25"/>
      <c r="CJ88" s="25"/>
    </row>
    <row r="89" spans="1:88" ht="14" customHeight="1">
      <c r="A89" s="2"/>
      <c r="B89" s="19" t="s">
        <v>7</v>
      </c>
      <c r="C89" s="19" t="s">
        <v>8</v>
      </c>
      <c r="D89" s="16" t="s">
        <v>9</v>
      </c>
      <c r="H89" s="16" t="s">
        <v>12</v>
      </c>
      <c r="I89" s="19" t="s">
        <v>13</v>
      </c>
      <c r="J89" s="16" t="s">
        <v>14</v>
      </c>
      <c r="K89" s="19" t="s">
        <v>7</v>
      </c>
      <c r="L89" s="19" t="s">
        <v>15</v>
      </c>
      <c r="M89" s="57" t="str">
        <f t="shared" ref="M89:M119" si="49">(J89)</f>
        <v>Curr.</v>
      </c>
      <c r="N89" s="58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S89" s="25"/>
      <c r="AT89" s="25"/>
      <c r="AU89" s="25"/>
      <c r="AV89" s="25"/>
      <c r="AW89" s="25"/>
      <c r="AX89" s="25"/>
      <c r="AZ89" s="25"/>
      <c r="BA89" s="25"/>
      <c r="BB89" s="25"/>
      <c r="BC89" s="25"/>
      <c r="BD89" s="25"/>
      <c r="BE89" s="25"/>
      <c r="BI89" s="25"/>
      <c r="BJ89" s="25"/>
      <c r="BK89" s="25"/>
      <c r="BL89" s="25"/>
      <c r="BM89" s="25"/>
      <c r="BN89" s="25"/>
      <c r="BP89" s="25"/>
      <c r="BQ89" s="25"/>
      <c r="BR89" s="25"/>
      <c r="BS89" s="25"/>
      <c r="BT89" s="25"/>
      <c r="BU89" s="25"/>
      <c r="BX89" s="25"/>
      <c r="BY89" s="25"/>
      <c r="BZ89" s="25"/>
      <c r="CA89" s="25"/>
      <c r="CB89" s="25"/>
      <c r="CC89" s="25"/>
      <c r="CE89" s="25"/>
      <c r="CF89" s="25"/>
      <c r="CG89" s="25"/>
      <c r="CH89" s="25"/>
      <c r="CI89" s="25"/>
      <c r="CJ89" s="25"/>
    </row>
    <row r="90" spans="1:88" ht="14" customHeight="1">
      <c r="A90" s="2" t="s">
        <v>44</v>
      </c>
      <c r="B90" s="19" t="s">
        <v>16</v>
      </c>
      <c r="C90" s="19" t="s">
        <v>17</v>
      </c>
      <c r="D90" s="16" t="s">
        <v>16</v>
      </c>
      <c r="H90" s="16" t="s">
        <v>18</v>
      </c>
      <c r="I90" s="19" t="s">
        <v>16</v>
      </c>
      <c r="J90" s="16" t="s">
        <v>16</v>
      </c>
      <c r="K90" s="19" t="s">
        <v>16</v>
      </c>
      <c r="L90" s="19" t="s">
        <v>19</v>
      </c>
      <c r="M90" s="57" t="str">
        <f t="shared" si="49"/>
        <v>Access</v>
      </c>
      <c r="N90" s="58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S90" s="25"/>
      <c r="AT90" s="25"/>
      <c r="AU90" s="25"/>
      <c r="AV90" s="25"/>
      <c r="AW90" s="25"/>
      <c r="AX90" s="25"/>
      <c r="AZ90" s="25"/>
      <c r="BA90" s="25"/>
      <c r="BB90" s="25"/>
      <c r="BC90" s="25"/>
      <c r="BD90" s="25"/>
      <c r="BE90" s="25"/>
      <c r="BI90" s="25"/>
      <c r="BJ90" s="25"/>
      <c r="BK90" s="25"/>
      <c r="BL90" s="25"/>
      <c r="BM90" s="25"/>
      <c r="BN90" s="25"/>
      <c r="BP90" s="25"/>
      <c r="BQ90" s="25"/>
      <c r="BR90" s="25"/>
      <c r="BS90" s="25"/>
      <c r="BT90" s="25"/>
      <c r="BU90" s="25"/>
      <c r="BX90" s="25"/>
      <c r="BY90" s="25"/>
      <c r="BZ90" s="25"/>
      <c r="CA90" s="25"/>
      <c r="CB90" s="25"/>
      <c r="CC90" s="25"/>
      <c r="CE90" s="25"/>
      <c r="CF90" s="25"/>
      <c r="CG90" s="25"/>
      <c r="CH90" s="25"/>
      <c r="CI90" s="25"/>
      <c r="CJ90" s="25"/>
    </row>
    <row r="91" spans="1:88" ht="14" customHeight="1">
      <c r="A91" s="2" t="str">
        <f t="shared" ref="A91:A106" si="50">IF(A37="","",A37)</f>
        <v>Pig sales: no sold</v>
      </c>
      <c r="B91" s="75">
        <f t="shared" ref="B91:C118" si="51">(B37/$B$83)</f>
        <v>0</v>
      </c>
      <c r="C91" s="75">
        <f t="shared" si="51"/>
        <v>0</v>
      </c>
      <c r="D91" s="24">
        <f t="shared" ref="D91:D106" si="52">(B91+C91)</f>
        <v>0</v>
      </c>
      <c r="H91" s="24">
        <f t="shared" ref="H91:H106" si="53">(E37*F37/G37*F$7/F$9)</f>
        <v>0.57212121212121214</v>
      </c>
      <c r="I91" s="22">
        <f t="shared" ref="I91:I106" si="54">(D91*H91)</f>
        <v>0</v>
      </c>
      <c r="J91" s="24">
        <f t="shared" ref="J91:J99" si="55">IF(I$32&lt;=1+I$131,I91,L91+J$33*(I91-L91))</f>
        <v>0</v>
      </c>
      <c r="K91" s="22">
        <f t="shared" ref="K91:K106" si="56">(B91)</f>
        <v>0</v>
      </c>
      <c r="L91" s="22">
        <f t="shared" ref="L91:L106" si="57">(K91*H91)</f>
        <v>0</v>
      </c>
      <c r="M91" s="227">
        <f t="shared" si="49"/>
        <v>0</v>
      </c>
      <c r="N91" s="229">
        <v>5</v>
      </c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S91" s="25"/>
      <c r="AT91" s="25"/>
      <c r="AU91" s="25"/>
      <c r="AV91" s="25"/>
      <c r="AW91" s="25"/>
      <c r="AX91" s="25"/>
      <c r="AZ91" s="25"/>
      <c r="BA91" s="25"/>
      <c r="BB91" s="25"/>
      <c r="BC91" s="25"/>
      <c r="BD91" s="25"/>
      <c r="BE91" s="25"/>
      <c r="BI91" s="25"/>
      <c r="BJ91" s="25"/>
      <c r="BK91" s="25"/>
      <c r="BL91" s="25"/>
      <c r="BM91" s="25"/>
      <c r="BN91" s="25"/>
      <c r="BP91" s="25"/>
      <c r="BQ91" s="25"/>
      <c r="BR91" s="25"/>
      <c r="BS91" s="25"/>
      <c r="BT91" s="25"/>
      <c r="BU91" s="25"/>
      <c r="BX91" s="25"/>
      <c r="BY91" s="25"/>
      <c r="BZ91" s="25"/>
      <c r="CA91" s="25"/>
      <c r="CB91" s="25"/>
      <c r="CC91" s="25"/>
      <c r="CE91" s="25"/>
      <c r="CF91" s="25"/>
      <c r="CG91" s="25"/>
      <c r="CH91" s="25"/>
      <c r="CI91" s="25"/>
      <c r="CJ91" s="25"/>
    </row>
    <row r="92" spans="1:88" ht="14" customHeight="1">
      <c r="A92" s="2" t="str">
        <f t="shared" si="50"/>
        <v>Cattle sales - local: no. sold</v>
      </c>
      <c r="B92" s="75">
        <f t="shared" si="51"/>
        <v>0</v>
      </c>
      <c r="C92" s="75">
        <f t="shared" si="51"/>
        <v>0</v>
      </c>
      <c r="D92" s="24">
        <f t="shared" si="52"/>
        <v>0</v>
      </c>
      <c r="H92" s="24">
        <f t="shared" si="53"/>
        <v>0.57212121212121214</v>
      </c>
      <c r="I92" s="22">
        <f t="shared" si="54"/>
        <v>0</v>
      </c>
      <c r="J92" s="24">
        <f t="shared" si="55"/>
        <v>0</v>
      </c>
      <c r="K92" s="22">
        <f t="shared" si="56"/>
        <v>0</v>
      </c>
      <c r="L92" s="22">
        <f t="shared" si="57"/>
        <v>0</v>
      </c>
      <c r="M92" s="227">
        <f t="shared" si="49"/>
        <v>0</v>
      </c>
      <c r="N92" s="229">
        <v>5</v>
      </c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S92" s="25"/>
      <c r="AT92" s="25"/>
      <c r="AU92" s="25"/>
      <c r="AV92" s="25"/>
      <c r="AW92" s="25"/>
      <c r="AX92" s="25"/>
      <c r="AZ92" s="25"/>
      <c r="BA92" s="25"/>
      <c r="BB92" s="25"/>
      <c r="BC92" s="25"/>
      <c r="BD92" s="25"/>
      <c r="BE92" s="25"/>
      <c r="BI92" s="25"/>
      <c r="BJ92" s="25"/>
      <c r="BK92" s="25"/>
      <c r="BL92" s="25"/>
      <c r="BM92" s="25"/>
      <c r="BN92" s="25"/>
      <c r="BP92" s="25"/>
      <c r="BQ92" s="25"/>
      <c r="BR92" s="25"/>
      <c r="BS92" s="25"/>
      <c r="BT92" s="25"/>
      <c r="BU92" s="25"/>
      <c r="BX92" s="25"/>
      <c r="BY92" s="25"/>
      <c r="BZ92" s="25"/>
      <c r="CA92" s="25"/>
      <c r="CB92" s="25"/>
      <c r="CC92" s="25"/>
      <c r="CE92" s="25"/>
      <c r="CF92" s="25"/>
      <c r="CG92" s="25"/>
      <c r="CH92" s="25"/>
      <c r="CI92" s="25"/>
      <c r="CJ92" s="25"/>
    </row>
    <row r="93" spans="1:88" ht="14" customHeight="1">
      <c r="A93" s="2" t="str">
        <f t="shared" si="50"/>
        <v>Goat sales - local: no. sold</v>
      </c>
      <c r="B93" s="75">
        <f t="shared" si="51"/>
        <v>0</v>
      </c>
      <c r="C93" s="75">
        <f t="shared" si="51"/>
        <v>0</v>
      </c>
      <c r="D93" s="24">
        <f t="shared" si="52"/>
        <v>0</v>
      </c>
      <c r="H93" s="24">
        <f t="shared" si="53"/>
        <v>0.57212121212121214</v>
      </c>
      <c r="I93" s="22">
        <f t="shared" si="54"/>
        <v>0</v>
      </c>
      <c r="J93" s="24">
        <f t="shared" si="55"/>
        <v>0</v>
      </c>
      <c r="K93" s="22">
        <f t="shared" si="56"/>
        <v>0</v>
      </c>
      <c r="L93" s="22">
        <f t="shared" si="57"/>
        <v>0</v>
      </c>
      <c r="M93" s="227">
        <f t="shared" si="49"/>
        <v>0</v>
      </c>
      <c r="N93" s="229">
        <v>5</v>
      </c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S93" s="25"/>
      <c r="AT93" s="25"/>
      <c r="AU93" s="25"/>
      <c r="AV93" s="25"/>
      <c r="AW93" s="25"/>
      <c r="AX93" s="25"/>
      <c r="AZ93" s="25"/>
      <c r="BA93" s="25"/>
      <c r="BB93" s="25"/>
      <c r="BC93" s="25"/>
      <c r="BD93" s="25"/>
      <c r="BE93" s="25"/>
      <c r="BI93" s="25"/>
      <c r="BJ93" s="25"/>
      <c r="BK93" s="25"/>
      <c r="BL93" s="25"/>
      <c r="BM93" s="25"/>
      <c r="BN93" s="25"/>
      <c r="BP93" s="25"/>
      <c r="BQ93" s="25"/>
      <c r="BR93" s="25"/>
      <c r="BS93" s="25"/>
      <c r="BT93" s="25"/>
      <c r="BU93" s="25"/>
      <c r="BX93" s="25"/>
      <c r="BY93" s="25"/>
      <c r="BZ93" s="25"/>
      <c r="CA93" s="25"/>
      <c r="CB93" s="25"/>
      <c r="CC93" s="25"/>
      <c r="CE93" s="25"/>
      <c r="CF93" s="25"/>
      <c r="CG93" s="25"/>
      <c r="CH93" s="25"/>
      <c r="CI93" s="25"/>
      <c r="CJ93" s="25"/>
    </row>
    <row r="94" spans="1:88" ht="14" customHeight="1">
      <c r="A94" s="2" t="str">
        <f t="shared" si="50"/>
        <v>Chicken sales: no. sold</v>
      </c>
      <c r="B94" s="75">
        <f t="shared" si="51"/>
        <v>0</v>
      </c>
      <c r="C94" s="75">
        <f t="shared" si="51"/>
        <v>0</v>
      </c>
      <c r="D94" s="24">
        <f t="shared" si="52"/>
        <v>0</v>
      </c>
      <c r="H94" s="24">
        <f t="shared" si="53"/>
        <v>0.7151515151515152</v>
      </c>
      <c r="I94" s="22">
        <f t="shared" si="54"/>
        <v>0</v>
      </c>
      <c r="J94" s="24">
        <f t="shared" si="55"/>
        <v>0</v>
      </c>
      <c r="K94" s="22">
        <f t="shared" si="56"/>
        <v>0</v>
      </c>
      <c r="L94" s="22">
        <f t="shared" si="57"/>
        <v>0</v>
      </c>
      <c r="M94" s="228">
        <f t="shared" si="49"/>
        <v>0</v>
      </c>
      <c r="N94" s="229">
        <v>5</v>
      </c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S94" s="25"/>
      <c r="AT94" s="25"/>
      <c r="AU94" s="25"/>
      <c r="AV94" s="25"/>
      <c r="AW94" s="25"/>
      <c r="AX94" s="25"/>
      <c r="AZ94" s="25"/>
      <c r="BA94" s="25"/>
      <c r="BB94" s="25"/>
      <c r="BC94" s="25"/>
      <c r="BD94" s="25"/>
      <c r="BE94" s="25"/>
      <c r="BI94" s="25"/>
      <c r="BJ94" s="25"/>
      <c r="BK94" s="25"/>
      <c r="BL94" s="25"/>
      <c r="BM94" s="25"/>
      <c r="BN94" s="25"/>
      <c r="BP94" s="25"/>
      <c r="BQ94" s="25"/>
      <c r="BR94" s="25"/>
      <c r="BS94" s="25"/>
      <c r="BT94" s="25"/>
      <c r="BU94" s="25"/>
      <c r="BX94" s="25"/>
      <c r="BY94" s="25"/>
      <c r="BZ94" s="25"/>
      <c r="CA94" s="25"/>
      <c r="CB94" s="25"/>
      <c r="CC94" s="25"/>
      <c r="CE94" s="25"/>
      <c r="CF94" s="25"/>
      <c r="CG94" s="25"/>
      <c r="CH94" s="25"/>
      <c r="CI94" s="25"/>
      <c r="CJ94" s="25"/>
    </row>
    <row r="95" spans="1:88" ht="14" customHeight="1">
      <c r="A95" s="2" t="str">
        <f t="shared" si="50"/>
        <v>Green maize sold: quantity</v>
      </c>
      <c r="B95" s="75">
        <f t="shared" si="51"/>
        <v>0</v>
      </c>
      <c r="C95" s="75">
        <f t="shared" si="51"/>
        <v>0</v>
      </c>
      <c r="D95" s="24">
        <f t="shared" si="52"/>
        <v>0</v>
      </c>
      <c r="H95" s="24">
        <f t="shared" si="53"/>
        <v>0.84848484848484851</v>
      </c>
      <c r="I95" s="22">
        <f t="shared" si="54"/>
        <v>0</v>
      </c>
      <c r="J95" s="24">
        <f t="shared" si="55"/>
        <v>0</v>
      </c>
      <c r="K95" s="22">
        <f t="shared" si="56"/>
        <v>0</v>
      </c>
      <c r="L95" s="22">
        <f t="shared" si="57"/>
        <v>0</v>
      </c>
      <c r="M95" s="228">
        <f t="shared" si="49"/>
        <v>0</v>
      </c>
      <c r="N95" s="229">
        <v>2</v>
      </c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S95" s="25"/>
      <c r="AT95" s="25"/>
      <c r="AU95" s="25"/>
      <c r="AV95" s="25"/>
      <c r="AW95" s="25"/>
      <c r="AX95" s="25"/>
      <c r="AZ95" s="25"/>
      <c r="BA95" s="25"/>
      <c r="BB95" s="25"/>
      <c r="BC95" s="25"/>
      <c r="BD95" s="25"/>
      <c r="BE95" s="25"/>
      <c r="BI95" s="25"/>
      <c r="BJ95" s="25"/>
      <c r="BK95" s="25"/>
      <c r="BL95" s="25"/>
      <c r="BM95" s="25"/>
      <c r="BN95" s="25"/>
      <c r="BP95" s="25"/>
      <c r="BQ95" s="25"/>
      <c r="BR95" s="25"/>
      <c r="BS95" s="25"/>
      <c r="BT95" s="25"/>
      <c r="BU95" s="25"/>
      <c r="BX95" s="25"/>
      <c r="BY95" s="25"/>
      <c r="BZ95" s="25"/>
      <c r="CA95" s="25"/>
      <c r="CB95" s="25"/>
      <c r="CC95" s="25"/>
      <c r="CE95" s="25"/>
      <c r="CF95" s="25"/>
      <c r="CG95" s="25"/>
      <c r="CH95" s="25"/>
      <c r="CI95" s="25"/>
      <c r="CJ95" s="25"/>
    </row>
    <row r="96" spans="1:88" ht="14" customHeight="1">
      <c r="A96" s="2" t="str">
        <f t="shared" si="50"/>
        <v>Maize: kg produced</v>
      </c>
      <c r="B96" s="75">
        <f t="shared" si="51"/>
        <v>0</v>
      </c>
      <c r="C96" s="75">
        <f t="shared" si="51"/>
        <v>0</v>
      </c>
      <c r="D96" s="24">
        <f t="shared" si="52"/>
        <v>0</v>
      </c>
      <c r="H96" s="24">
        <f t="shared" si="53"/>
        <v>0.92484848484848492</v>
      </c>
      <c r="I96" s="22">
        <f t="shared" si="54"/>
        <v>0</v>
      </c>
      <c r="J96" s="24">
        <f t="shared" si="55"/>
        <v>0</v>
      </c>
      <c r="K96" s="22">
        <f t="shared" si="56"/>
        <v>0</v>
      </c>
      <c r="L96" s="22">
        <f t="shared" si="57"/>
        <v>0</v>
      </c>
      <c r="M96" s="228">
        <f t="shared" si="49"/>
        <v>0</v>
      </c>
      <c r="N96" s="229">
        <v>2</v>
      </c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S96" s="25"/>
      <c r="AT96" s="25"/>
      <c r="AU96" s="25"/>
      <c r="AV96" s="25"/>
      <c r="AW96" s="25"/>
      <c r="AX96" s="25"/>
      <c r="AZ96" s="25"/>
      <c r="BA96" s="25"/>
      <c r="BB96" s="25"/>
      <c r="BC96" s="25"/>
      <c r="BD96" s="25"/>
      <c r="BE96" s="25"/>
      <c r="BI96" s="25"/>
      <c r="BJ96" s="25"/>
      <c r="BK96" s="25"/>
      <c r="BL96" s="25"/>
      <c r="BM96" s="25"/>
      <c r="BN96" s="25"/>
      <c r="BP96" s="25"/>
      <c r="BQ96" s="25"/>
      <c r="BR96" s="25"/>
      <c r="BS96" s="25"/>
      <c r="BT96" s="25"/>
      <c r="BU96" s="25"/>
      <c r="BX96" s="25"/>
      <c r="BY96" s="25"/>
      <c r="BZ96" s="25"/>
      <c r="CA96" s="25"/>
      <c r="CB96" s="25"/>
      <c r="CC96" s="25"/>
      <c r="CE96" s="25"/>
      <c r="CF96" s="25"/>
      <c r="CG96" s="25"/>
      <c r="CH96" s="25"/>
      <c r="CI96" s="25"/>
      <c r="CJ96" s="25"/>
    </row>
    <row r="97" spans="1:88" ht="14" customHeight="1">
      <c r="A97" s="2" t="str">
        <f t="shared" si="50"/>
        <v>Maize (irrigated): kg produced</v>
      </c>
      <c r="B97" s="75">
        <f t="shared" si="51"/>
        <v>0</v>
      </c>
      <c r="C97" s="75">
        <f t="shared" si="51"/>
        <v>0</v>
      </c>
      <c r="D97" s="24">
        <f t="shared" si="52"/>
        <v>0</v>
      </c>
      <c r="H97" s="24">
        <f t="shared" si="53"/>
        <v>0.92484848484848492</v>
      </c>
      <c r="I97" s="22">
        <f t="shared" si="54"/>
        <v>0</v>
      </c>
      <c r="J97" s="24">
        <f t="shared" si="55"/>
        <v>0</v>
      </c>
      <c r="K97" s="22">
        <f t="shared" si="56"/>
        <v>0</v>
      </c>
      <c r="L97" s="22">
        <f t="shared" si="57"/>
        <v>0</v>
      </c>
      <c r="M97" s="228">
        <f t="shared" si="49"/>
        <v>0</v>
      </c>
      <c r="N97" s="229">
        <v>2</v>
      </c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S97" s="25"/>
      <c r="AT97" s="25"/>
      <c r="AU97" s="25"/>
      <c r="AV97" s="25"/>
      <c r="AW97" s="25"/>
      <c r="AX97" s="25"/>
      <c r="AZ97" s="25"/>
      <c r="BA97" s="25"/>
      <c r="BB97" s="25"/>
      <c r="BC97" s="25"/>
      <c r="BD97" s="25"/>
      <c r="BE97" s="25"/>
      <c r="BI97" s="25"/>
      <c r="BJ97" s="25"/>
      <c r="BK97" s="25"/>
      <c r="BL97" s="25"/>
      <c r="BM97" s="25"/>
      <c r="BN97" s="25"/>
      <c r="BP97" s="25"/>
      <c r="BQ97" s="25"/>
      <c r="BR97" s="25"/>
      <c r="BS97" s="25"/>
      <c r="BT97" s="25"/>
      <c r="BU97" s="25"/>
      <c r="BX97" s="25"/>
      <c r="BY97" s="25"/>
      <c r="BZ97" s="25"/>
      <c r="CA97" s="25"/>
      <c r="CB97" s="25"/>
      <c r="CC97" s="25"/>
      <c r="CE97" s="25"/>
      <c r="CF97" s="25"/>
      <c r="CG97" s="25"/>
      <c r="CH97" s="25"/>
      <c r="CI97" s="25"/>
      <c r="CJ97" s="25"/>
    </row>
    <row r="98" spans="1:88" ht="14" customHeight="1">
      <c r="A98" s="2" t="str">
        <f t="shared" si="50"/>
        <v>Beans: kg produced</v>
      </c>
      <c r="B98" s="75">
        <f t="shared" si="51"/>
        <v>0</v>
      </c>
      <c r="C98" s="75">
        <f t="shared" si="51"/>
        <v>0</v>
      </c>
      <c r="D98" s="24">
        <f t="shared" si="52"/>
        <v>0</v>
      </c>
      <c r="H98" s="24">
        <f t="shared" si="53"/>
        <v>0.84848484848484851</v>
      </c>
      <c r="I98" s="22">
        <f t="shared" si="54"/>
        <v>0</v>
      </c>
      <c r="J98" s="24">
        <f t="shared" si="55"/>
        <v>0</v>
      </c>
      <c r="K98" s="22">
        <f t="shared" si="56"/>
        <v>0</v>
      </c>
      <c r="L98" s="22">
        <f t="shared" si="57"/>
        <v>0</v>
      </c>
      <c r="M98" s="228">
        <f t="shared" si="49"/>
        <v>0</v>
      </c>
      <c r="N98" s="229">
        <v>2</v>
      </c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S98" s="25"/>
      <c r="AT98" s="25"/>
      <c r="AU98" s="25"/>
      <c r="AV98" s="25"/>
      <c r="AW98" s="25"/>
      <c r="AX98" s="25"/>
      <c r="AZ98" s="25"/>
      <c r="BA98" s="25"/>
      <c r="BB98" s="25"/>
      <c r="BC98" s="25"/>
      <c r="BD98" s="25"/>
      <c r="BE98" s="25"/>
      <c r="BI98" s="25"/>
      <c r="BJ98" s="25"/>
      <c r="BK98" s="25"/>
      <c r="BL98" s="25"/>
      <c r="BM98" s="25"/>
      <c r="BN98" s="25"/>
      <c r="BP98" s="25"/>
      <c r="BQ98" s="25"/>
      <c r="BR98" s="25"/>
      <c r="BS98" s="25"/>
      <c r="BT98" s="25"/>
      <c r="BU98" s="25"/>
      <c r="BX98" s="25"/>
      <c r="BY98" s="25"/>
      <c r="BZ98" s="25"/>
      <c r="CA98" s="25"/>
      <c r="CB98" s="25"/>
      <c r="CC98" s="25"/>
      <c r="CE98" s="25"/>
      <c r="CF98" s="25"/>
      <c r="CG98" s="25"/>
      <c r="CH98" s="25"/>
      <c r="CI98" s="25"/>
      <c r="CJ98" s="25"/>
    </row>
    <row r="99" spans="1:88" ht="14" customHeight="1">
      <c r="A99" s="2" t="str">
        <f t="shared" si="50"/>
        <v>Potato: kg produced</v>
      </c>
      <c r="B99" s="75">
        <f t="shared" si="51"/>
        <v>0</v>
      </c>
      <c r="C99" s="75">
        <f t="shared" si="51"/>
        <v>0</v>
      </c>
      <c r="D99" s="24">
        <f t="shared" si="52"/>
        <v>0</v>
      </c>
      <c r="H99" s="24">
        <f t="shared" si="53"/>
        <v>0.84848484848484851</v>
      </c>
      <c r="I99" s="22">
        <f t="shared" si="54"/>
        <v>0</v>
      </c>
      <c r="J99" s="24">
        <f t="shared" si="55"/>
        <v>0</v>
      </c>
      <c r="K99" s="22">
        <f t="shared" si="56"/>
        <v>0</v>
      </c>
      <c r="L99" s="22">
        <f t="shared" si="57"/>
        <v>0</v>
      </c>
      <c r="M99" s="228">
        <f t="shared" si="49"/>
        <v>0</v>
      </c>
      <c r="N99" s="229">
        <v>2</v>
      </c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S99" s="25"/>
      <c r="AT99" s="25"/>
      <c r="AU99" s="25"/>
      <c r="AV99" s="25"/>
      <c r="AW99" s="25"/>
      <c r="AX99" s="25"/>
      <c r="AZ99" s="25"/>
      <c r="BA99" s="25"/>
      <c r="BB99" s="25"/>
      <c r="BC99" s="25"/>
      <c r="BD99" s="25"/>
      <c r="BE99" s="25"/>
      <c r="BI99" s="25"/>
      <c r="BJ99" s="25"/>
      <c r="BK99" s="25"/>
      <c r="BL99" s="25"/>
      <c r="BM99" s="25"/>
      <c r="BN99" s="25"/>
      <c r="BP99" s="25"/>
      <c r="BQ99" s="25"/>
      <c r="BR99" s="25"/>
      <c r="BS99" s="25"/>
      <c r="BT99" s="25"/>
      <c r="BU99" s="25"/>
      <c r="BX99" s="25"/>
      <c r="BY99" s="25"/>
      <c r="BZ99" s="25"/>
      <c r="CA99" s="25"/>
      <c r="CB99" s="25"/>
      <c r="CC99" s="25"/>
      <c r="CE99" s="25"/>
      <c r="CF99" s="25"/>
      <c r="CG99" s="25"/>
      <c r="CH99" s="25"/>
      <c r="CI99" s="25"/>
      <c r="CJ99" s="25"/>
    </row>
    <row r="100" spans="1:88" ht="14" customHeight="1">
      <c r="A100" s="2" t="str">
        <f t="shared" si="50"/>
        <v>Sweet potato: no. local meas</v>
      </c>
      <c r="B100" s="75">
        <f t="shared" si="51"/>
        <v>7.2912782922970501E-2</v>
      </c>
      <c r="C100" s="75">
        <f t="shared" si="51"/>
        <v>-7.2912782922970501E-2</v>
      </c>
      <c r="D100" s="24">
        <f t="shared" si="52"/>
        <v>0</v>
      </c>
      <c r="H100" s="24">
        <f t="shared" si="53"/>
        <v>0.84848484848484851</v>
      </c>
      <c r="I100" s="22">
        <f t="shared" si="54"/>
        <v>0</v>
      </c>
      <c r="J100" s="24">
        <f>IF(I$32&lt;=1+I131,I100,L100+J$33*(I100-L100))</f>
        <v>0</v>
      </c>
      <c r="K100" s="22">
        <f t="shared" si="56"/>
        <v>7.2912782922970501E-2</v>
      </c>
      <c r="L100" s="22">
        <f t="shared" si="57"/>
        <v>6.1865391571005277E-2</v>
      </c>
      <c r="M100" s="228">
        <f t="shared" si="49"/>
        <v>0</v>
      </c>
      <c r="N100" s="229">
        <v>2</v>
      </c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S100" s="25"/>
      <c r="AT100" s="25"/>
      <c r="AU100" s="25"/>
      <c r="AV100" s="25"/>
      <c r="AW100" s="25"/>
      <c r="AX100" s="25"/>
      <c r="AZ100" s="25"/>
      <c r="BA100" s="25"/>
      <c r="BB100" s="25"/>
      <c r="BC100" s="25"/>
      <c r="BD100" s="25"/>
      <c r="BE100" s="25"/>
      <c r="BI100" s="25"/>
      <c r="BJ100" s="25"/>
      <c r="BK100" s="25"/>
      <c r="BL100" s="25"/>
      <c r="BM100" s="25"/>
      <c r="BN100" s="25"/>
      <c r="BP100" s="25"/>
      <c r="BQ100" s="25"/>
      <c r="BR100" s="25"/>
      <c r="BS100" s="25"/>
      <c r="BT100" s="25"/>
      <c r="BU100" s="25"/>
      <c r="BX100" s="25"/>
      <c r="BY100" s="25"/>
      <c r="BZ100" s="25"/>
      <c r="CA100" s="25"/>
      <c r="CB100" s="25"/>
      <c r="CC100" s="25"/>
      <c r="CE100" s="25"/>
      <c r="CF100" s="25"/>
      <c r="CG100" s="25"/>
      <c r="CH100" s="25"/>
      <c r="CI100" s="25"/>
      <c r="CJ100" s="25"/>
    </row>
    <row r="101" spans="1:88" ht="14" customHeight="1">
      <c r="A101" s="2" t="str">
        <f t="shared" si="50"/>
        <v>Groundnuts (dry): no. local meas</v>
      </c>
      <c r="B101" s="75">
        <f t="shared" si="51"/>
        <v>4.4719840192755239E-3</v>
      </c>
      <c r="C101" s="75">
        <f t="shared" si="51"/>
        <v>-4.4719840192755239E-3</v>
      </c>
      <c r="D101" s="24">
        <f t="shared" si="52"/>
        <v>0</v>
      </c>
      <c r="H101" s="24">
        <f t="shared" si="53"/>
        <v>0.84848484848484851</v>
      </c>
      <c r="I101" s="22">
        <f t="shared" si="54"/>
        <v>0</v>
      </c>
      <c r="J101" s="24">
        <f>IF(I$32&lt;=1+I131,I101,L101+J$33*(I101-L101))</f>
        <v>0</v>
      </c>
      <c r="K101" s="22">
        <f t="shared" si="56"/>
        <v>4.4719840192755239E-3</v>
      </c>
      <c r="L101" s="22">
        <f t="shared" si="57"/>
        <v>3.7944106830216568E-3</v>
      </c>
      <c r="M101" s="227">
        <f t="shared" si="49"/>
        <v>0</v>
      </c>
      <c r="N101" s="229">
        <v>2</v>
      </c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S101" s="25"/>
      <c r="AT101" s="25"/>
      <c r="AU101" s="25"/>
      <c r="AV101" s="25"/>
      <c r="AW101" s="25"/>
      <c r="AX101" s="25"/>
      <c r="AZ101" s="25"/>
      <c r="BA101" s="25"/>
      <c r="BB101" s="25"/>
      <c r="BC101" s="25"/>
      <c r="BD101" s="25"/>
      <c r="BE101" s="25"/>
      <c r="BI101" s="25"/>
      <c r="BJ101" s="25"/>
      <c r="BK101" s="25"/>
      <c r="BL101" s="25"/>
      <c r="BM101" s="25"/>
      <c r="BN101" s="25"/>
      <c r="BP101" s="25"/>
      <c r="BQ101" s="25"/>
      <c r="BR101" s="25"/>
      <c r="BS101" s="25"/>
      <c r="BT101" s="25"/>
      <c r="BU101" s="25"/>
      <c r="BX101" s="25"/>
      <c r="BY101" s="25"/>
      <c r="BZ101" s="25"/>
      <c r="CA101" s="25"/>
      <c r="CB101" s="25"/>
      <c r="CC101" s="25"/>
      <c r="CE101" s="25"/>
      <c r="CF101" s="25"/>
      <c r="CG101" s="25"/>
      <c r="CH101" s="25"/>
      <c r="CI101" s="25"/>
      <c r="CJ101" s="25"/>
    </row>
    <row r="102" spans="1:88" ht="14" customHeight="1">
      <c r="A102" s="2" t="str">
        <f t="shared" si="50"/>
        <v>Other crop: Rape</v>
      </c>
      <c r="B102" s="75">
        <f t="shared" si="51"/>
        <v>0</v>
      </c>
      <c r="C102" s="75">
        <f t="shared" si="51"/>
        <v>0</v>
      </c>
      <c r="D102" s="24">
        <f t="shared" si="52"/>
        <v>0</v>
      </c>
      <c r="H102" s="24">
        <f t="shared" si="53"/>
        <v>0.84848484848484851</v>
      </c>
      <c r="I102" s="22">
        <f t="shared" si="54"/>
        <v>0</v>
      </c>
      <c r="J102" s="24">
        <f>IF(I$32&lt;=1+I131,I102,L102+J$33*(I102-L102))</f>
        <v>0</v>
      </c>
      <c r="K102" s="22">
        <f t="shared" si="56"/>
        <v>0</v>
      </c>
      <c r="L102" s="22">
        <f t="shared" si="57"/>
        <v>0</v>
      </c>
      <c r="M102" s="228">
        <f t="shared" si="49"/>
        <v>0</v>
      </c>
      <c r="N102" s="229">
        <v>2</v>
      </c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S102" s="25"/>
      <c r="AT102" s="25"/>
      <c r="AU102" s="25"/>
      <c r="AV102" s="25"/>
      <c r="AW102" s="25"/>
      <c r="AX102" s="25"/>
      <c r="AZ102" s="25"/>
      <c r="BA102" s="25"/>
      <c r="BB102" s="25"/>
      <c r="BC102" s="25"/>
      <c r="BD102" s="25"/>
      <c r="BE102" s="25"/>
      <c r="BI102" s="25"/>
      <c r="BJ102" s="25"/>
      <c r="BK102" s="25"/>
      <c r="BL102" s="25"/>
      <c r="BM102" s="25"/>
      <c r="BN102" s="25"/>
      <c r="BP102" s="25"/>
      <c r="BQ102" s="25"/>
      <c r="BR102" s="25"/>
      <c r="BS102" s="25"/>
      <c r="BT102" s="25"/>
      <c r="BU102" s="25"/>
      <c r="BX102" s="25"/>
      <c r="BY102" s="25"/>
      <c r="BZ102" s="25"/>
      <c r="CA102" s="25"/>
      <c r="CB102" s="25"/>
      <c r="CC102" s="25"/>
      <c r="CE102" s="25"/>
      <c r="CF102" s="25"/>
      <c r="CG102" s="25"/>
      <c r="CH102" s="25"/>
      <c r="CI102" s="25"/>
      <c r="CJ102" s="25"/>
    </row>
    <row r="103" spans="1:88" ht="14" customHeight="1">
      <c r="A103" s="2" t="str">
        <f t="shared" si="50"/>
        <v>Other cashcrop (cabbage): kg produced</v>
      </c>
      <c r="B103" s="75">
        <f t="shared" si="51"/>
        <v>0</v>
      </c>
      <c r="C103" s="75">
        <f t="shared" si="51"/>
        <v>0</v>
      </c>
      <c r="D103" s="24">
        <f t="shared" si="52"/>
        <v>0</v>
      </c>
      <c r="H103" s="24">
        <f t="shared" si="53"/>
        <v>0.84848484848484851</v>
      </c>
      <c r="I103" s="22">
        <f t="shared" si="54"/>
        <v>0</v>
      </c>
      <c r="J103" s="24">
        <f>IF(I$32&lt;=1+I131,I103,L103+J$33*(I103-L103))</f>
        <v>0</v>
      </c>
      <c r="K103" s="22">
        <f t="shared" si="56"/>
        <v>0</v>
      </c>
      <c r="L103" s="22">
        <f t="shared" si="57"/>
        <v>0</v>
      </c>
      <c r="M103" s="228">
        <f t="shared" si="49"/>
        <v>0</v>
      </c>
      <c r="N103" s="229">
        <v>2</v>
      </c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S103" s="25"/>
      <c r="AT103" s="25"/>
      <c r="AU103" s="25"/>
      <c r="AV103" s="25"/>
      <c r="AW103" s="25"/>
      <c r="AX103" s="25"/>
      <c r="AZ103" s="25"/>
      <c r="BA103" s="25"/>
      <c r="BB103" s="25"/>
      <c r="BC103" s="25"/>
      <c r="BD103" s="25"/>
      <c r="BE103" s="25"/>
      <c r="BI103" s="25"/>
      <c r="BJ103" s="25"/>
      <c r="BK103" s="25"/>
      <c r="BL103" s="25"/>
      <c r="BM103" s="25"/>
      <c r="BN103" s="25"/>
      <c r="BP103" s="25"/>
      <c r="BQ103" s="25"/>
      <c r="BR103" s="25"/>
      <c r="BS103" s="25"/>
      <c r="BT103" s="25"/>
      <c r="BU103" s="25"/>
      <c r="BX103" s="25"/>
      <c r="BY103" s="25"/>
      <c r="BZ103" s="25"/>
      <c r="CA103" s="25"/>
      <c r="CB103" s="25"/>
      <c r="CC103" s="25"/>
      <c r="CE103" s="25"/>
      <c r="CF103" s="25"/>
      <c r="CG103" s="25"/>
      <c r="CH103" s="25"/>
      <c r="CI103" s="25"/>
      <c r="CJ103" s="25"/>
    </row>
    <row r="104" spans="1:88" ht="14" customHeight="1">
      <c r="A104" s="2" t="str">
        <f t="shared" si="50"/>
        <v>Other crop: Amadumbe</v>
      </c>
      <c r="B104" s="75">
        <f t="shared" si="51"/>
        <v>0</v>
      </c>
      <c r="C104" s="75">
        <f t="shared" si="51"/>
        <v>0</v>
      </c>
      <c r="D104" s="24">
        <f t="shared" si="52"/>
        <v>0</v>
      </c>
      <c r="H104" s="24">
        <f t="shared" si="53"/>
        <v>0.84848484848484851</v>
      </c>
      <c r="I104" s="22">
        <f t="shared" si="54"/>
        <v>0</v>
      </c>
      <c r="J104" s="24">
        <f>IF(I$32&lt;=1+I131,I104,L104+J$33*(I104-L104))</f>
        <v>0</v>
      </c>
      <c r="K104" s="22">
        <f t="shared" si="56"/>
        <v>0</v>
      </c>
      <c r="L104" s="22">
        <f t="shared" si="57"/>
        <v>0</v>
      </c>
      <c r="M104" s="228">
        <f t="shared" si="49"/>
        <v>0</v>
      </c>
      <c r="N104" s="229">
        <v>2</v>
      </c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S104" s="25"/>
      <c r="AT104" s="25"/>
      <c r="AU104" s="25"/>
      <c r="AV104" s="25"/>
      <c r="AW104" s="25"/>
      <c r="AX104" s="25"/>
      <c r="AZ104" s="25"/>
      <c r="BA104" s="25"/>
      <c r="BB104" s="25"/>
      <c r="BC104" s="25"/>
      <c r="BD104" s="25"/>
      <c r="BE104" s="25"/>
      <c r="BI104" s="25"/>
      <c r="BJ104" s="25"/>
      <c r="BK104" s="25"/>
      <c r="BL104" s="25"/>
      <c r="BM104" s="25"/>
      <c r="BN104" s="25"/>
      <c r="BP104" s="25"/>
      <c r="BQ104" s="25"/>
      <c r="BR104" s="25"/>
      <c r="BS104" s="25"/>
      <c r="BT104" s="25"/>
      <c r="BU104" s="25"/>
      <c r="BX104" s="25"/>
      <c r="BY104" s="25"/>
      <c r="BZ104" s="25"/>
      <c r="CA104" s="25"/>
      <c r="CB104" s="25"/>
      <c r="CC104" s="25"/>
      <c r="CE104" s="25"/>
      <c r="CF104" s="25"/>
      <c r="CG104" s="25"/>
      <c r="CH104" s="25"/>
      <c r="CI104" s="25"/>
      <c r="CJ104" s="25"/>
    </row>
    <row r="105" spans="1:88" ht="14" customHeight="1">
      <c r="A105" s="2" t="str">
        <f t="shared" si="50"/>
        <v>Water melon: no. local meas</v>
      </c>
      <c r="B105" s="75">
        <f t="shared" si="51"/>
        <v>0</v>
      </c>
      <c r="C105" s="75">
        <f t="shared" si="51"/>
        <v>0</v>
      </c>
      <c r="D105" s="24">
        <f t="shared" si="52"/>
        <v>0</v>
      </c>
      <c r="H105" s="24">
        <f t="shared" si="53"/>
        <v>0.84848484848484851</v>
      </c>
      <c r="I105" s="22">
        <f t="shared" si="54"/>
        <v>0</v>
      </c>
      <c r="J105" s="24">
        <f>IF(I$32&lt;=1+I131,I105,L105+J$33*(I105-L105))</f>
        <v>0</v>
      </c>
      <c r="K105" s="22">
        <f t="shared" si="56"/>
        <v>0</v>
      </c>
      <c r="L105" s="22">
        <f t="shared" si="57"/>
        <v>0</v>
      </c>
      <c r="M105" s="228">
        <f t="shared" si="49"/>
        <v>0</v>
      </c>
      <c r="N105" s="229">
        <v>2</v>
      </c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S105" s="25"/>
      <c r="AT105" s="25"/>
      <c r="AU105" s="25"/>
      <c r="AV105" s="25"/>
      <c r="AW105" s="25"/>
      <c r="AX105" s="25"/>
      <c r="AZ105" s="25"/>
      <c r="BA105" s="25"/>
      <c r="BB105" s="25"/>
      <c r="BC105" s="25"/>
      <c r="BD105" s="25"/>
      <c r="BE105" s="25"/>
      <c r="BI105" s="25"/>
      <c r="BJ105" s="25"/>
      <c r="BK105" s="25"/>
      <c r="BL105" s="25"/>
      <c r="BM105" s="25"/>
      <c r="BN105" s="25"/>
      <c r="BP105" s="25"/>
      <c r="BQ105" s="25"/>
      <c r="BR105" s="25"/>
      <c r="BS105" s="25"/>
      <c r="BT105" s="25"/>
      <c r="BU105" s="25"/>
      <c r="BX105" s="25"/>
      <c r="BY105" s="25"/>
      <c r="BZ105" s="25"/>
      <c r="CA105" s="25"/>
      <c r="CB105" s="25"/>
      <c r="CC105" s="25"/>
      <c r="CE105" s="25"/>
      <c r="CF105" s="25"/>
      <c r="CG105" s="25"/>
      <c r="CH105" s="25"/>
      <c r="CI105" s="25"/>
      <c r="CJ105" s="25"/>
    </row>
    <row r="106" spans="1:88" ht="14" customHeight="1">
      <c r="A106" s="2" t="str">
        <f t="shared" si="50"/>
        <v>FISHING -- see worksheet Data 3</v>
      </c>
      <c r="B106" s="75">
        <f t="shared" si="51"/>
        <v>0</v>
      </c>
      <c r="C106" s="75">
        <f t="shared" si="51"/>
        <v>0</v>
      </c>
      <c r="D106" s="24">
        <f t="shared" si="52"/>
        <v>0</v>
      </c>
      <c r="H106" s="24">
        <f t="shared" si="53"/>
        <v>0.7151515151515152</v>
      </c>
      <c r="I106" s="22">
        <f t="shared" si="54"/>
        <v>0</v>
      </c>
      <c r="J106" s="24">
        <f>IF(I$32&lt;=1+I132,I106,L106+J$33*(I106-L106))</f>
        <v>0</v>
      </c>
      <c r="K106" s="22">
        <f t="shared" si="56"/>
        <v>0</v>
      </c>
      <c r="L106" s="22">
        <f t="shared" si="57"/>
        <v>0</v>
      </c>
      <c r="M106" s="228">
        <f>(J106)</f>
        <v>0</v>
      </c>
      <c r="N106" s="229">
        <v>6</v>
      </c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S106" s="25"/>
      <c r="AT106" s="25"/>
      <c r="AU106" s="25"/>
      <c r="AV106" s="25"/>
      <c r="AW106" s="25"/>
      <c r="AX106" s="25"/>
      <c r="AZ106" s="25"/>
      <c r="BA106" s="25"/>
      <c r="BB106" s="25"/>
      <c r="BC106" s="25"/>
      <c r="BD106" s="25"/>
      <c r="BE106" s="25"/>
      <c r="BI106" s="25"/>
      <c r="BJ106" s="25"/>
      <c r="BK106" s="25"/>
      <c r="BL106" s="25"/>
      <c r="BM106" s="25"/>
      <c r="BN106" s="25"/>
      <c r="BP106" s="25"/>
      <c r="BQ106" s="25"/>
      <c r="BR106" s="25"/>
      <c r="BS106" s="25"/>
      <c r="BT106" s="25"/>
      <c r="BU106" s="25"/>
      <c r="BX106" s="25"/>
      <c r="BY106" s="25"/>
      <c r="BZ106" s="25"/>
      <c r="CA106" s="25"/>
      <c r="CB106" s="25"/>
      <c r="CC106" s="25"/>
      <c r="CE106" s="25"/>
      <c r="CF106" s="25"/>
      <c r="CG106" s="25"/>
      <c r="CH106" s="25"/>
      <c r="CI106" s="25"/>
      <c r="CJ106" s="25"/>
    </row>
    <row r="107" spans="1:88" ht="14" customHeight="1">
      <c r="A107" s="2" t="str">
        <f t="shared" ref="A107:A118" si="58">IF(A53="","",A53)</f>
        <v>WILD FOODS -- see worksheet Data 3</v>
      </c>
      <c r="B107" s="75">
        <f t="shared" si="51"/>
        <v>4.342361294079132E-2</v>
      </c>
      <c r="C107" s="75">
        <f t="shared" si="51"/>
        <v>2.7058743884746828E-2</v>
      </c>
      <c r="D107" s="24">
        <f t="shared" ref="D107:D118" si="59">(B107+C107)</f>
        <v>7.0482356825538148E-2</v>
      </c>
      <c r="H107" s="24">
        <f t="shared" ref="H107:H118" si="60">(E53*F53/G53*F$7/F$9)</f>
        <v>0.7151515151515152</v>
      </c>
      <c r="I107" s="22">
        <f t="shared" ref="I107:I118" si="61">(D107*H107)</f>
        <v>5.0405564275233343E-2</v>
      </c>
      <c r="J107" s="24">
        <f t="shared" ref="J107:J118" si="62">IF(I$32&lt;=1+I133,I107,L107+J$33*(I107-L107))</f>
        <v>5.0405564275233343E-2</v>
      </c>
      <c r="K107" s="22">
        <f t="shared" ref="K107:K118" si="63">(B107)</f>
        <v>4.342361294079132E-2</v>
      </c>
      <c r="L107" s="22">
        <f t="shared" ref="L107:L118" si="64">(K107*H107)</f>
        <v>3.1054462587959856E-2</v>
      </c>
      <c r="M107" s="228">
        <f t="shared" ref="M107:M118" si="65">(J107)</f>
        <v>5.0405564275233343E-2</v>
      </c>
      <c r="N107" s="229">
        <v>6</v>
      </c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S107" s="25"/>
      <c r="AT107" s="25"/>
      <c r="AU107" s="25"/>
      <c r="AV107" s="25"/>
      <c r="AW107" s="25"/>
      <c r="AX107" s="25"/>
      <c r="AZ107" s="25"/>
      <c r="BA107" s="25"/>
      <c r="BB107" s="25"/>
      <c r="BC107" s="25"/>
      <c r="BD107" s="25"/>
      <c r="BE107" s="25"/>
      <c r="BI107" s="25"/>
      <c r="BJ107" s="25"/>
      <c r="BK107" s="25"/>
      <c r="BL107" s="25"/>
      <c r="BM107" s="25"/>
      <c r="BN107" s="25"/>
      <c r="BP107" s="25"/>
      <c r="BQ107" s="25"/>
      <c r="BR107" s="25"/>
      <c r="BS107" s="25"/>
      <c r="BT107" s="25"/>
      <c r="BU107" s="25"/>
      <c r="BX107" s="25"/>
      <c r="BY107" s="25"/>
      <c r="BZ107" s="25"/>
      <c r="CA107" s="25"/>
      <c r="CB107" s="25"/>
      <c r="CC107" s="25"/>
      <c r="CE107" s="25"/>
      <c r="CF107" s="25"/>
      <c r="CG107" s="25"/>
      <c r="CH107" s="25"/>
      <c r="CI107" s="25"/>
      <c r="CJ107" s="25"/>
    </row>
    <row r="108" spans="1:88" ht="14" customHeight="1">
      <c r="A108" s="2" t="str">
        <f t="shared" si="58"/>
        <v>Agricultural casual work -- see Data2</v>
      </c>
      <c r="B108" s="75">
        <f t="shared" si="51"/>
        <v>5.1849090078556807E-2</v>
      </c>
      <c r="C108" s="75">
        <f t="shared" si="51"/>
        <v>0</v>
      </c>
      <c r="D108" s="24">
        <f t="shared" si="59"/>
        <v>5.1849090078556807E-2</v>
      </c>
      <c r="H108" s="24">
        <f t="shared" si="60"/>
        <v>0.67272727272727284</v>
      </c>
      <c r="I108" s="22">
        <f t="shared" si="61"/>
        <v>3.4880296961938222E-2</v>
      </c>
      <c r="J108" s="24">
        <f t="shared" si="62"/>
        <v>3.4880296961938222E-2</v>
      </c>
      <c r="K108" s="22">
        <f t="shared" si="63"/>
        <v>5.1849090078556807E-2</v>
      </c>
      <c r="L108" s="22">
        <f t="shared" si="64"/>
        <v>3.4880296961938222E-2</v>
      </c>
      <c r="M108" s="228">
        <f t="shared" si="65"/>
        <v>3.4880296961938222E-2</v>
      </c>
      <c r="N108" s="229">
        <v>7</v>
      </c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S108" s="25"/>
      <c r="AT108" s="25"/>
      <c r="AU108" s="25"/>
      <c r="AV108" s="25"/>
      <c r="AW108" s="25"/>
      <c r="AX108" s="25"/>
      <c r="AZ108" s="25"/>
      <c r="BA108" s="25"/>
      <c r="BB108" s="25"/>
      <c r="BC108" s="25"/>
      <c r="BD108" s="25"/>
      <c r="BE108" s="25"/>
      <c r="BI108" s="25"/>
      <c r="BJ108" s="25"/>
      <c r="BK108" s="25"/>
      <c r="BL108" s="25"/>
      <c r="BM108" s="25"/>
      <c r="BN108" s="25"/>
      <c r="BP108" s="25"/>
      <c r="BQ108" s="25"/>
      <c r="BR108" s="25"/>
      <c r="BS108" s="25"/>
      <c r="BT108" s="25"/>
      <c r="BU108" s="25"/>
      <c r="BX108" s="25"/>
      <c r="BY108" s="25"/>
      <c r="BZ108" s="25"/>
      <c r="CA108" s="25"/>
      <c r="CB108" s="25"/>
      <c r="CC108" s="25"/>
      <c r="CE108" s="25"/>
      <c r="CF108" s="25"/>
      <c r="CG108" s="25"/>
      <c r="CH108" s="25"/>
      <c r="CI108" s="25"/>
      <c r="CJ108" s="25"/>
    </row>
    <row r="109" spans="1:88" ht="14" customHeight="1">
      <c r="A109" s="2" t="str">
        <f t="shared" si="58"/>
        <v>Construction casual work -- see Data2</v>
      </c>
      <c r="B109" s="75">
        <f t="shared" si="51"/>
        <v>7.518118061390737E-2</v>
      </c>
      <c r="C109" s="75">
        <f t="shared" si="51"/>
        <v>0</v>
      </c>
      <c r="D109" s="24">
        <f t="shared" si="59"/>
        <v>7.518118061390737E-2</v>
      </c>
      <c r="H109" s="24">
        <f t="shared" si="60"/>
        <v>0.67272727272727284</v>
      </c>
      <c r="I109" s="22">
        <f t="shared" si="61"/>
        <v>5.0576430594810422E-2</v>
      </c>
      <c r="J109" s="24">
        <f t="shared" si="62"/>
        <v>5.0576430594810422E-2</v>
      </c>
      <c r="K109" s="22">
        <f t="shared" si="63"/>
        <v>7.518118061390737E-2</v>
      </c>
      <c r="L109" s="22">
        <f t="shared" si="64"/>
        <v>5.0576430594810422E-2</v>
      </c>
      <c r="M109" s="228">
        <f t="shared" si="65"/>
        <v>5.0576430594810422E-2</v>
      </c>
      <c r="N109" s="229">
        <v>7</v>
      </c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S109" s="25"/>
      <c r="AT109" s="25"/>
      <c r="AU109" s="25"/>
      <c r="AV109" s="25"/>
      <c r="AW109" s="25"/>
      <c r="AX109" s="25"/>
      <c r="AZ109" s="25"/>
      <c r="BA109" s="25"/>
      <c r="BB109" s="25"/>
      <c r="BC109" s="25"/>
      <c r="BD109" s="25"/>
      <c r="BE109" s="25"/>
      <c r="BI109" s="25"/>
      <c r="BJ109" s="25"/>
      <c r="BK109" s="25"/>
      <c r="BL109" s="25"/>
      <c r="BM109" s="25"/>
      <c r="BN109" s="25"/>
      <c r="BP109" s="25"/>
      <c r="BQ109" s="25"/>
      <c r="BR109" s="25"/>
      <c r="BS109" s="25"/>
      <c r="BT109" s="25"/>
      <c r="BU109" s="25"/>
      <c r="BX109" s="25"/>
      <c r="BY109" s="25"/>
      <c r="BZ109" s="25"/>
      <c r="CA109" s="25"/>
      <c r="CB109" s="25"/>
      <c r="CC109" s="25"/>
      <c r="CE109" s="25"/>
      <c r="CF109" s="25"/>
      <c r="CG109" s="25"/>
      <c r="CH109" s="25"/>
      <c r="CI109" s="25"/>
      <c r="CJ109" s="25"/>
    </row>
    <row r="110" spans="1:88" ht="14" customHeight="1">
      <c r="A110" s="2" t="str">
        <f t="shared" si="58"/>
        <v>Domestic casual work -- see Data2</v>
      </c>
      <c r="B110" s="75">
        <f t="shared" si="51"/>
        <v>0.34998135803025843</v>
      </c>
      <c r="C110" s="75">
        <f t="shared" si="51"/>
        <v>0</v>
      </c>
      <c r="D110" s="24">
        <f t="shared" si="59"/>
        <v>0.34998135803025843</v>
      </c>
      <c r="H110" s="24">
        <f t="shared" si="60"/>
        <v>0.67272727272727284</v>
      </c>
      <c r="I110" s="22">
        <f t="shared" si="61"/>
        <v>0.23544200449308297</v>
      </c>
      <c r="J110" s="24">
        <f t="shared" si="62"/>
        <v>0.23544200449308297</v>
      </c>
      <c r="K110" s="22">
        <f t="shared" si="63"/>
        <v>0.34998135803025843</v>
      </c>
      <c r="L110" s="22">
        <f t="shared" si="64"/>
        <v>0.23544200449308297</v>
      </c>
      <c r="M110" s="228">
        <f t="shared" si="65"/>
        <v>0.23544200449308297</v>
      </c>
      <c r="N110" s="229">
        <v>7</v>
      </c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S110" s="25"/>
      <c r="AT110" s="25"/>
      <c r="AU110" s="25"/>
      <c r="AV110" s="25"/>
      <c r="AW110" s="25"/>
      <c r="AX110" s="25"/>
      <c r="AZ110" s="25"/>
      <c r="BA110" s="25"/>
      <c r="BB110" s="25"/>
      <c r="BC110" s="25"/>
      <c r="BD110" s="25"/>
      <c r="BE110" s="25"/>
      <c r="BI110" s="25"/>
      <c r="BJ110" s="25"/>
      <c r="BK110" s="25"/>
      <c r="BL110" s="25"/>
      <c r="BM110" s="25"/>
      <c r="BN110" s="25"/>
      <c r="BP110" s="25"/>
      <c r="BQ110" s="25"/>
      <c r="BR110" s="25"/>
      <c r="BS110" s="25"/>
      <c r="BT110" s="25"/>
      <c r="BU110" s="25"/>
      <c r="BX110" s="25"/>
      <c r="BY110" s="25"/>
      <c r="BZ110" s="25"/>
      <c r="CA110" s="25"/>
      <c r="CB110" s="25"/>
      <c r="CC110" s="25"/>
      <c r="CE110" s="25"/>
      <c r="CF110" s="25"/>
      <c r="CG110" s="25"/>
      <c r="CH110" s="25"/>
      <c r="CI110" s="25"/>
      <c r="CJ110" s="25"/>
    </row>
    <row r="111" spans="1:88" ht="14" customHeight="1">
      <c r="A111" s="2" t="str">
        <f t="shared" si="58"/>
        <v>Labour migration(formal employment): no. people per HH</v>
      </c>
      <c r="B111" s="75">
        <f t="shared" si="51"/>
        <v>0</v>
      </c>
      <c r="C111" s="75">
        <f t="shared" si="51"/>
        <v>0</v>
      </c>
      <c r="D111" s="24">
        <f t="shared" si="59"/>
        <v>0</v>
      </c>
      <c r="H111" s="24">
        <f t="shared" si="60"/>
        <v>0.57212121212121214</v>
      </c>
      <c r="I111" s="22">
        <f t="shared" si="61"/>
        <v>0</v>
      </c>
      <c r="J111" s="24">
        <f t="shared" si="62"/>
        <v>0</v>
      </c>
      <c r="K111" s="22">
        <f t="shared" si="63"/>
        <v>0</v>
      </c>
      <c r="L111" s="22">
        <f t="shared" si="64"/>
        <v>0</v>
      </c>
      <c r="M111" s="228">
        <f t="shared" si="65"/>
        <v>0</v>
      </c>
      <c r="N111" s="229">
        <v>8</v>
      </c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S111" s="25"/>
      <c r="AT111" s="25"/>
      <c r="AU111" s="25"/>
      <c r="AV111" s="25"/>
      <c r="AW111" s="25"/>
      <c r="AX111" s="25"/>
      <c r="AZ111" s="25"/>
      <c r="BA111" s="25"/>
      <c r="BB111" s="25"/>
      <c r="BC111" s="25"/>
      <c r="BD111" s="25"/>
      <c r="BE111" s="25"/>
      <c r="BI111" s="25"/>
      <c r="BJ111" s="25"/>
      <c r="BK111" s="25"/>
      <c r="BL111" s="25"/>
      <c r="BM111" s="25"/>
      <c r="BN111" s="25"/>
      <c r="BP111" s="25"/>
      <c r="BQ111" s="25"/>
      <c r="BR111" s="25"/>
      <c r="BS111" s="25"/>
      <c r="BT111" s="25"/>
      <c r="BU111" s="25"/>
      <c r="BX111" s="25"/>
      <c r="BY111" s="25"/>
      <c r="BZ111" s="25"/>
      <c r="CA111" s="25"/>
      <c r="CB111" s="25"/>
      <c r="CC111" s="25"/>
      <c r="CE111" s="25"/>
      <c r="CF111" s="25"/>
      <c r="CG111" s="25"/>
      <c r="CH111" s="25"/>
      <c r="CI111" s="25"/>
      <c r="CJ111" s="25"/>
    </row>
    <row r="112" spans="1:88" ht="14" customHeight="1">
      <c r="A112" s="2" t="str">
        <f t="shared" si="58"/>
        <v>Formal Employment (e.g. teachers, salaried staff, etc.)</v>
      </c>
      <c r="B112" s="75">
        <f t="shared" si="51"/>
        <v>0</v>
      </c>
      <c r="C112" s="75">
        <f t="shared" si="51"/>
        <v>0</v>
      </c>
      <c r="D112" s="24">
        <f t="shared" si="59"/>
        <v>0</v>
      </c>
      <c r="H112" s="24">
        <f t="shared" si="60"/>
        <v>0.57212121212121214</v>
      </c>
      <c r="I112" s="22">
        <f t="shared" si="61"/>
        <v>0</v>
      </c>
      <c r="J112" s="24">
        <f t="shared" si="62"/>
        <v>0</v>
      </c>
      <c r="K112" s="22">
        <f t="shared" si="63"/>
        <v>0</v>
      </c>
      <c r="L112" s="22">
        <f t="shared" si="64"/>
        <v>0</v>
      </c>
      <c r="M112" s="228">
        <f t="shared" si="65"/>
        <v>0</v>
      </c>
      <c r="N112" s="229">
        <v>8</v>
      </c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S112" s="25"/>
      <c r="AT112" s="25"/>
      <c r="AU112" s="25"/>
      <c r="AV112" s="25"/>
      <c r="AW112" s="25"/>
      <c r="AX112" s="25"/>
      <c r="AZ112" s="25"/>
      <c r="BA112" s="25"/>
      <c r="BB112" s="25"/>
      <c r="BC112" s="25"/>
      <c r="BD112" s="25"/>
      <c r="BE112" s="25"/>
      <c r="BI112" s="25"/>
      <c r="BJ112" s="25"/>
      <c r="BK112" s="25"/>
      <c r="BL112" s="25"/>
      <c r="BM112" s="25"/>
      <c r="BN112" s="25"/>
      <c r="BP112" s="25"/>
      <c r="BQ112" s="25"/>
      <c r="BR112" s="25"/>
      <c r="BS112" s="25"/>
      <c r="BT112" s="25"/>
      <c r="BU112" s="25"/>
      <c r="BX112" s="25"/>
      <c r="BY112" s="25"/>
      <c r="BZ112" s="25"/>
      <c r="CA112" s="25"/>
      <c r="CB112" s="25"/>
      <c r="CC112" s="25"/>
      <c r="CE112" s="25"/>
      <c r="CF112" s="25"/>
      <c r="CG112" s="25"/>
      <c r="CH112" s="25"/>
      <c r="CI112" s="25"/>
      <c r="CJ112" s="25"/>
    </row>
    <row r="113" spans="1:88" ht="14" customHeight="1">
      <c r="A113" s="2" t="str">
        <f t="shared" si="58"/>
        <v>Self-employment -- see Data2</v>
      </c>
      <c r="B113" s="75">
        <f t="shared" si="51"/>
        <v>7.4273821537532619E-2</v>
      </c>
      <c r="C113" s="75">
        <f t="shared" si="51"/>
        <v>1.4854764307506527E-2</v>
      </c>
      <c r="D113" s="24">
        <f t="shared" si="59"/>
        <v>8.9128585845039146E-2</v>
      </c>
      <c r="H113" s="24">
        <f t="shared" si="60"/>
        <v>0.48484848484848486</v>
      </c>
      <c r="I113" s="22">
        <f t="shared" si="61"/>
        <v>4.3213859803655344E-2</v>
      </c>
      <c r="J113" s="24">
        <f t="shared" si="62"/>
        <v>4.3213859803655344E-2</v>
      </c>
      <c r="K113" s="22">
        <f t="shared" si="63"/>
        <v>7.4273821537532619E-2</v>
      </c>
      <c r="L113" s="22">
        <f t="shared" si="64"/>
        <v>3.6011549836379456E-2</v>
      </c>
      <c r="M113" s="228">
        <f t="shared" si="65"/>
        <v>4.3213859803655344E-2</v>
      </c>
      <c r="N113" s="229">
        <v>10</v>
      </c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S113" s="25"/>
      <c r="AT113" s="25"/>
      <c r="AU113" s="25"/>
      <c r="AV113" s="25"/>
      <c r="AW113" s="25"/>
      <c r="AX113" s="25"/>
      <c r="AZ113" s="25"/>
      <c r="BA113" s="25"/>
      <c r="BB113" s="25"/>
      <c r="BC113" s="25"/>
      <c r="BD113" s="25"/>
      <c r="BE113" s="25"/>
      <c r="BI113" s="25"/>
      <c r="BJ113" s="25"/>
      <c r="BK113" s="25"/>
      <c r="BL113" s="25"/>
      <c r="BM113" s="25"/>
      <c r="BN113" s="25"/>
      <c r="BP113" s="25"/>
      <c r="BQ113" s="25"/>
      <c r="BR113" s="25"/>
      <c r="BS113" s="25"/>
      <c r="BT113" s="25"/>
      <c r="BU113" s="25"/>
      <c r="BX113" s="25"/>
      <c r="BY113" s="25"/>
      <c r="BZ113" s="25"/>
      <c r="CA113" s="25"/>
      <c r="CB113" s="25"/>
      <c r="CC113" s="25"/>
      <c r="CE113" s="25"/>
      <c r="CF113" s="25"/>
      <c r="CG113" s="25"/>
      <c r="CH113" s="25"/>
      <c r="CI113" s="25"/>
      <c r="CJ113" s="25"/>
    </row>
    <row r="114" spans="1:88" ht="14" customHeight="1">
      <c r="A114" s="2" t="str">
        <f t="shared" si="58"/>
        <v>Small business -- see Data2</v>
      </c>
      <c r="B114" s="75">
        <f t="shared" si="51"/>
        <v>0</v>
      </c>
      <c r="C114" s="75">
        <f t="shared" si="51"/>
        <v>0</v>
      </c>
      <c r="D114" s="24">
        <f t="shared" si="59"/>
        <v>0</v>
      </c>
      <c r="H114" s="24">
        <f t="shared" si="60"/>
        <v>0.57212121212121214</v>
      </c>
      <c r="I114" s="22">
        <f t="shared" si="61"/>
        <v>0</v>
      </c>
      <c r="J114" s="24">
        <f t="shared" si="62"/>
        <v>0</v>
      </c>
      <c r="K114" s="22">
        <f t="shared" si="63"/>
        <v>0</v>
      </c>
      <c r="L114" s="22">
        <f t="shared" si="64"/>
        <v>0</v>
      </c>
      <c r="M114" s="228">
        <f t="shared" si="65"/>
        <v>0</v>
      </c>
      <c r="N114" s="229">
        <v>11</v>
      </c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S114" s="25"/>
      <c r="AT114" s="25"/>
      <c r="AU114" s="25"/>
      <c r="AV114" s="25"/>
      <c r="AW114" s="25"/>
      <c r="AX114" s="25"/>
      <c r="AZ114" s="25"/>
      <c r="BA114" s="25"/>
      <c r="BB114" s="25"/>
      <c r="BC114" s="25"/>
      <c r="BD114" s="25"/>
      <c r="BE114" s="25"/>
      <c r="BI114" s="25"/>
      <c r="BJ114" s="25"/>
      <c r="BK114" s="25"/>
      <c r="BL114" s="25"/>
      <c r="BM114" s="25"/>
      <c r="BN114" s="25"/>
      <c r="BP114" s="25"/>
      <c r="BQ114" s="25"/>
      <c r="BR114" s="25"/>
      <c r="BS114" s="25"/>
      <c r="BT114" s="25"/>
      <c r="BU114" s="25"/>
      <c r="BX114" s="25"/>
      <c r="BY114" s="25"/>
      <c r="BZ114" s="25"/>
      <c r="CA114" s="25"/>
      <c r="CB114" s="25"/>
      <c r="CC114" s="25"/>
      <c r="CE114" s="25"/>
      <c r="CF114" s="25"/>
      <c r="CG114" s="25"/>
      <c r="CH114" s="25"/>
      <c r="CI114" s="25"/>
      <c r="CJ114" s="25"/>
    </row>
    <row r="115" spans="1:88" ht="14" customHeight="1">
      <c r="A115" s="2" t="str">
        <f t="shared" si="58"/>
        <v>Social development -- see Data2</v>
      </c>
      <c r="B115" s="75">
        <f t="shared" si="51"/>
        <v>2.1115541934492259</v>
      </c>
      <c r="C115" s="75">
        <f t="shared" si="51"/>
        <v>0</v>
      </c>
      <c r="D115" s="24">
        <f t="shared" si="59"/>
        <v>2.1115541934492259</v>
      </c>
      <c r="H115" s="24">
        <f t="shared" si="60"/>
        <v>0</v>
      </c>
      <c r="I115" s="22">
        <f t="shared" si="61"/>
        <v>0</v>
      </c>
      <c r="J115" s="24">
        <f t="shared" si="62"/>
        <v>0</v>
      </c>
      <c r="K115" s="22">
        <f t="shared" si="63"/>
        <v>2.1115541934492259</v>
      </c>
      <c r="L115" s="22">
        <f t="shared" si="64"/>
        <v>0</v>
      </c>
      <c r="M115" s="228">
        <f t="shared" si="65"/>
        <v>0</v>
      </c>
      <c r="N115" s="229">
        <v>14</v>
      </c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S115" s="25"/>
      <c r="AT115" s="25"/>
      <c r="AU115" s="25"/>
      <c r="AV115" s="25"/>
      <c r="AW115" s="25"/>
      <c r="AX115" s="25"/>
      <c r="AZ115" s="25"/>
      <c r="BA115" s="25"/>
      <c r="BB115" s="25"/>
      <c r="BC115" s="25"/>
      <c r="BD115" s="25"/>
      <c r="BE115" s="25"/>
      <c r="BI115" s="25"/>
      <c r="BJ115" s="25"/>
      <c r="BK115" s="25"/>
      <c r="BL115" s="25"/>
      <c r="BM115" s="25"/>
      <c r="BN115" s="25"/>
      <c r="BP115" s="25"/>
      <c r="BQ115" s="25"/>
      <c r="BR115" s="25"/>
      <c r="BS115" s="25"/>
      <c r="BT115" s="25"/>
      <c r="BU115" s="25"/>
      <c r="BX115" s="25"/>
      <c r="BY115" s="25"/>
      <c r="BZ115" s="25"/>
      <c r="CA115" s="25"/>
      <c r="CB115" s="25"/>
      <c r="CC115" s="25"/>
      <c r="CE115" s="25"/>
      <c r="CF115" s="25"/>
      <c r="CG115" s="25"/>
      <c r="CH115" s="25"/>
      <c r="CI115" s="25"/>
      <c r="CJ115" s="25"/>
    </row>
    <row r="116" spans="1:88" ht="14" customHeight="1">
      <c r="A116" s="2" t="str">
        <f t="shared" si="58"/>
        <v>Public works -- see Data2</v>
      </c>
      <c r="B116" s="75">
        <f t="shared" si="51"/>
        <v>0.33637097188463727</v>
      </c>
      <c r="C116" s="75">
        <f t="shared" si="51"/>
        <v>0</v>
      </c>
      <c r="D116" s="24">
        <f t="shared" si="59"/>
        <v>0.33637097188463727</v>
      </c>
      <c r="H116" s="24">
        <f t="shared" si="60"/>
        <v>0.7151515151515152</v>
      </c>
      <c r="I116" s="22">
        <f t="shared" si="61"/>
        <v>0.24055621019628606</v>
      </c>
      <c r="J116" s="24">
        <f t="shared" si="62"/>
        <v>0.24055621019628606</v>
      </c>
      <c r="K116" s="22">
        <f t="shared" si="63"/>
        <v>0.33637097188463727</v>
      </c>
      <c r="L116" s="22">
        <f t="shared" si="64"/>
        <v>0.24055621019628606</v>
      </c>
      <c r="M116" s="228">
        <f t="shared" si="65"/>
        <v>0.24055621019628606</v>
      </c>
      <c r="N116" s="229">
        <v>9</v>
      </c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S116" s="25"/>
      <c r="AT116" s="25"/>
      <c r="AU116" s="25"/>
      <c r="AV116" s="25"/>
      <c r="AW116" s="25"/>
      <c r="AX116" s="25"/>
      <c r="AZ116" s="25"/>
      <c r="BA116" s="25"/>
      <c r="BB116" s="25"/>
      <c r="BC116" s="25"/>
      <c r="BD116" s="25"/>
      <c r="BE116" s="25"/>
      <c r="BI116" s="25"/>
      <c r="BJ116" s="25"/>
      <c r="BK116" s="25"/>
      <c r="BL116" s="25"/>
      <c r="BM116" s="25"/>
      <c r="BN116" s="25"/>
      <c r="BP116" s="25"/>
      <c r="BQ116" s="25"/>
      <c r="BR116" s="25"/>
      <c r="BS116" s="25"/>
      <c r="BT116" s="25"/>
      <c r="BU116" s="25"/>
      <c r="BX116" s="25"/>
      <c r="BY116" s="25"/>
      <c r="BZ116" s="25"/>
      <c r="CA116" s="25"/>
      <c r="CB116" s="25"/>
      <c r="CC116" s="25"/>
      <c r="CE116" s="25"/>
      <c r="CF116" s="25"/>
      <c r="CG116" s="25"/>
      <c r="CH116" s="25"/>
      <c r="CI116" s="25"/>
      <c r="CJ116" s="25"/>
    </row>
    <row r="117" spans="1:88" ht="14" customHeight="1">
      <c r="A117" s="2" t="str">
        <f t="shared" si="58"/>
        <v>Other income: e.g. Credit (cotton loans)</v>
      </c>
      <c r="B117" s="75">
        <f t="shared" si="51"/>
        <v>0</v>
      </c>
      <c r="C117" s="75">
        <f t="shared" si="51"/>
        <v>0</v>
      </c>
      <c r="D117" s="24">
        <f t="shared" si="59"/>
        <v>0</v>
      </c>
      <c r="H117" s="24">
        <f t="shared" si="60"/>
        <v>0.60606060606060608</v>
      </c>
      <c r="I117" s="22">
        <f t="shared" si="61"/>
        <v>0</v>
      </c>
      <c r="J117" s="24">
        <f t="shared" si="62"/>
        <v>0</v>
      </c>
      <c r="K117" s="22">
        <f t="shared" si="63"/>
        <v>0</v>
      </c>
      <c r="L117" s="22">
        <f t="shared" si="64"/>
        <v>0</v>
      </c>
      <c r="M117" s="228">
        <f t="shared" si="65"/>
        <v>0</v>
      </c>
      <c r="N117" s="229">
        <v>16</v>
      </c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S117" s="25"/>
      <c r="AT117" s="25"/>
      <c r="AU117" s="25"/>
      <c r="AV117" s="25"/>
      <c r="AW117" s="25"/>
      <c r="AX117" s="25"/>
      <c r="AZ117" s="25"/>
      <c r="BA117" s="25"/>
      <c r="BB117" s="25"/>
      <c r="BC117" s="25"/>
      <c r="BD117" s="25"/>
      <c r="BE117" s="25"/>
      <c r="BI117" s="25"/>
      <c r="BJ117" s="25"/>
      <c r="BK117" s="25"/>
      <c r="BL117" s="25"/>
      <c r="BM117" s="25"/>
      <c r="BN117" s="25"/>
      <c r="BP117" s="25"/>
      <c r="BQ117" s="25"/>
      <c r="BR117" s="25"/>
      <c r="BS117" s="25"/>
      <c r="BT117" s="25"/>
      <c r="BU117" s="25"/>
      <c r="BX117" s="25"/>
      <c r="BY117" s="25"/>
      <c r="BZ117" s="25"/>
      <c r="CA117" s="25"/>
      <c r="CB117" s="25"/>
      <c r="CC117" s="25"/>
      <c r="CE117" s="25"/>
      <c r="CF117" s="25"/>
      <c r="CG117" s="25"/>
      <c r="CH117" s="25"/>
      <c r="CI117" s="25"/>
      <c r="CJ117" s="25"/>
    </row>
    <row r="118" spans="1:88" ht="14" customHeight="1">
      <c r="A118" s="2" t="str">
        <f t="shared" si="58"/>
        <v>Remittances: no. times per year</v>
      </c>
      <c r="B118" s="75">
        <f t="shared" si="51"/>
        <v>0</v>
      </c>
      <c r="C118" s="75">
        <f t="shared" si="51"/>
        <v>0</v>
      </c>
      <c r="D118" s="24">
        <f t="shared" si="59"/>
        <v>0</v>
      </c>
      <c r="H118" s="24">
        <f t="shared" si="60"/>
        <v>0.67272727272727284</v>
      </c>
      <c r="I118" s="22">
        <f t="shared" si="61"/>
        <v>0</v>
      </c>
      <c r="J118" s="24">
        <f t="shared" si="62"/>
        <v>0</v>
      </c>
      <c r="K118" s="22">
        <f t="shared" si="63"/>
        <v>0</v>
      </c>
      <c r="L118" s="22">
        <f t="shared" si="64"/>
        <v>0</v>
      </c>
      <c r="M118" s="228">
        <f t="shared" si="65"/>
        <v>0</v>
      </c>
      <c r="N118" s="229">
        <v>15</v>
      </c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S118" s="25"/>
      <c r="AT118" s="25"/>
      <c r="AU118" s="25"/>
      <c r="AV118" s="25"/>
      <c r="AW118" s="25"/>
      <c r="AX118" s="25"/>
      <c r="AZ118" s="25"/>
      <c r="BA118" s="25"/>
      <c r="BB118" s="25"/>
      <c r="BC118" s="25"/>
      <c r="BD118" s="25"/>
      <c r="BE118" s="25"/>
      <c r="BI118" s="25"/>
      <c r="BJ118" s="25"/>
      <c r="BK118" s="25"/>
      <c r="BL118" s="25"/>
      <c r="BM118" s="25"/>
      <c r="BN118" s="25"/>
      <c r="BP118" s="25"/>
      <c r="BQ118" s="25"/>
      <c r="BR118" s="25"/>
      <c r="BS118" s="25"/>
      <c r="BT118" s="25"/>
      <c r="BU118" s="25"/>
      <c r="BX118" s="25"/>
      <c r="BY118" s="25"/>
      <c r="BZ118" s="25"/>
      <c r="CA118" s="25"/>
      <c r="CB118" s="25"/>
      <c r="CC118" s="25"/>
      <c r="CE118" s="25"/>
      <c r="CF118" s="25"/>
      <c r="CG118" s="25"/>
      <c r="CH118" s="25"/>
      <c r="CI118" s="25"/>
      <c r="CJ118" s="25"/>
    </row>
    <row r="119" spans="1:88" ht="14" customHeight="1">
      <c r="A119" s="2" t="s">
        <v>32</v>
      </c>
      <c r="B119" s="22">
        <f>SUM(B91:B118)</f>
        <v>3.1200189954771558</v>
      </c>
      <c r="C119" s="22">
        <f>SUM(C91:C118)</f>
        <v>-3.5471258749992671E-2</v>
      </c>
      <c r="D119" s="24">
        <f>SUM(D91:D118)</f>
        <v>3.084547736727163</v>
      </c>
      <c r="E119" s="22"/>
      <c r="F119" s="2"/>
      <c r="G119" s="2"/>
      <c r="H119" s="31"/>
      <c r="I119" s="22">
        <f>SUM(I91:I118)</f>
        <v>0.65507436632500637</v>
      </c>
      <c r="J119" s="24">
        <f>SUM(J91:J118)</f>
        <v>0.65507436632500637</v>
      </c>
      <c r="K119" s="22">
        <f>SUM(K91:K118)</f>
        <v>3.1200189954771558</v>
      </c>
      <c r="L119" s="22">
        <f>SUM(L91:L118)</f>
        <v>0.69418075692448389</v>
      </c>
      <c r="M119" s="57">
        <f t="shared" si="49"/>
        <v>0.65507436632500637</v>
      </c>
      <c r="N119" s="223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S119" s="25"/>
      <c r="AT119" s="25"/>
      <c r="AU119" s="25"/>
      <c r="AV119" s="25"/>
      <c r="AW119" s="25"/>
      <c r="AX119" s="25"/>
      <c r="AZ119" s="25"/>
      <c r="BA119" s="25"/>
      <c r="BB119" s="25"/>
      <c r="BC119" s="25"/>
      <c r="BD119" s="25"/>
      <c r="BE119" s="25"/>
      <c r="BI119" s="25"/>
      <c r="BJ119" s="25"/>
      <c r="BK119" s="25"/>
      <c r="BL119" s="25"/>
      <c r="BM119" s="25"/>
      <c r="BN119" s="25"/>
      <c r="BP119" s="25"/>
      <c r="BQ119" s="25"/>
      <c r="BR119" s="25"/>
      <c r="BS119" s="25"/>
      <c r="BT119" s="25"/>
      <c r="BU119" s="25"/>
      <c r="BX119" s="25"/>
      <c r="BY119" s="25"/>
      <c r="BZ119" s="25"/>
      <c r="CA119" s="25"/>
      <c r="CB119" s="25"/>
      <c r="CC119" s="25"/>
      <c r="CE119" s="25"/>
      <c r="CF119" s="25"/>
      <c r="CG119" s="25"/>
      <c r="CH119" s="25"/>
      <c r="CI119" s="25"/>
      <c r="CJ119" s="25"/>
    </row>
    <row r="120" spans="1:88" ht="14" customHeight="1">
      <c r="A120" s="83"/>
      <c r="B120" s="83"/>
      <c r="C120" s="83"/>
      <c r="D120" s="10"/>
      <c r="E120" s="11"/>
      <c r="F120" s="11"/>
      <c r="G120" s="11"/>
      <c r="H120" s="10"/>
      <c r="I120" s="11"/>
      <c r="J120" s="62"/>
      <c r="K120" s="14"/>
      <c r="L120" s="11"/>
      <c r="M120" s="63"/>
      <c r="N120" s="58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S120" s="25"/>
      <c r="AT120" s="25"/>
      <c r="AU120" s="25"/>
      <c r="AV120" s="25"/>
      <c r="AW120" s="25"/>
      <c r="AX120" s="25"/>
      <c r="AZ120" s="25"/>
      <c r="BA120" s="25"/>
      <c r="BB120" s="25"/>
      <c r="BC120" s="25"/>
      <c r="BD120" s="25"/>
      <c r="BE120" s="25"/>
      <c r="BI120" s="25"/>
      <c r="BJ120" s="25"/>
      <c r="BK120" s="25"/>
      <c r="BL120" s="25"/>
      <c r="BM120" s="25"/>
      <c r="BN120" s="25"/>
      <c r="BP120" s="25"/>
      <c r="BQ120" s="25"/>
      <c r="BR120" s="25"/>
      <c r="BS120" s="25"/>
      <c r="BT120" s="25"/>
      <c r="BU120" s="25"/>
      <c r="BX120" s="25"/>
      <c r="BY120" s="25"/>
      <c r="BZ120" s="25"/>
      <c r="CA120" s="25"/>
      <c r="CB120" s="25"/>
      <c r="CC120" s="25"/>
      <c r="CE120" s="25"/>
      <c r="CF120" s="25"/>
      <c r="CG120" s="25"/>
      <c r="CH120" s="25"/>
      <c r="CI120" s="25"/>
      <c r="CJ120" s="25"/>
    </row>
    <row r="121" spans="1:88">
      <c r="A121" s="73" t="str">
        <f>A67</f>
        <v>Expenditure : Very Poor HHs</v>
      </c>
      <c r="B121" s="2"/>
      <c r="C121" s="2"/>
      <c r="D121" s="31"/>
      <c r="E121" s="2"/>
      <c r="F121" s="2"/>
      <c r="G121" s="2"/>
      <c r="H121" s="31"/>
      <c r="I121" s="22"/>
      <c r="J121" s="18"/>
      <c r="L121" s="2"/>
      <c r="M121" s="57"/>
      <c r="N121" s="58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2"/>
      <c r="AC121" s="2"/>
      <c r="AD121" s="2"/>
      <c r="AE121" s="2"/>
      <c r="AF121" s="2"/>
      <c r="AG121" s="2"/>
      <c r="AM121" s="21"/>
      <c r="AN121" s="21"/>
      <c r="AO121" s="21"/>
      <c r="AV121" s="21"/>
      <c r="AW121" s="21"/>
      <c r="AX121" s="21"/>
      <c r="BC121" s="21"/>
      <c r="BD121" s="21"/>
      <c r="BE121" s="21"/>
      <c r="BL121" s="21"/>
      <c r="BM121" s="21"/>
      <c r="BN121" s="21"/>
      <c r="BS121" s="21"/>
      <c r="BT121" s="21"/>
      <c r="BU121" s="21"/>
      <c r="CA121" s="21"/>
      <c r="CB121" s="21"/>
      <c r="CC121" s="21"/>
      <c r="CH121" s="21"/>
      <c r="CI121" s="21"/>
      <c r="CJ121" s="21"/>
    </row>
    <row r="122" spans="1:88" ht="14" customHeight="1">
      <c r="A122" s="84"/>
      <c r="B122" s="19" t="s">
        <v>7</v>
      </c>
      <c r="C122" s="2"/>
      <c r="D122" s="16"/>
      <c r="H122" s="16" t="s">
        <v>12</v>
      </c>
      <c r="I122" s="19" t="s">
        <v>13</v>
      </c>
      <c r="J122" s="16" t="s">
        <v>14</v>
      </c>
      <c r="K122" s="19" t="s">
        <v>7</v>
      </c>
      <c r="L122" s="19" t="s">
        <v>15</v>
      </c>
      <c r="M122" s="57" t="str">
        <f t="shared" ref="M122:M130" si="66">(J122)</f>
        <v>Curr.</v>
      </c>
      <c r="N122" s="58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S122" s="25"/>
      <c r="AT122" s="25"/>
      <c r="AU122" s="25"/>
      <c r="AV122" s="25"/>
      <c r="AW122" s="25"/>
      <c r="AX122" s="25"/>
      <c r="AZ122" s="25"/>
      <c r="BA122" s="25"/>
      <c r="BB122" s="25"/>
      <c r="BC122" s="25"/>
      <c r="BD122" s="25"/>
      <c r="BE122" s="25"/>
      <c r="BI122" s="25"/>
      <c r="BJ122" s="25"/>
      <c r="BK122" s="25"/>
      <c r="BL122" s="25"/>
      <c r="BM122" s="25"/>
      <c r="BN122" s="25"/>
      <c r="BP122" s="25"/>
      <c r="BQ122" s="25"/>
      <c r="BR122" s="25"/>
      <c r="BS122" s="25"/>
      <c r="BT122" s="25"/>
      <c r="BU122" s="25"/>
      <c r="BX122" s="25"/>
      <c r="BY122" s="25"/>
      <c r="BZ122" s="25"/>
      <c r="CA122" s="25"/>
      <c r="CB122" s="25"/>
      <c r="CC122" s="25"/>
      <c r="CE122" s="25"/>
      <c r="CF122" s="25"/>
      <c r="CG122" s="25"/>
      <c r="CH122" s="25"/>
      <c r="CI122" s="25"/>
      <c r="CJ122" s="25"/>
    </row>
    <row r="123" spans="1:88" ht="14" customHeight="1">
      <c r="A123" s="2" t="s">
        <v>44</v>
      </c>
      <c r="B123" s="19" t="s">
        <v>35</v>
      </c>
      <c r="C123" s="2"/>
      <c r="D123" s="31"/>
      <c r="H123" s="16" t="s">
        <v>18</v>
      </c>
      <c r="I123" s="19" t="s">
        <v>35</v>
      </c>
      <c r="J123" s="16" t="s">
        <v>35</v>
      </c>
      <c r="K123" s="19" t="s">
        <v>35</v>
      </c>
      <c r="L123" s="19" t="s">
        <v>19</v>
      </c>
      <c r="M123" s="57" t="str">
        <f t="shared" si="66"/>
        <v>Expend</v>
      </c>
      <c r="N123" s="58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2"/>
      <c r="AC123" s="2"/>
      <c r="AD123" s="2"/>
      <c r="AE123" s="2"/>
      <c r="AF123" s="2"/>
      <c r="AG123" s="2"/>
    </row>
    <row r="124" spans="1:88" ht="14" customHeight="1">
      <c r="A124" s="110" t="s">
        <v>131</v>
      </c>
      <c r="B124" s="60">
        <f>B70/B$83</f>
        <v>1.8967898799892307</v>
      </c>
      <c r="C124" s="2"/>
      <c r="D124" s="24"/>
      <c r="H124" s="96">
        <f>(E70*F70/G$37*F$7/F$9)</f>
        <v>0.84848484848484851</v>
      </c>
      <c r="I124" s="29">
        <f>IF(SUMPRODUCT($B$124:$B124,$H$124:$H124)&lt;I$119,($B124*$H124),I$119)</f>
        <v>0.65507436632500637</v>
      </c>
      <c r="J124" s="237">
        <f>IF(SUMPRODUCT($B$124:$B124,$H$124:$H124)&lt;J$119,($B124*$H124),J$119)</f>
        <v>0.65507436632500637</v>
      </c>
      <c r="K124" s="29">
        <f>(B124)</f>
        <v>1.8967898799892307</v>
      </c>
      <c r="L124" s="29">
        <f>IF(SUMPRODUCT($B$124:$B124,$H$124:$H124)&lt;L$119,($B124*$H124),L$119)</f>
        <v>0.69418075692448389</v>
      </c>
      <c r="M124" s="240">
        <f t="shared" si="66"/>
        <v>0.65507436632500637</v>
      </c>
      <c r="N124" s="58"/>
      <c r="O124" s="174">
        <f>B124*H124</f>
        <v>1.6093974739302563</v>
      </c>
      <c r="P124" s="172"/>
      <c r="Q124" s="173"/>
      <c r="R124" s="69"/>
      <c r="S124" s="2"/>
      <c r="T124" s="2"/>
      <c r="U124" s="2"/>
      <c r="V124" s="2"/>
      <c r="W124" s="2"/>
      <c r="X124" s="2"/>
      <c r="Y124" s="2"/>
      <c r="Z124" s="2"/>
      <c r="AA124" s="2"/>
      <c r="AB124" s="22"/>
      <c r="AC124" s="2"/>
      <c r="AD124" s="2"/>
      <c r="AE124" s="2"/>
      <c r="AF124" s="2"/>
      <c r="AG124" s="2"/>
    </row>
    <row r="125" spans="1:88" ht="14" customHeight="1">
      <c r="A125" s="110" t="s">
        <v>132</v>
      </c>
      <c r="B125" s="60">
        <f>B71/B$83</f>
        <v>1.6014455622263599</v>
      </c>
      <c r="C125" s="2"/>
      <c r="D125" s="24"/>
      <c r="H125" s="96">
        <f>(E71*F71/G$37*F$7/F$9)</f>
        <v>0.7151515151515152</v>
      </c>
      <c r="I125" s="29">
        <f>IF(SUMPRODUCT($B$124:$B125,$H$124:$H125)&lt;I$119,($B125*$H125),IF(SUMPRODUCT($B$124:$B124,$H$124:$H124)&lt;I$119,I$119-SUMPRODUCT($B$124:$B124,$H$124:$H124),0))</f>
        <v>0</v>
      </c>
      <c r="J125" s="237">
        <f>IF(SUMPRODUCT($B$124:$B125,$H$124:$H125)&lt;J$119,($B125*$H125),IF(SUMPRODUCT($B$124:$B124,$H$124:$H124)&lt;J$119,J$119-SUMPRODUCT($B$124:$B124,$H$124:$H124),0))</f>
        <v>0</v>
      </c>
      <c r="K125" s="29">
        <f>(B125)</f>
        <v>1.6014455622263599</v>
      </c>
      <c r="L125" s="29">
        <f>IF(SUMPRODUCT($B$124:$B125,$H$124:$H125)&lt;L$119,($B125*$H125),IF(SUMPRODUCT($B$124:$B124,$H$124:$H124)&lt;L$119,L$119-SUMPRODUCT($B$124:$B124,$H$124:$H124),0))</f>
        <v>0</v>
      </c>
      <c r="M125" s="240">
        <f t="shared" si="66"/>
        <v>0</v>
      </c>
      <c r="N125" s="58"/>
      <c r="O125" s="174"/>
      <c r="P125" s="172"/>
      <c r="Q125" s="173"/>
      <c r="R125" s="69"/>
      <c r="S125" s="2"/>
      <c r="T125" s="2"/>
      <c r="U125" s="2"/>
      <c r="V125" s="2"/>
      <c r="W125" s="2"/>
      <c r="X125" s="2"/>
      <c r="Y125" s="2"/>
      <c r="Z125" s="2"/>
      <c r="AA125" s="2"/>
      <c r="AB125" s="22"/>
      <c r="AC125" s="2"/>
      <c r="AD125" s="2"/>
      <c r="AE125" s="2"/>
      <c r="AF125" s="2"/>
      <c r="AG125" s="2"/>
    </row>
    <row r="126" spans="1:88" ht="14" customHeight="1">
      <c r="A126" s="110" t="s">
        <v>133</v>
      </c>
      <c r="B126" s="60">
        <f>B72/B$83</f>
        <v>2.8256272690239785</v>
      </c>
      <c r="C126" s="2"/>
      <c r="D126" s="24"/>
      <c r="H126" s="96">
        <f>(E72*F72/G$37*F$7/F$9)</f>
        <v>0.7151515151515152</v>
      </c>
      <c r="I126" s="29">
        <f>IF(SUMPRODUCT($B$124:$B126,$H$124:$H126)&lt;(I$119-I$128),($B126*$H126),IF(SUMPRODUCT($B$124:$B125,$H$124:$H125)&lt;(I$119-I$128),I$119-I$128-SUMPRODUCT($B$124:$B125,$H$124:$H125),0))</f>
        <v>0</v>
      </c>
      <c r="J126" s="237">
        <f>IF(SUMPRODUCT($B$124:$B126,$H$124:$H126)&lt;(J$119-J$128),($B126*$H126),IF(SUMPRODUCT($B$124:$B125,$H$124:$H125)&lt;(J$119-J$128),J$119-J$128-SUMPRODUCT($B$124:$B125,$H$124:$H125),0))</f>
        <v>0</v>
      </c>
      <c r="K126" s="29">
        <f t="shared" ref="K126:K127" si="67">(B126)</f>
        <v>2.8256272690239785</v>
      </c>
      <c r="L126" s="29">
        <f>IF(SUMPRODUCT($B$124:$B126,$H$124:$H126)&lt;(L$119-L$128),($B126*$H126),IF(SUMPRODUCT($B$124:$B125,$H$124:$H125)&lt;(L$119-L$128),L$119-L$128-SUMPRODUCT($B$124:$B125,$H$124:$H125),0))</f>
        <v>0</v>
      </c>
      <c r="M126" s="240">
        <f t="shared" si="66"/>
        <v>0</v>
      </c>
      <c r="N126" s="58"/>
      <c r="O126" s="174"/>
      <c r="P126" s="172"/>
      <c r="Q126" s="173"/>
      <c r="R126" s="69"/>
      <c r="S126" s="2"/>
      <c r="T126" s="2"/>
      <c r="U126" s="2"/>
      <c r="V126" s="2"/>
      <c r="W126" s="2"/>
      <c r="X126" s="2"/>
      <c r="Y126" s="2"/>
      <c r="Z126" s="2"/>
      <c r="AA126" s="2"/>
      <c r="AB126" s="22"/>
      <c r="AC126" s="2"/>
      <c r="AD126" s="2"/>
      <c r="AE126" s="2"/>
      <c r="AF126" s="2"/>
      <c r="AG126" s="2"/>
    </row>
    <row r="127" spans="1:88" ht="14" customHeight="1">
      <c r="A127" s="110" t="s">
        <v>134</v>
      </c>
      <c r="B127" s="60">
        <f>B73/B$83</f>
        <v>0.21783098969253675</v>
      </c>
      <c r="C127" s="2"/>
      <c r="D127" s="24"/>
      <c r="H127" s="96">
        <f>(E73*F73/G$37*F$7/F$9)</f>
        <v>0.7151515151515152</v>
      </c>
      <c r="I127" s="29">
        <f>IF(SUMPRODUCT($B$124:$B127,$H$124:$H127)&lt;(I$119-I$128),($B127*$H127),IF(SUMPRODUCT($B$124:$B126,$H$124:$H126)&lt;(I$119-I128),I$119-I$128-SUMPRODUCT($B$124:$B126,$H$124:$H126),0))</f>
        <v>0</v>
      </c>
      <c r="J127" s="237">
        <f>IF(SUMPRODUCT($B$124:$B127,$H$124:$H127)&lt;(J$119-J$128),($B127*$H127),IF(SUMPRODUCT($B$124:$B126,$H$124:$H126)&lt;(J$119-J128),J$119-J$128-SUMPRODUCT($B$124:$B126,$H$124:$H126),0))</f>
        <v>0</v>
      </c>
      <c r="K127" s="29">
        <f t="shared" si="67"/>
        <v>0.21783098969253675</v>
      </c>
      <c r="L127" s="29">
        <f>IF(SUMPRODUCT($B$124:$B127,$H$124:$H127)&lt;(L$119-L$128),($B127*$H127),IF(SUMPRODUCT($B$124:$B126,$H$124:$H126)&lt;(L$119-L128),L$119-L$128-SUMPRODUCT($B$124:$B126,$H$124:$H126),0))</f>
        <v>0</v>
      </c>
      <c r="M127" s="240">
        <f t="shared" si="66"/>
        <v>0</v>
      </c>
      <c r="N127" s="58"/>
      <c r="O127" s="174">
        <f>B127*H127</f>
        <v>0.15578216232557174</v>
      </c>
      <c r="Q127" s="2"/>
      <c r="R127" s="22"/>
      <c r="S127" s="2"/>
      <c r="T127" s="2"/>
      <c r="U127" s="2"/>
      <c r="V127" s="2"/>
      <c r="W127" s="2"/>
      <c r="X127" s="2"/>
      <c r="Y127" s="2"/>
      <c r="Z127" s="2"/>
      <c r="AA127" s="2"/>
      <c r="AB127" s="22"/>
      <c r="AC127" s="2"/>
      <c r="AD127" s="2"/>
      <c r="AE127" s="2"/>
      <c r="AF127" s="2"/>
      <c r="AG127" s="2"/>
    </row>
    <row r="128" spans="1:88" ht="14" customHeight="1">
      <c r="A128" s="1" t="s">
        <v>135</v>
      </c>
      <c r="B128" s="29">
        <f>(B30)</f>
        <v>0.6111905354919055</v>
      </c>
      <c r="C128" s="2"/>
      <c r="D128" s="31"/>
      <c r="E128" s="2"/>
      <c r="F128" s="2"/>
      <c r="G128" s="2"/>
      <c r="H128" s="24"/>
      <c r="I128" s="29">
        <f>(I30)</f>
        <v>0</v>
      </c>
      <c r="J128" s="228">
        <f>(J30)</f>
        <v>0</v>
      </c>
      <c r="K128" s="29">
        <f>(B128)</f>
        <v>0.6111905354919055</v>
      </c>
      <c r="L128" s="29">
        <f>IF(L124=L119,0,(L119-L124)/(B119-B124)*K128)</f>
        <v>0</v>
      </c>
      <c r="M128" s="240">
        <f t="shared" si="66"/>
        <v>0</v>
      </c>
      <c r="N128" s="58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2"/>
      <c r="AC128" s="2"/>
      <c r="AD128" s="2"/>
      <c r="AE128" s="2"/>
      <c r="AF128" s="2"/>
      <c r="AG128" s="2"/>
    </row>
    <row r="129" spans="1:33" ht="14" customHeight="1">
      <c r="A129" s="56" t="s">
        <v>55</v>
      </c>
      <c r="B129" s="29">
        <f>IF(SUM(B124:B128)&gt;B130,0,B130-B124-B125-B126-B127-B128)</f>
        <v>0</v>
      </c>
      <c r="C129" s="2"/>
      <c r="D129" s="31"/>
      <c r="E129" s="2"/>
      <c r="F129" s="2"/>
      <c r="G129" s="2"/>
      <c r="H129" s="24"/>
      <c r="I129" s="29"/>
      <c r="J129" s="228">
        <f>IF(SUM(J124:J128)&gt;J130,0,J130-SUM(J124:J128))</f>
        <v>0</v>
      </c>
      <c r="K129" s="29">
        <f>(B129)</f>
        <v>0</v>
      </c>
      <c r="L129" s="60">
        <f>IF(SUM(L124:L128)&gt;L130,0,L130-SUM(L124:L128))</f>
        <v>0</v>
      </c>
      <c r="M129" s="240">
        <f t="shared" si="66"/>
        <v>0</v>
      </c>
      <c r="N129" s="58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2"/>
      <c r="AC129" s="2"/>
      <c r="AD129" s="2"/>
      <c r="AE129" s="2"/>
      <c r="AF129" s="2"/>
      <c r="AG129" s="2"/>
    </row>
    <row r="130" spans="1:33" ht="14" customHeight="1">
      <c r="A130" s="2" t="s">
        <v>32</v>
      </c>
      <c r="B130" s="29">
        <f>(B119)</f>
        <v>3.1200189954771558</v>
      </c>
      <c r="C130" s="2"/>
      <c r="D130" s="31"/>
      <c r="E130" s="2"/>
      <c r="F130" s="2"/>
      <c r="G130" s="2"/>
      <c r="H130" s="24"/>
      <c r="I130" s="29">
        <f>(I119)</f>
        <v>0.65507436632500637</v>
      </c>
      <c r="J130" s="228">
        <f>(J119)</f>
        <v>0.65507436632500637</v>
      </c>
      <c r="K130" s="29">
        <f>(B130)</f>
        <v>3.1200189954771558</v>
      </c>
      <c r="L130" s="29">
        <f>(L119)</f>
        <v>0.69418075692448389</v>
      </c>
      <c r="M130" s="240">
        <f t="shared" si="66"/>
        <v>0.65507436632500637</v>
      </c>
      <c r="N130" s="58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2"/>
      <c r="AC130" s="2"/>
      <c r="AD130" s="2"/>
      <c r="AE130" s="2"/>
      <c r="AF130" s="2"/>
      <c r="AG130" s="2"/>
    </row>
    <row r="131" spans="1:33" ht="14" customHeight="1">
      <c r="A131" s="2" t="s">
        <v>36</v>
      </c>
      <c r="B131" s="22"/>
      <c r="C131" s="2"/>
      <c r="D131" s="31"/>
      <c r="E131" s="2"/>
      <c r="F131" s="2"/>
      <c r="G131" s="2"/>
      <c r="H131" s="24"/>
      <c r="I131" s="29">
        <f>IF(SUMPRODUCT($B124:$B125,$H124:$H125)&gt;(I119-I128),SUMPRODUCT($B124:$B125,$H124:$H125)+I128-I119,0)</f>
        <v>2.0995993278641012</v>
      </c>
      <c r="J131" s="237">
        <f>IF(SUMPRODUCT($B124:$B125,$H124:$H125)&gt;(J119-J128),SUMPRODUCT($B124:$B125,$H124:$H125)+J128-J119,0)</f>
        <v>2.0995993278641012</v>
      </c>
      <c r="K131" s="29"/>
      <c r="L131" s="29">
        <f>IF(I131&lt;SUM(L126:L127),0,I131-(SUM(L126:L127)))</f>
        <v>2.0995993278641012</v>
      </c>
      <c r="M131" s="237">
        <f>IF(I131&lt;SUM(M126:M127),0,I131-(SUM(M126:M127)))</f>
        <v>2.0995993278641012</v>
      </c>
      <c r="N131" s="58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2"/>
      <c r="AC131" s="2"/>
      <c r="AD131" s="2"/>
      <c r="AE131" s="2"/>
      <c r="AF131" s="2"/>
      <c r="AG131" s="2"/>
    </row>
    <row r="132" spans="1:33" ht="14" customHeight="1">
      <c r="A132" s="14"/>
      <c r="B132" s="14"/>
      <c r="C132" s="14"/>
      <c r="D132" s="12"/>
      <c r="E132" s="14"/>
      <c r="F132" s="14"/>
      <c r="G132" s="14"/>
      <c r="H132" s="12"/>
      <c r="I132" s="14"/>
      <c r="J132" s="12"/>
      <c r="K132" s="14"/>
      <c r="L132" s="14"/>
      <c r="M132" s="66"/>
      <c r="N132" s="58"/>
    </row>
    <row r="142" spans="1:33">
      <c r="A142" s="2"/>
      <c r="B142" s="2"/>
      <c r="C142" s="2"/>
      <c r="D142" s="2"/>
      <c r="E142" s="2"/>
      <c r="F142" s="2"/>
      <c r="G142" s="2"/>
      <c r="H142" s="2"/>
      <c r="I142" s="2"/>
      <c r="J142" s="2"/>
      <c r="L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</row>
    <row r="143" spans="1:33">
      <c r="B143" s="22"/>
      <c r="C143" s="22"/>
      <c r="D143" s="2"/>
      <c r="E143" s="2"/>
      <c r="F143" s="2"/>
      <c r="G143" s="2"/>
      <c r="H143" s="2"/>
      <c r="I143" s="22"/>
      <c r="J143" s="2"/>
      <c r="L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68"/>
      <c r="AC143" s="2"/>
      <c r="AD143" s="2"/>
      <c r="AE143" s="2"/>
      <c r="AF143" s="2"/>
      <c r="AG143" s="2"/>
    </row>
    <row r="144" spans="1:33">
      <c r="B144" s="22"/>
      <c r="C144" s="22"/>
      <c r="D144" s="2"/>
      <c r="E144" s="2"/>
      <c r="F144" s="2"/>
      <c r="G144" s="2"/>
      <c r="H144" s="2"/>
      <c r="I144" s="2"/>
      <c r="J144" s="2"/>
      <c r="L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68"/>
      <c r="AC144" s="2"/>
      <c r="AD144" s="2"/>
      <c r="AE144" s="2"/>
      <c r="AF144" s="2"/>
      <c r="AG144" s="2"/>
    </row>
    <row r="145" spans="1:33">
      <c r="B145" s="22"/>
      <c r="C145" s="22"/>
      <c r="D145" s="2"/>
      <c r="E145" s="2"/>
      <c r="F145" s="2"/>
      <c r="G145" s="2"/>
      <c r="H145" s="2"/>
      <c r="I145" s="22"/>
      <c r="J145" s="2"/>
      <c r="L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68"/>
      <c r="AC145" s="2"/>
      <c r="AD145" s="2"/>
      <c r="AE145" s="2"/>
      <c r="AF145" s="2"/>
      <c r="AG145" s="2"/>
    </row>
    <row r="146" spans="1:33">
      <c r="B146" s="2"/>
      <c r="C146" s="2"/>
      <c r="D146" s="2"/>
      <c r="E146" s="2"/>
      <c r="F146" s="2"/>
      <c r="G146" s="2"/>
      <c r="H146" s="2"/>
      <c r="I146" s="2"/>
      <c r="J146" s="2"/>
      <c r="L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68"/>
      <c r="AC146" s="2"/>
      <c r="AD146" s="2"/>
      <c r="AE146" s="2"/>
      <c r="AF146" s="2"/>
      <c r="AG146" s="2"/>
    </row>
    <row r="147" spans="1:33">
      <c r="B147" s="22"/>
      <c r="C147" s="22"/>
      <c r="D147" s="2"/>
      <c r="E147" s="2"/>
      <c r="F147" s="2"/>
      <c r="G147" s="2"/>
      <c r="H147" s="2"/>
      <c r="I147" s="2"/>
      <c r="J147" s="2"/>
      <c r="L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68"/>
      <c r="AC147" s="2"/>
      <c r="AD147" s="2"/>
      <c r="AE147" s="2"/>
      <c r="AF147" s="2"/>
      <c r="AG147" s="2"/>
    </row>
    <row r="148" spans="1:33">
      <c r="B148" s="22"/>
      <c r="C148" s="22"/>
      <c r="D148" s="2"/>
      <c r="E148" s="2"/>
      <c r="F148" s="2"/>
      <c r="G148" s="2"/>
      <c r="H148" s="2"/>
      <c r="I148" s="2"/>
      <c r="J148" s="2"/>
      <c r="L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68"/>
      <c r="AC148" s="2"/>
      <c r="AD148" s="2"/>
      <c r="AE148" s="2"/>
      <c r="AF148" s="2"/>
      <c r="AG148" s="2"/>
    </row>
    <row r="149" spans="1:33">
      <c r="B149" s="22"/>
      <c r="C149" s="22"/>
      <c r="D149" s="2"/>
      <c r="E149" s="2"/>
      <c r="F149" s="2"/>
      <c r="G149" s="2"/>
      <c r="H149" s="2"/>
      <c r="I149" s="2"/>
      <c r="J149" s="2"/>
      <c r="L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68"/>
      <c r="AC149" s="2"/>
      <c r="AD149" s="2"/>
      <c r="AE149" s="2"/>
      <c r="AF149" s="2"/>
      <c r="AG149" s="2"/>
    </row>
    <row r="150" spans="1:33">
      <c r="B150" s="22"/>
      <c r="C150" s="22"/>
      <c r="D150" s="2"/>
      <c r="E150" s="2"/>
      <c r="F150" s="2"/>
      <c r="G150" s="2"/>
      <c r="H150" s="2"/>
      <c r="I150" s="2"/>
      <c r="J150" s="2"/>
      <c r="L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68"/>
      <c r="AC150" s="2"/>
      <c r="AD150" s="2"/>
      <c r="AE150" s="2"/>
      <c r="AF150" s="2"/>
      <c r="AG150" s="2"/>
    </row>
    <row r="151" spans="1:33">
      <c r="B151" s="22"/>
      <c r="C151" s="22"/>
      <c r="D151" s="2"/>
      <c r="E151" s="2"/>
      <c r="F151" s="2"/>
      <c r="G151" s="2"/>
      <c r="H151" s="2"/>
      <c r="I151" s="2"/>
      <c r="J151" s="2"/>
      <c r="L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68"/>
      <c r="AC151" s="2"/>
      <c r="AD151" s="2"/>
      <c r="AE151" s="2"/>
      <c r="AF151" s="2"/>
      <c r="AG151" s="2"/>
    </row>
    <row r="152" spans="1:33">
      <c r="B152" s="22"/>
      <c r="C152" s="22"/>
      <c r="D152" s="2"/>
      <c r="E152" s="2"/>
      <c r="F152" s="2"/>
      <c r="G152" s="2"/>
      <c r="H152" s="2"/>
      <c r="I152" s="2"/>
      <c r="J152" s="2"/>
      <c r="L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68"/>
      <c r="AC152" s="2"/>
      <c r="AD152" s="2"/>
      <c r="AE152" s="2"/>
      <c r="AF152" s="2"/>
      <c r="AG152" s="2"/>
    </row>
    <row r="153" spans="1:33">
      <c r="A153" s="2"/>
      <c r="B153" s="2"/>
      <c r="C153" s="2"/>
      <c r="D153" s="2"/>
      <c r="E153" s="2"/>
      <c r="F153" s="2"/>
      <c r="G153" s="2"/>
      <c r="H153" s="2"/>
      <c r="I153" s="2"/>
      <c r="J153" s="2"/>
      <c r="L153" s="2"/>
      <c r="O153" s="2"/>
      <c r="P153" s="2"/>
      <c r="Q153" s="2"/>
      <c r="R153" s="2"/>
      <c r="S153" s="2"/>
      <c r="T153" s="2"/>
      <c r="U153" s="2"/>
      <c r="V153" s="2"/>
      <c r="W153" s="69"/>
      <c r="X153" s="2"/>
      <c r="Y153" s="2"/>
      <c r="Z153" s="2"/>
      <c r="AA153" s="2"/>
      <c r="AB153" s="2"/>
      <c r="AC153" s="2"/>
      <c r="AD153" s="2"/>
      <c r="AE153" s="2"/>
      <c r="AF153" s="2"/>
      <c r="AG153" s="2"/>
    </row>
    <row r="154" spans="1:33">
      <c r="A154" s="3"/>
      <c r="B154" s="2"/>
      <c r="C154" s="2"/>
      <c r="D154" s="2"/>
      <c r="E154" s="2"/>
      <c r="F154" s="2"/>
      <c r="H154" s="2"/>
      <c r="I154" s="2"/>
      <c r="J154" s="2"/>
      <c r="L154" s="2"/>
      <c r="W154" s="71"/>
    </row>
    <row r="155" spans="1:33">
      <c r="A155" s="2"/>
      <c r="B155" s="2"/>
      <c r="C155" s="2"/>
      <c r="D155" s="2"/>
      <c r="E155" s="2"/>
      <c r="F155" s="2"/>
      <c r="H155" s="2"/>
      <c r="I155" s="2"/>
      <c r="J155" s="2"/>
      <c r="L155" s="2"/>
      <c r="W155" s="71"/>
    </row>
    <row r="156" spans="1:33">
      <c r="A156" s="2"/>
      <c r="B156" s="2"/>
      <c r="C156" s="2"/>
      <c r="D156" s="2"/>
      <c r="E156" s="2"/>
      <c r="F156" s="2"/>
      <c r="H156" s="2"/>
      <c r="I156" s="2"/>
      <c r="J156" s="2"/>
      <c r="L156" s="2"/>
      <c r="W156" s="71"/>
    </row>
    <row r="157" spans="1:33">
      <c r="A157" s="22"/>
      <c r="B157" s="2"/>
      <c r="C157" s="2"/>
      <c r="D157" s="2"/>
      <c r="E157" s="2"/>
      <c r="F157" s="2"/>
      <c r="H157" s="2"/>
      <c r="I157" s="2"/>
      <c r="J157" s="2"/>
      <c r="L157" s="2"/>
      <c r="W157" s="71"/>
    </row>
    <row r="158" spans="1:33">
      <c r="A158" s="2"/>
      <c r="B158" s="2"/>
      <c r="C158" s="2"/>
      <c r="D158" s="2"/>
      <c r="E158" s="2"/>
      <c r="F158" s="2"/>
      <c r="H158" s="2"/>
      <c r="I158" s="2"/>
      <c r="J158" s="2"/>
      <c r="L158" s="2"/>
      <c r="W158" s="71"/>
    </row>
    <row r="159" spans="1:33">
      <c r="A159" s="2"/>
      <c r="B159" s="2"/>
      <c r="C159" s="2"/>
      <c r="D159" s="2"/>
      <c r="E159" s="2"/>
      <c r="F159" s="2"/>
      <c r="H159" s="2"/>
      <c r="I159" s="2"/>
      <c r="J159" s="2"/>
      <c r="L159" s="2"/>
    </row>
    <row r="160" spans="1:33">
      <c r="A160" s="2"/>
      <c r="B160" s="2"/>
      <c r="C160" s="2"/>
      <c r="D160" s="2"/>
      <c r="E160" s="2"/>
      <c r="F160" s="2"/>
      <c r="H160" s="2"/>
      <c r="I160" s="2"/>
      <c r="J160" s="2"/>
      <c r="L160" s="2"/>
    </row>
    <row r="161" spans="1:28">
      <c r="A161" s="2"/>
      <c r="B161" s="2"/>
      <c r="C161" s="2"/>
      <c r="D161" s="2"/>
      <c r="E161" s="2"/>
      <c r="F161" s="2"/>
      <c r="H161" s="2"/>
      <c r="I161" s="2"/>
      <c r="J161" s="2"/>
      <c r="L161" s="2"/>
      <c r="AB161" s="71"/>
    </row>
    <row r="162" spans="1:28">
      <c r="A162" s="2"/>
      <c r="B162" s="2"/>
      <c r="C162" s="2"/>
      <c r="D162" s="2"/>
      <c r="E162" s="2"/>
      <c r="F162" s="2"/>
      <c r="H162" s="2"/>
      <c r="I162" s="2"/>
      <c r="J162" s="2"/>
      <c r="L162" s="2"/>
      <c r="AB162" s="71"/>
    </row>
    <row r="163" spans="1:28">
      <c r="A163" s="2"/>
      <c r="B163" s="2"/>
      <c r="C163" s="2"/>
      <c r="D163" s="2"/>
      <c r="E163" s="2"/>
      <c r="F163" s="2"/>
      <c r="H163" s="2"/>
      <c r="I163" s="2"/>
      <c r="J163" s="2"/>
      <c r="L163" s="2"/>
      <c r="AB163" s="71"/>
    </row>
    <row r="164" spans="1:28">
      <c r="A164" s="2"/>
      <c r="B164" s="2"/>
      <c r="C164" s="2"/>
      <c r="D164" s="2"/>
      <c r="E164" s="2"/>
      <c r="F164" s="2"/>
      <c r="H164" s="2"/>
      <c r="I164" s="2"/>
      <c r="J164" s="2"/>
      <c r="L164" s="2"/>
      <c r="AB164" s="71"/>
    </row>
    <row r="165" spans="1:28">
      <c r="A165" s="2"/>
      <c r="B165" s="2"/>
      <c r="C165" s="2"/>
      <c r="D165" s="2"/>
      <c r="E165" s="2"/>
      <c r="F165" s="2"/>
      <c r="H165" s="2"/>
      <c r="I165" s="2"/>
      <c r="J165" s="2"/>
      <c r="L165" s="2"/>
      <c r="W165" s="72"/>
      <c r="AB165" s="71"/>
    </row>
    <row r="166" spans="1:28">
      <c r="A166" s="2"/>
      <c r="B166" s="2"/>
      <c r="C166" s="2"/>
      <c r="D166" s="2"/>
      <c r="E166" s="2"/>
      <c r="F166" s="2"/>
      <c r="H166" s="2"/>
      <c r="I166" s="2"/>
      <c r="J166" s="2"/>
      <c r="L166" s="2"/>
      <c r="W166" s="72"/>
      <c r="AB166" s="71"/>
    </row>
    <row r="167" spans="1:28">
      <c r="A167" s="2"/>
      <c r="B167" s="2"/>
      <c r="C167" s="2"/>
      <c r="D167" s="2"/>
      <c r="E167" s="2"/>
      <c r="F167" s="2"/>
      <c r="H167" s="2"/>
      <c r="I167" s="2"/>
      <c r="J167" s="2"/>
      <c r="L167" s="2"/>
      <c r="AB167" s="71"/>
    </row>
    <row r="168" spans="1:28">
      <c r="A168" s="2"/>
      <c r="B168" s="2"/>
      <c r="C168" s="2"/>
      <c r="D168" s="2"/>
      <c r="E168" s="2"/>
      <c r="F168" s="2"/>
      <c r="H168" s="2"/>
      <c r="I168" s="2"/>
      <c r="J168" s="2"/>
      <c r="L168" s="2"/>
      <c r="AB168" s="71"/>
    </row>
    <row r="169" spans="1:28">
      <c r="A169" s="2"/>
      <c r="B169" s="2"/>
      <c r="C169" s="2"/>
      <c r="D169" s="2"/>
      <c r="E169" s="2"/>
      <c r="F169" s="2"/>
      <c r="H169" s="2"/>
      <c r="I169" s="2"/>
      <c r="J169" s="2"/>
      <c r="L169" s="2"/>
      <c r="AB169" s="71"/>
    </row>
    <row r="170" spans="1:28">
      <c r="A170" s="2"/>
      <c r="B170" s="2"/>
      <c r="C170" s="2"/>
      <c r="D170" s="2"/>
      <c r="E170" s="2"/>
      <c r="F170" s="2"/>
      <c r="H170" s="2"/>
      <c r="I170" s="2"/>
      <c r="J170" s="2"/>
      <c r="L170" s="2"/>
    </row>
    <row r="171" spans="1:28">
      <c r="A171" s="2"/>
      <c r="B171" s="2"/>
      <c r="C171" s="2"/>
      <c r="D171" s="2"/>
      <c r="E171" s="2"/>
      <c r="F171" s="2"/>
      <c r="H171" s="2"/>
      <c r="I171" s="2"/>
      <c r="J171" s="2"/>
      <c r="L171" s="2"/>
      <c r="W171" s="72"/>
      <c r="AB171" s="71"/>
    </row>
    <row r="172" spans="1:28">
      <c r="A172" s="2"/>
      <c r="B172" s="2"/>
      <c r="C172" s="2"/>
      <c r="D172" s="2"/>
      <c r="E172" s="2"/>
      <c r="F172" s="2"/>
      <c r="H172" s="2"/>
      <c r="I172" s="2"/>
      <c r="J172" s="2"/>
      <c r="L172" s="2"/>
      <c r="W172" s="72"/>
    </row>
    <row r="173" spans="1:28">
      <c r="A173" s="2"/>
      <c r="B173" s="2"/>
      <c r="C173" s="2"/>
      <c r="D173" s="2"/>
      <c r="E173" s="2"/>
      <c r="F173" s="2"/>
      <c r="H173" s="2"/>
      <c r="I173" s="2"/>
      <c r="J173" s="2"/>
      <c r="L173" s="2"/>
    </row>
    <row r="174" spans="1:28">
      <c r="A174" s="2"/>
      <c r="B174" s="2"/>
      <c r="C174" s="2"/>
      <c r="D174" s="2"/>
      <c r="E174" s="2"/>
      <c r="F174" s="2"/>
      <c r="H174" s="2"/>
      <c r="I174" s="2"/>
      <c r="J174" s="2"/>
      <c r="L174" s="2"/>
    </row>
    <row r="175" spans="1:28">
      <c r="A175" s="2"/>
      <c r="B175" s="2"/>
      <c r="C175" s="2"/>
      <c r="D175" s="2"/>
      <c r="E175" s="2"/>
      <c r="F175" s="2"/>
      <c r="H175" s="2"/>
      <c r="I175" s="2"/>
      <c r="J175" s="2"/>
      <c r="L175" s="2"/>
      <c r="AB175" s="71"/>
    </row>
    <row r="176" spans="1:28">
      <c r="A176" s="2"/>
      <c r="B176" s="2"/>
      <c r="C176" s="2"/>
      <c r="D176" s="2"/>
      <c r="E176" s="2"/>
      <c r="F176" s="2"/>
      <c r="H176" s="2"/>
      <c r="I176" s="2"/>
      <c r="J176" s="2"/>
      <c r="L176" s="2"/>
      <c r="AB176" s="71"/>
    </row>
    <row r="177" spans="1:28">
      <c r="A177" s="2"/>
      <c r="B177" s="2"/>
      <c r="C177" s="2"/>
      <c r="D177" s="2"/>
      <c r="E177" s="2"/>
      <c r="F177" s="2"/>
      <c r="H177" s="2"/>
      <c r="I177" s="2"/>
      <c r="J177" s="2"/>
      <c r="L177" s="2"/>
      <c r="W177" s="72"/>
      <c r="AB177" s="71"/>
    </row>
    <row r="178" spans="1:28">
      <c r="A178" s="2"/>
      <c r="B178" s="2"/>
      <c r="C178" s="2"/>
      <c r="D178" s="2"/>
      <c r="E178" s="2"/>
      <c r="F178" s="2"/>
      <c r="H178" s="2"/>
      <c r="I178" s="2"/>
      <c r="J178" s="2"/>
      <c r="L178" s="2"/>
      <c r="W178" s="72"/>
      <c r="AB178" s="71"/>
    </row>
    <row r="179" spans="1:28">
      <c r="A179" s="2"/>
      <c r="B179" s="2"/>
      <c r="C179" s="2"/>
      <c r="D179" s="2"/>
      <c r="E179" s="2"/>
      <c r="F179" s="2"/>
      <c r="H179" s="2"/>
      <c r="I179" s="2"/>
      <c r="J179" s="2"/>
      <c r="L179" s="2"/>
      <c r="AB179" s="71"/>
    </row>
    <row r="180" spans="1:28">
      <c r="A180" s="2"/>
      <c r="B180" s="2"/>
      <c r="C180" s="2"/>
      <c r="D180" s="2"/>
      <c r="E180" s="2"/>
      <c r="F180" s="2"/>
      <c r="H180" s="2"/>
      <c r="I180" s="2"/>
      <c r="J180" s="2"/>
      <c r="L180" s="2"/>
      <c r="AB180" s="71"/>
    </row>
    <row r="181" spans="1:28">
      <c r="A181" s="2"/>
      <c r="B181" s="2"/>
      <c r="C181" s="2"/>
      <c r="D181" s="2"/>
      <c r="E181" s="2"/>
      <c r="F181" s="2"/>
      <c r="H181" s="2"/>
      <c r="I181" s="2"/>
      <c r="J181" s="2"/>
      <c r="L181" s="2"/>
    </row>
    <row r="182" spans="1:28">
      <c r="A182" s="2"/>
      <c r="B182" s="2"/>
      <c r="C182" s="2"/>
      <c r="D182" s="2"/>
      <c r="E182" s="2"/>
      <c r="F182" s="2"/>
      <c r="H182" s="2"/>
      <c r="I182" s="2"/>
      <c r="J182" s="2"/>
      <c r="L182" s="2"/>
    </row>
    <row r="183" spans="1:28">
      <c r="A183" s="2"/>
      <c r="B183" s="2"/>
      <c r="C183" s="2"/>
      <c r="D183" s="2"/>
      <c r="E183" s="2"/>
      <c r="F183" s="2"/>
      <c r="H183" s="2"/>
      <c r="I183" s="2"/>
      <c r="J183" s="2"/>
      <c r="L183" s="2"/>
    </row>
    <row r="184" spans="1:28">
      <c r="A184" s="2"/>
      <c r="B184" s="2"/>
      <c r="C184" s="2"/>
      <c r="D184" s="2"/>
      <c r="E184" s="2"/>
      <c r="F184" s="2"/>
      <c r="H184" s="2"/>
      <c r="I184" s="2"/>
      <c r="J184" s="2"/>
      <c r="L184" s="2"/>
    </row>
    <row r="185" spans="1:28">
      <c r="AB185" s="71"/>
    </row>
    <row r="186" spans="1:28">
      <c r="AB186" s="71"/>
    </row>
    <row r="187" spans="1:28">
      <c r="AB187" s="71"/>
    </row>
    <row r="188" spans="1:28">
      <c r="AB188" s="71"/>
    </row>
    <row r="189" spans="1:28">
      <c r="W189" s="72"/>
      <c r="AB189" s="71"/>
    </row>
    <row r="190" spans="1:28">
      <c r="W190" s="72"/>
      <c r="AB190" s="71"/>
    </row>
    <row r="191" spans="1:28">
      <c r="W191" s="72"/>
    </row>
    <row r="193" spans="23:28">
      <c r="AB193" s="71"/>
    </row>
    <row r="194" spans="23:28">
      <c r="AB194" s="71"/>
    </row>
    <row r="195" spans="23:28">
      <c r="AB195" s="71"/>
    </row>
    <row r="196" spans="23:28">
      <c r="AB196" s="71"/>
    </row>
    <row r="197" spans="23:28">
      <c r="AB197" s="71"/>
    </row>
    <row r="198" spans="23:28">
      <c r="W198" s="72"/>
      <c r="AB198" s="71"/>
    </row>
    <row r="199" spans="23:28">
      <c r="W199" s="72"/>
    </row>
    <row r="200" spans="23:28">
      <c r="W200" s="72"/>
    </row>
    <row r="207" spans="23:28">
      <c r="W207" s="72"/>
    </row>
    <row r="208" spans="23:28">
      <c r="W208" s="72"/>
    </row>
    <row r="209" spans="23:23">
      <c r="W209" s="72"/>
    </row>
    <row r="219" spans="23:23">
      <c r="W219" s="72"/>
    </row>
    <row r="220" spans="23:23">
      <c r="W220" s="72"/>
    </row>
    <row r="221" spans="23:23">
      <c r="W221" s="72"/>
    </row>
    <row r="228" spans="23:23">
      <c r="W228" s="72"/>
    </row>
    <row r="229" spans="23:23">
      <c r="W229" s="72"/>
    </row>
    <row r="230" spans="23:23">
      <c r="W230" s="72"/>
    </row>
    <row r="237" spans="23:23">
      <c r="W237" s="72"/>
    </row>
    <row r="238" spans="23:23">
      <c r="W238" s="72"/>
    </row>
    <row r="239" spans="23:23">
      <c r="W239" s="72"/>
    </row>
    <row r="249" spans="23:23">
      <c r="W249" s="72"/>
    </row>
    <row r="250" spans="23:23">
      <c r="W250" s="72"/>
    </row>
    <row r="251" spans="23:23">
      <c r="W251" s="72"/>
    </row>
    <row r="258" spans="23:23">
      <c r="W258" s="72"/>
    </row>
    <row r="259" spans="23:23">
      <c r="W259" s="72"/>
    </row>
    <row r="260" spans="23:23">
      <c r="W260" s="72"/>
    </row>
    <row r="267" spans="23:23">
      <c r="W267" s="72"/>
    </row>
    <row r="268" spans="23:23">
      <c r="W268" s="72"/>
    </row>
    <row r="269" spans="23:23">
      <c r="W269" s="72"/>
    </row>
  </sheetData>
  <sheetProtection sheet="1" formatCells="0" formatColumns="0" formatRows="0" insertHyperlinks="0"/>
  <scenarios current="0" show="0">
    <scenario name="1999" locked="1" count="23" user="Mark Lawrence" comment="Created by Mark Lawrence on 24/08/00_x000d_Modified by Mark Lawrence on 24/08/00_x000d_Modified by Mark Lawrence on 25/08/00">
      <inputCells r="E6" val="3" numFmtId="9"/>
      <inputCells r="E7" val="1" numFmtId="9"/>
      <inputCells r="E13" val="1.25" numFmtId="9"/>
      <inputCells r="F9" val="1900" numFmtId="1"/>
      <inputCells r="E14" val="1" numFmtId="9"/>
      <inputCells r="E27" val="1" numFmtId="9"/>
      <inputCells r="E28" val="1" numFmtId="9"/>
      <inputCells r="E29" val="1" numFmtId="9"/>
      <inputCells r="E40" val="1" numFmtId="9"/>
      <inputCells r="E44" val="1" numFmtId="9"/>
      <inputCells r="E45" val="1" numFmtId="9"/>
      <inputCells r="E46" val="1" numFmtId="9"/>
      <inputCells r="E64" val="1" numFmtId="9"/>
      <inputCells r="F38" val="1" numFmtId="9"/>
      <inputCells r="F39" val="2" numFmtId="9"/>
      <inputCells r="F40" val="1.25" numFmtId="9"/>
      <inputCells r="F44" val="1" numFmtId="9"/>
      <inputCells r="F45" val="0.4" numFmtId="9"/>
      <inputCells r="F46" val="1" numFmtId="9"/>
      <inputCells r="F64" val="1" numFmtId="9"/>
      <inputCells r="F37" val="2.5" numFmtId="9"/>
      <inputCells r="G37" val="2" numFmtId="9"/>
      <inputCells r="F70" val="1.37" numFmtId="9"/>
    </scenario>
    <scenario name="Normal" locked="1" count="23" user="Mark Lawrence" comment="Created by Mark Lawrence on 24/08/00_x000d_Modified by Mark Lawrence on 25/08/00">
      <inputCells r="E6" val="1" numFmtId="9"/>
      <inputCells r="E7" val="1" numFmtId="9"/>
      <inputCells r="E13" val="1" numFmtId="9"/>
      <inputCells r="F9" val="1900" numFmtId="1"/>
      <inputCells r="E14" val="1" numFmtId="9"/>
      <inputCells r="E27" val="1" numFmtId="9"/>
      <inputCells r="E28" val="1" numFmtId="9"/>
      <inputCells r="E29" val="1" numFmtId="9"/>
      <inputCells r="E40" val="1" numFmtId="9"/>
      <inputCells r="E44" val="1" numFmtId="9"/>
      <inputCells r="E45" val="1" numFmtId="9"/>
      <inputCells r="E46" val="1" numFmtId="9"/>
      <inputCells r="E64" val="1" numFmtId="9"/>
      <inputCells r="F37" val="1" numFmtId="9"/>
      <inputCells r="F38" val="1" numFmtId="9"/>
      <inputCells r="F39" val="1" numFmtId="9"/>
      <inputCells r="F40" val="1" numFmtId="9"/>
      <inputCells r="F44" val="1" numFmtId="9"/>
      <inputCells r="F45" val="1" numFmtId="9"/>
      <inputCells r="F46" val="1" numFmtId="9"/>
      <inputCells r="F64" val="1" numFmtId="9"/>
      <inputCells r="G37" val="1" numFmtId="9"/>
      <inputCells r="F70" val="1" numFmtId="9"/>
    </scenario>
  </scenarios>
  <mergeCells count="8">
    <mergeCell ref="AF1:AG1"/>
    <mergeCell ref="AF2:AG2"/>
    <mergeCell ref="Z2:AA2"/>
    <mergeCell ref="AB2:AC2"/>
    <mergeCell ref="Z1:AA1"/>
    <mergeCell ref="AB1:AC1"/>
    <mergeCell ref="AD1:AE1"/>
    <mergeCell ref="AD2:AE2"/>
  </mergeCells>
  <phoneticPr fontId="1" type="noConversion"/>
  <conditionalFormatting sqref="U7:U22">
    <cfRule type="cellIs" dxfId="571" priority="196" operator="equal">
      <formula>16</formula>
    </cfRule>
    <cfRule type="cellIs" dxfId="570" priority="197" operator="equal">
      <formula>15</formula>
    </cfRule>
    <cfRule type="cellIs" dxfId="569" priority="198" operator="equal">
      <formula>14</formula>
    </cfRule>
    <cfRule type="cellIs" dxfId="568" priority="199" operator="equal">
      <formula>13</formula>
    </cfRule>
    <cfRule type="cellIs" dxfId="567" priority="200" operator="equal">
      <formula>12</formula>
    </cfRule>
    <cfRule type="cellIs" dxfId="566" priority="201" operator="equal">
      <formula>11</formula>
    </cfRule>
    <cfRule type="cellIs" dxfId="565" priority="202" operator="equal">
      <formula>10</formula>
    </cfRule>
    <cfRule type="cellIs" dxfId="564" priority="203" operator="equal">
      <formula>9</formula>
    </cfRule>
    <cfRule type="cellIs" dxfId="563" priority="204" operator="equal">
      <formula>8</formula>
    </cfRule>
    <cfRule type="cellIs" dxfId="562" priority="205" operator="equal">
      <formula>7</formula>
    </cfRule>
    <cfRule type="cellIs" dxfId="561" priority="206" operator="equal">
      <formula>6</formula>
    </cfRule>
    <cfRule type="cellIs" dxfId="560" priority="207" operator="equal">
      <formula>5</formula>
    </cfRule>
    <cfRule type="cellIs" dxfId="559" priority="208" operator="equal">
      <formula>4</formula>
    </cfRule>
    <cfRule type="cellIs" dxfId="558" priority="209" operator="equal">
      <formula>3</formula>
    </cfRule>
    <cfRule type="cellIs" dxfId="557" priority="210" operator="equal">
      <formula>2</formula>
    </cfRule>
    <cfRule type="cellIs" dxfId="556" priority="211" operator="equal">
      <formula>1</formula>
    </cfRule>
  </conditionalFormatting>
  <conditionalFormatting sqref="N29">
    <cfRule type="cellIs" dxfId="555" priority="180" operator="equal">
      <formula>16</formula>
    </cfRule>
    <cfRule type="cellIs" dxfId="554" priority="181" operator="equal">
      <formula>15</formula>
    </cfRule>
    <cfRule type="cellIs" dxfId="553" priority="182" operator="equal">
      <formula>14</formula>
    </cfRule>
    <cfRule type="cellIs" dxfId="552" priority="183" operator="equal">
      <formula>13</formula>
    </cfRule>
    <cfRule type="cellIs" dxfId="551" priority="184" operator="equal">
      <formula>12</formula>
    </cfRule>
    <cfRule type="cellIs" dxfId="550" priority="185" operator="equal">
      <formula>11</formula>
    </cfRule>
    <cfRule type="cellIs" dxfId="549" priority="186" operator="equal">
      <formula>10</formula>
    </cfRule>
    <cfRule type="cellIs" dxfId="548" priority="187" operator="equal">
      <formula>9</formula>
    </cfRule>
    <cfRule type="cellIs" dxfId="547" priority="188" operator="equal">
      <formula>8</formula>
    </cfRule>
    <cfRule type="cellIs" dxfId="546" priority="189" operator="equal">
      <formula>7</formula>
    </cfRule>
    <cfRule type="cellIs" dxfId="545" priority="190" operator="equal">
      <formula>6</formula>
    </cfRule>
    <cfRule type="cellIs" dxfId="544" priority="191" operator="equal">
      <formula>5</formula>
    </cfRule>
    <cfRule type="cellIs" dxfId="543" priority="192" operator="equal">
      <formula>4</formula>
    </cfRule>
    <cfRule type="cellIs" dxfId="542" priority="193" operator="equal">
      <formula>3</formula>
    </cfRule>
    <cfRule type="cellIs" dxfId="541" priority="194" operator="equal">
      <formula>2</formula>
    </cfRule>
    <cfRule type="cellIs" dxfId="540" priority="195" operator="equal">
      <formula>1</formula>
    </cfRule>
  </conditionalFormatting>
  <conditionalFormatting sqref="N119">
    <cfRule type="cellIs" dxfId="539" priority="164" operator="equal">
      <formula>16</formula>
    </cfRule>
    <cfRule type="cellIs" dxfId="538" priority="165" operator="equal">
      <formula>15</formula>
    </cfRule>
    <cfRule type="cellIs" dxfId="537" priority="166" operator="equal">
      <formula>14</formula>
    </cfRule>
    <cfRule type="cellIs" dxfId="536" priority="167" operator="equal">
      <formula>13</formula>
    </cfRule>
    <cfRule type="cellIs" dxfId="535" priority="168" operator="equal">
      <formula>12</formula>
    </cfRule>
    <cfRule type="cellIs" dxfId="534" priority="169" operator="equal">
      <formula>11</formula>
    </cfRule>
    <cfRule type="cellIs" dxfId="533" priority="170" operator="equal">
      <formula>10</formula>
    </cfRule>
    <cfRule type="cellIs" dxfId="532" priority="171" operator="equal">
      <formula>9</formula>
    </cfRule>
    <cfRule type="cellIs" dxfId="531" priority="172" operator="equal">
      <formula>8</formula>
    </cfRule>
    <cfRule type="cellIs" dxfId="530" priority="173" operator="equal">
      <formula>7</formula>
    </cfRule>
    <cfRule type="cellIs" dxfId="529" priority="174" operator="equal">
      <formula>6</formula>
    </cfRule>
    <cfRule type="cellIs" dxfId="528" priority="175" operator="equal">
      <formula>5</formula>
    </cfRule>
    <cfRule type="cellIs" dxfId="527" priority="176" operator="equal">
      <formula>4</formula>
    </cfRule>
    <cfRule type="cellIs" dxfId="526" priority="177" operator="equal">
      <formula>3</formula>
    </cfRule>
    <cfRule type="cellIs" dxfId="525" priority="178" operator="equal">
      <formula>2</formula>
    </cfRule>
    <cfRule type="cellIs" dxfId="524" priority="179" operator="equal">
      <formula>1</formula>
    </cfRule>
  </conditionalFormatting>
  <conditionalFormatting sqref="N27:N28">
    <cfRule type="cellIs" dxfId="523" priority="116" operator="equal">
      <formula>16</formula>
    </cfRule>
    <cfRule type="cellIs" dxfId="522" priority="117" operator="equal">
      <formula>15</formula>
    </cfRule>
    <cfRule type="cellIs" dxfId="521" priority="118" operator="equal">
      <formula>14</formula>
    </cfRule>
    <cfRule type="cellIs" dxfId="520" priority="119" operator="equal">
      <formula>13</formula>
    </cfRule>
    <cfRule type="cellIs" dxfId="519" priority="120" operator="equal">
      <formula>12</formula>
    </cfRule>
    <cfRule type="cellIs" dxfId="518" priority="121" operator="equal">
      <formula>11</formula>
    </cfRule>
    <cfRule type="cellIs" dxfId="517" priority="122" operator="equal">
      <formula>10</formula>
    </cfRule>
    <cfRule type="cellIs" dxfId="516" priority="123" operator="equal">
      <formula>9</formula>
    </cfRule>
    <cfRule type="cellIs" dxfId="515" priority="124" operator="equal">
      <formula>8</formula>
    </cfRule>
    <cfRule type="cellIs" dxfId="514" priority="125" operator="equal">
      <formula>7</formula>
    </cfRule>
    <cfRule type="cellIs" dxfId="513" priority="126" operator="equal">
      <formula>6</formula>
    </cfRule>
    <cfRule type="cellIs" dxfId="512" priority="127" operator="equal">
      <formula>5</formula>
    </cfRule>
    <cfRule type="cellIs" dxfId="511" priority="128" operator="equal">
      <formula>4</formula>
    </cfRule>
    <cfRule type="cellIs" dxfId="510" priority="129" operator="equal">
      <formula>3</formula>
    </cfRule>
    <cfRule type="cellIs" dxfId="509" priority="130" operator="equal">
      <formula>2</formula>
    </cfRule>
    <cfRule type="cellIs" dxfId="508" priority="131" operator="equal">
      <formula>1</formula>
    </cfRule>
  </conditionalFormatting>
  <conditionalFormatting sqref="R31:T31">
    <cfRule type="cellIs" dxfId="507" priority="99" operator="greaterThan">
      <formula>0</formula>
    </cfRule>
  </conditionalFormatting>
  <conditionalFormatting sqref="R32:T32">
    <cfRule type="cellIs" dxfId="506" priority="98" operator="greaterThan">
      <formula>0</formula>
    </cfRule>
  </conditionalFormatting>
  <conditionalFormatting sqref="R30:T30">
    <cfRule type="cellIs" dxfId="505" priority="97" operator="greaterThan">
      <formula>0</formula>
    </cfRule>
  </conditionalFormatting>
  <conditionalFormatting sqref="N6:N26">
    <cfRule type="cellIs" dxfId="504" priority="81" operator="equal">
      <formula>16</formula>
    </cfRule>
    <cfRule type="cellIs" dxfId="503" priority="82" operator="equal">
      <formula>15</formula>
    </cfRule>
    <cfRule type="cellIs" dxfId="502" priority="83" operator="equal">
      <formula>14</formula>
    </cfRule>
    <cfRule type="cellIs" dxfId="501" priority="84" operator="equal">
      <formula>13</formula>
    </cfRule>
    <cfRule type="cellIs" dxfId="500" priority="85" operator="equal">
      <formula>12</formula>
    </cfRule>
    <cfRule type="cellIs" dxfId="499" priority="86" operator="equal">
      <formula>11</formula>
    </cfRule>
    <cfRule type="cellIs" dxfId="498" priority="87" operator="equal">
      <formula>10</formula>
    </cfRule>
    <cfRule type="cellIs" dxfId="497" priority="88" operator="equal">
      <formula>9</formula>
    </cfRule>
    <cfRule type="cellIs" dxfId="496" priority="89" operator="equal">
      <formula>8</formula>
    </cfRule>
    <cfRule type="cellIs" dxfId="495" priority="90" operator="equal">
      <formula>7</formula>
    </cfRule>
    <cfRule type="cellIs" dxfId="494" priority="91" operator="equal">
      <formula>6</formula>
    </cfRule>
    <cfRule type="cellIs" dxfId="493" priority="92" operator="equal">
      <formula>5</formula>
    </cfRule>
    <cfRule type="cellIs" dxfId="492" priority="93" operator="equal">
      <formula>4</formula>
    </cfRule>
    <cfRule type="cellIs" dxfId="491" priority="94" operator="equal">
      <formula>3</formula>
    </cfRule>
    <cfRule type="cellIs" dxfId="490" priority="95" operator="equal">
      <formula>2</formula>
    </cfRule>
    <cfRule type="cellIs" dxfId="489" priority="96" operator="equal">
      <formula>1</formula>
    </cfRule>
  </conditionalFormatting>
  <conditionalFormatting sqref="N113:N118">
    <cfRule type="cellIs" dxfId="488" priority="65" operator="equal">
      <formula>16</formula>
    </cfRule>
    <cfRule type="cellIs" dxfId="487" priority="66" operator="equal">
      <formula>15</formula>
    </cfRule>
    <cfRule type="cellIs" dxfId="486" priority="67" operator="equal">
      <formula>14</formula>
    </cfRule>
    <cfRule type="cellIs" dxfId="485" priority="68" operator="equal">
      <formula>13</formula>
    </cfRule>
    <cfRule type="cellIs" dxfId="484" priority="69" operator="equal">
      <formula>12</formula>
    </cfRule>
    <cfRule type="cellIs" dxfId="483" priority="70" operator="equal">
      <formula>11</formula>
    </cfRule>
    <cfRule type="cellIs" dxfId="482" priority="71" operator="equal">
      <formula>10</formula>
    </cfRule>
    <cfRule type="cellIs" dxfId="481" priority="72" operator="equal">
      <formula>9</formula>
    </cfRule>
    <cfRule type="cellIs" dxfId="480" priority="73" operator="equal">
      <formula>8</formula>
    </cfRule>
    <cfRule type="cellIs" dxfId="479" priority="74" operator="equal">
      <formula>7</formula>
    </cfRule>
    <cfRule type="cellIs" dxfId="478" priority="75" operator="equal">
      <formula>6</formula>
    </cfRule>
    <cfRule type="cellIs" dxfId="477" priority="76" operator="equal">
      <formula>5</formula>
    </cfRule>
    <cfRule type="cellIs" dxfId="476" priority="77" operator="equal">
      <formula>4</formula>
    </cfRule>
    <cfRule type="cellIs" dxfId="475" priority="78" operator="equal">
      <formula>3</formula>
    </cfRule>
    <cfRule type="cellIs" dxfId="474" priority="79" operator="equal">
      <formula>2</formula>
    </cfRule>
    <cfRule type="cellIs" dxfId="473" priority="80" operator="equal">
      <formula>1</formula>
    </cfRule>
  </conditionalFormatting>
  <conditionalFormatting sqref="N112">
    <cfRule type="cellIs" dxfId="472" priority="49" operator="equal">
      <formula>16</formula>
    </cfRule>
    <cfRule type="cellIs" dxfId="471" priority="50" operator="equal">
      <formula>15</formula>
    </cfRule>
    <cfRule type="cellIs" dxfId="470" priority="51" operator="equal">
      <formula>14</formula>
    </cfRule>
    <cfRule type="cellIs" dxfId="469" priority="52" operator="equal">
      <formula>13</formula>
    </cfRule>
    <cfRule type="cellIs" dxfId="468" priority="53" operator="equal">
      <formula>12</formula>
    </cfRule>
    <cfRule type="cellIs" dxfId="467" priority="54" operator="equal">
      <formula>11</formula>
    </cfRule>
    <cfRule type="cellIs" dxfId="466" priority="55" operator="equal">
      <formula>10</formula>
    </cfRule>
    <cfRule type="cellIs" dxfId="465" priority="56" operator="equal">
      <formula>9</formula>
    </cfRule>
    <cfRule type="cellIs" dxfId="464" priority="57" operator="equal">
      <formula>8</formula>
    </cfRule>
    <cfRule type="cellIs" dxfId="463" priority="58" operator="equal">
      <formula>7</formula>
    </cfRule>
    <cfRule type="cellIs" dxfId="462" priority="59" operator="equal">
      <formula>6</formula>
    </cfRule>
    <cfRule type="cellIs" dxfId="461" priority="60" operator="equal">
      <formula>5</formula>
    </cfRule>
    <cfRule type="cellIs" dxfId="460" priority="61" operator="equal">
      <formula>4</formula>
    </cfRule>
    <cfRule type="cellIs" dxfId="459" priority="62" operator="equal">
      <formula>3</formula>
    </cfRule>
    <cfRule type="cellIs" dxfId="458" priority="63" operator="equal">
      <formula>2</formula>
    </cfRule>
    <cfRule type="cellIs" dxfId="457" priority="64" operator="equal">
      <formula>1</formula>
    </cfRule>
  </conditionalFormatting>
  <conditionalFormatting sqref="N111">
    <cfRule type="cellIs" dxfId="456" priority="33" operator="equal">
      <formula>16</formula>
    </cfRule>
    <cfRule type="cellIs" dxfId="455" priority="34" operator="equal">
      <formula>15</formula>
    </cfRule>
    <cfRule type="cellIs" dxfId="454" priority="35" operator="equal">
      <formula>14</formula>
    </cfRule>
    <cfRule type="cellIs" dxfId="453" priority="36" operator="equal">
      <formula>13</formula>
    </cfRule>
    <cfRule type="cellIs" dxfId="452" priority="37" operator="equal">
      <formula>12</formula>
    </cfRule>
    <cfRule type="cellIs" dxfId="451" priority="38" operator="equal">
      <formula>11</formula>
    </cfRule>
    <cfRule type="cellIs" dxfId="450" priority="39" operator="equal">
      <formula>10</formula>
    </cfRule>
    <cfRule type="cellIs" dxfId="449" priority="40" operator="equal">
      <formula>9</formula>
    </cfRule>
    <cfRule type="cellIs" dxfId="448" priority="41" operator="equal">
      <formula>8</formula>
    </cfRule>
    <cfRule type="cellIs" dxfId="447" priority="42" operator="equal">
      <formula>7</formula>
    </cfRule>
    <cfRule type="cellIs" dxfId="446" priority="43" operator="equal">
      <formula>6</formula>
    </cfRule>
    <cfRule type="cellIs" dxfId="445" priority="44" operator="equal">
      <formula>5</formula>
    </cfRule>
    <cfRule type="cellIs" dxfId="444" priority="45" operator="equal">
      <formula>4</formula>
    </cfRule>
    <cfRule type="cellIs" dxfId="443" priority="46" operator="equal">
      <formula>3</formula>
    </cfRule>
    <cfRule type="cellIs" dxfId="442" priority="47" operator="equal">
      <formula>2</formula>
    </cfRule>
    <cfRule type="cellIs" dxfId="441" priority="48" operator="equal">
      <formula>1</formula>
    </cfRule>
  </conditionalFormatting>
  <conditionalFormatting sqref="N91:N104">
    <cfRule type="cellIs" dxfId="440" priority="17" operator="equal">
      <formula>16</formula>
    </cfRule>
    <cfRule type="cellIs" dxfId="439" priority="18" operator="equal">
      <formula>15</formula>
    </cfRule>
    <cfRule type="cellIs" dxfId="438" priority="19" operator="equal">
      <formula>14</formula>
    </cfRule>
    <cfRule type="cellIs" dxfId="437" priority="20" operator="equal">
      <formula>13</formula>
    </cfRule>
    <cfRule type="cellIs" dxfId="436" priority="21" operator="equal">
      <formula>12</formula>
    </cfRule>
    <cfRule type="cellIs" dxfId="435" priority="22" operator="equal">
      <formula>11</formula>
    </cfRule>
    <cfRule type="cellIs" dxfId="434" priority="23" operator="equal">
      <formula>10</formula>
    </cfRule>
    <cfRule type="cellIs" dxfId="433" priority="24" operator="equal">
      <formula>9</formula>
    </cfRule>
    <cfRule type="cellIs" dxfId="432" priority="25" operator="equal">
      <formula>8</formula>
    </cfRule>
    <cfRule type="cellIs" dxfId="431" priority="26" operator="equal">
      <formula>7</formula>
    </cfRule>
    <cfRule type="cellIs" dxfId="430" priority="27" operator="equal">
      <formula>6</formula>
    </cfRule>
    <cfRule type="cellIs" dxfId="429" priority="28" operator="equal">
      <formula>5</formula>
    </cfRule>
    <cfRule type="cellIs" dxfId="428" priority="29" operator="equal">
      <formula>4</formula>
    </cfRule>
    <cfRule type="cellIs" dxfId="427" priority="30" operator="equal">
      <formula>3</formula>
    </cfRule>
    <cfRule type="cellIs" dxfId="426" priority="31" operator="equal">
      <formula>2</formula>
    </cfRule>
    <cfRule type="cellIs" dxfId="425" priority="32" operator="equal">
      <formula>1</formula>
    </cfRule>
  </conditionalFormatting>
  <conditionalFormatting sqref="N105:N110">
    <cfRule type="cellIs" dxfId="424" priority="1" operator="equal">
      <formula>16</formula>
    </cfRule>
    <cfRule type="cellIs" dxfId="423" priority="2" operator="equal">
      <formula>15</formula>
    </cfRule>
    <cfRule type="cellIs" dxfId="422" priority="3" operator="equal">
      <formula>14</formula>
    </cfRule>
    <cfRule type="cellIs" dxfId="421" priority="4" operator="equal">
      <formula>13</formula>
    </cfRule>
    <cfRule type="cellIs" dxfId="420" priority="5" operator="equal">
      <formula>12</formula>
    </cfRule>
    <cfRule type="cellIs" dxfId="419" priority="6" operator="equal">
      <formula>11</formula>
    </cfRule>
    <cfRule type="cellIs" dxfId="418" priority="7" operator="equal">
      <formula>10</formula>
    </cfRule>
    <cfRule type="cellIs" dxfId="417" priority="8" operator="equal">
      <formula>9</formula>
    </cfRule>
    <cfRule type="cellIs" dxfId="416" priority="9" operator="equal">
      <formula>8</formula>
    </cfRule>
    <cfRule type="cellIs" dxfId="415" priority="10" operator="equal">
      <formula>7</formula>
    </cfRule>
    <cfRule type="cellIs" dxfId="414" priority="11" operator="equal">
      <formula>6</formula>
    </cfRule>
    <cfRule type="cellIs" dxfId="413" priority="12" operator="equal">
      <formula>5</formula>
    </cfRule>
    <cfRule type="cellIs" dxfId="412" priority="13" operator="equal">
      <formula>4</formula>
    </cfRule>
    <cfRule type="cellIs" dxfId="411" priority="14" operator="equal">
      <formula>3</formula>
    </cfRule>
    <cfRule type="cellIs" dxfId="410" priority="15" operator="equal">
      <formula>2</formula>
    </cfRule>
    <cfRule type="cellIs" dxfId="409" priority="16" operator="equal">
      <formula>1</formula>
    </cfRule>
  </conditionalFormatting>
  <pageMargins left="0.74803149606299213" right="0.74803149606299213" top="0.39370078740157483" bottom="0.39370078740157483" header="0.19685039370078741" footer="0.19685039370078741"/>
  <pageSetup paperSize="9" scale="62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M269"/>
  <sheetViews>
    <sheetView showGridLines="0" workbookViewId="0">
      <pane xSplit="1" ySplit="2" topLeftCell="B27" activePane="bottomRight" state="frozen"/>
      <selection pane="topRight" activeCell="B1" sqref="B1"/>
      <selection pane="bottomLeft" activeCell="A3" sqref="A3"/>
      <selection pane="bottomRight" activeCell="E62" sqref="E62"/>
    </sheetView>
  </sheetViews>
  <sheetFormatPr baseColWidth="10" defaultColWidth="8" defaultRowHeight="15" x14ac:dyDescent="0"/>
  <cols>
    <col min="1" max="1" width="21.85546875" style="67" customWidth="1"/>
    <col min="2" max="3" width="6.85546875" style="67" customWidth="1"/>
    <col min="4" max="6" width="6.85546875" style="4" customWidth="1"/>
    <col min="7" max="7" width="6.5703125" style="4" customWidth="1"/>
    <col min="8" max="8" width="6.7109375" style="4" customWidth="1"/>
    <col min="9" max="12" width="6.85546875" style="4" customWidth="1"/>
    <col min="13" max="13" width="7.7109375" style="4" customWidth="1"/>
    <col min="14" max="14" width="6.85546875" style="4" customWidth="1"/>
    <col min="15" max="33" width="8.42578125" style="4" customWidth="1"/>
    <col min="34" max="36" width="8" style="4" customWidth="1"/>
    <col min="37" max="37" width="9.28515625" style="4" customWidth="1"/>
    <col min="38" max="52" width="8" style="4" customWidth="1"/>
    <col min="53" max="53" width="9.28515625" style="4" customWidth="1"/>
    <col min="54" max="213" width="8" style="4" customWidth="1"/>
    <col min="214" max="214" width="1.42578125" style="4" customWidth="1"/>
    <col min="215" max="16384" width="8" style="4"/>
  </cols>
  <sheetData>
    <row r="1" spans="1:91" ht="18">
      <c r="A1" s="73" t="s">
        <v>145</v>
      </c>
      <c r="B1" s="244" t="s">
        <v>190</v>
      </c>
      <c r="C1" s="1"/>
      <c r="D1" s="2"/>
      <c r="E1" s="2"/>
      <c r="F1" s="2"/>
      <c r="G1" s="2"/>
      <c r="H1" s="2" t="s">
        <v>0</v>
      </c>
      <c r="I1" s="2"/>
      <c r="J1" s="3"/>
      <c r="L1" s="2"/>
      <c r="O1" s="2"/>
      <c r="P1" s="2"/>
      <c r="Q1" s="56"/>
      <c r="R1" s="56"/>
      <c r="S1" s="67"/>
      <c r="T1" s="56"/>
      <c r="U1" s="56"/>
      <c r="V1" s="56"/>
      <c r="W1" s="110"/>
      <c r="X1" s="114" t="s">
        <v>67</v>
      </c>
      <c r="Y1" s="115" t="s">
        <v>58</v>
      </c>
      <c r="Z1" s="260" t="s">
        <v>105</v>
      </c>
      <c r="AA1" s="261"/>
      <c r="AB1" s="260" t="s">
        <v>106</v>
      </c>
      <c r="AC1" s="261"/>
      <c r="AD1" s="260" t="s">
        <v>107</v>
      </c>
      <c r="AE1" s="261"/>
      <c r="AF1" s="260" t="s">
        <v>108</v>
      </c>
      <c r="AG1" s="261"/>
      <c r="AH1" s="117"/>
      <c r="AI1" s="110"/>
      <c r="AJ1" s="199" t="str">
        <f>LEFT(Z1,4) &amp; MID(AB1,5,3)</f>
        <v>Apr-Sep</v>
      </c>
      <c r="AK1" s="200" t="str">
        <f>LEFT(AD1,4) &amp; MID(AF1,5,3)</f>
        <v>Oct-Mar</v>
      </c>
      <c r="AS1" s="5"/>
      <c r="AZ1" s="5"/>
      <c r="BI1" s="5"/>
      <c r="BP1" s="5"/>
      <c r="BX1" s="5"/>
      <c r="CE1" s="5"/>
      <c r="CM1" s="6"/>
    </row>
    <row r="2" spans="1:91">
      <c r="A2" s="7" t="s">
        <v>1</v>
      </c>
      <c r="B2" s="8"/>
      <c r="C2" s="9"/>
      <c r="D2" s="10"/>
      <c r="E2" s="7" t="s">
        <v>2</v>
      </c>
      <c r="F2" s="11"/>
      <c r="G2" s="11"/>
      <c r="H2" s="12"/>
      <c r="I2" s="7" t="s">
        <v>3</v>
      </c>
      <c r="J2" s="13"/>
      <c r="K2" s="7" t="s">
        <v>4</v>
      </c>
      <c r="L2" s="11"/>
      <c r="M2" s="14"/>
      <c r="O2" s="2"/>
      <c r="P2" s="2"/>
      <c r="Q2" s="56"/>
      <c r="R2" s="56"/>
      <c r="S2" s="67"/>
      <c r="T2" s="56"/>
      <c r="U2" s="56"/>
      <c r="V2" s="56"/>
      <c r="W2" s="110"/>
      <c r="X2" s="118" t="s">
        <v>59</v>
      </c>
      <c r="Y2" s="115" t="s">
        <v>60</v>
      </c>
      <c r="Z2" s="258" t="s">
        <v>109</v>
      </c>
      <c r="AA2" s="262"/>
      <c r="AB2" s="258" t="s">
        <v>110</v>
      </c>
      <c r="AC2" s="262"/>
      <c r="AD2" s="258" t="s">
        <v>111</v>
      </c>
      <c r="AE2" s="262"/>
      <c r="AF2" s="258" t="s">
        <v>112</v>
      </c>
      <c r="AG2" s="262"/>
      <c r="AH2" s="117"/>
      <c r="AI2" s="110"/>
      <c r="AJ2" s="197" t="s">
        <v>113</v>
      </c>
      <c r="AK2" s="198" t="s">
        <v>114</v>
      </c>
      <c r="CM2" s="6"/>
    </row>
    <row r="3" spans="1:91">
      <c r="A3" s="15" t="s">
        <v>5</v>
      </c>
      <c r="B3" s="1"/>
      <c r="C3" s="1"/>
      <c r="D3" s="16"/>
      <c r="E3" s="2"/>
      <c r="F3" s="2"/>
      <c r="H3" s="17"/>
      <c r="I3" s="2"/>
      <c r="J3" s="18"/>
      <c r="L3" s="2"/>
      <c r="O3" s="3" t="s">
        <v>6</v>
      </c>
      <c r="P3" s="19"/>
      <c r="Q3" s="56" t="s">
        <v>68</v>
      </c>
      <c r="R3" s="56"/>
      <c r="S3" s="67"/>
      <c r="T3" s="56"/>
      <c r="U3" s="56"/>
      <c r="V3" s="56"/>
      <c r="W3" s="110"/>
      <c r="X3" s="118"/>
      <c r="Y3" s="115" t="s">
        <v>61</v>
      </c>
      <c r="Z3" s="120"/>
      <c r="AA3" s="119"/>
      <c r="AB3" s="120"/>
      <c r="AC3" s="119"/>
      <c r="AD3" s="120"/>
      <c r="AE3" s="119"/>
      <c r="AF3" s="120"/>
      <c r="AG3" s="119"/>
      <c r="AH3" s="117"/>
      <c r="AI3" s="110"/>
      <c r="AJ3" s="120"/>
      <c r="AK3" s="119"/>
      <c r="AU3" s="21"/>
      <c r="AV3" s="21"/>
      <c r="AW3" s="21"/>
      <c r="AX3" s="21"/>
      <c r="AY3" s="20"/>
      <c r="BB3" s="21"/>
      <c r="BC3" s="21"/>
      <c r="BD3" s="21"/>
      <c r="BE3" s="21"/>
      <c r="BF3" s="21"/>
      <c r="BK3" s="21"/>
      <c r="BL3" s="21"/>
      <c r="BM3" s="21"/>
      <c r="BN3" s="21"/>
      <c r="BO3" s="20"/>
      <c r="BR3" s="21"/>
      <c r="BS3" s="21"/>
      <c r="BT3" s="21"/>
      <c r="BU3" s="21"/>
      <c r="BV3" s="21"/>
      <c r="BZ3" s="21"/>
      <c r="CA3" s="21"/>
      <c r="CB3" s="21"/>
      <c r="CC3" s="21"/>
      <c r="CD3" s="20"/>
      <c r="CG3" s="21"/>
      <c r="CH3" s="21"/>
      <c r="CI3" s="21"/>
      <c r="CJ3" s="21"/>
      <c r="CK3" s="21"/>
      <c r="CM3" s="6"/>
    </row>
    <row r="4" spans="1:91" ht="14" customHeight="1">
      <c r="A4" s="1"/>
      <c r="B4" s="1" t="s">
        <v>7</v>
      </c>
      <c r="C4" s="1" t="s">
        <v>8</v>
      </c>
      <c r="D4" s="16" t="s">
        <v>9</v>
      </c>
      <c r="E4" s="19" t="s">
        <v>10</v>
      </c>
      <c r="F4" s="2" t="s">
        <v>11</v>
      </c>
      <c r="H4" s="16" t="s">
        <v>12</v>
      </c>
      <c r="I4" s="19" t="s">
        <v>13</v>
      </c>
      <c r="J4" s="16" t="s">
        <v>14</v>
      </c>
      <c r="K4" s="19" t="s">
        <v>7</v>
      </c>
      <c r="L4" s="19" t="s">
        <v>15</v>
      </c>
      <c r="M4" s="19" t="str">
        <f>(J4)</f>
        <v>Curr.</v>
      </c>
      <c r="O4" s="19" t="s">
        <v>7</v>
      </c>
      <c r="P4" s="19"/>
      <c r="Q4" s="56" t="s">
        <v>69</v>
      </c>
      <c r="R4" s="56"/>
      <c r="S4" s="29"/>
      <c r="T4" s="56"/>
      <c r="U4" s="56"/>
      <c r="V4" s="56"/>
      <c r="W4" s="110"/>
      <c r="X4" s="118"/>
      <c r="Y4" s="115" t="s">
        <v>62</v>
      </c>
      <c r="Z4" s="120"/>
      <c r="AA4" s="119"/>
      <c r="AB4" s="120"/>
      <c r="AC4" s="119"/>
      <c r="AD4" s="120"/>
      <c r="AE4" s="119"/>
      <c r="AF4" s="120"/>
      <c r="AG4" s="119"/>
      <c r="AH4" s="117"/>
      <c r="AI4" s="110"/>
      <c r="AJ4" s="120"/>
      <c r="AK4" s="119"/>
      <c r="AU4" s="21"/>
      <c r="AV4" s="21"/>
      <c r="AW4" s="21"/>
      <c r="AX4" s="21"/>
      <c r="AY4" s="20"/>
      <c r="BB4" s="21"/>
      <c r="BC4" s="21"/>
      <c r="BD4" s="21"/>
      <c r="BE4" s="21"/>
      <c r="BF4" s="21"/>
      <c r="BK4" s="21"/>
      <c r="BL4" s="21"/>
      <c r="BM4" s="21"/>
      <c r="BN4" s="21"/>
      <c r="BO4" s="20"/>
      <c r="BR4" s="21"/>
      <c r="BS4" s="21"/>
      <c r="BT4" s="21"/>
      <c r="BU4" s="21"/>
      <c r="BV4" s="21"/>
      <c r="BZ4" s="21"/>
      <c r="CA4" s="21"/>
      <c r="CB4" s="21"/>
      <c r="CC4" s="21"/>
      <c r="CD4" s="20"/>
      <c r="CG4" s="21"/>
      <c r="CH4" s="21"/>
      <c r="CI4" s="21"/>
      <c r="CJ4" s="21"/>
      <c r="CK4" s="21"/>
      <c r="CM4" s="6"/>
    </row>
    <row r="5" spans="1:91" ht="14" customHeight="1">
      <c r="A5" s="1"/>
      <c r="B5" s="1" t="s">
        <v>16</v>
      </c>
      <c r="C5" s="1" t="s">
        <v>17</v>
      </c>
      <c r="D5" s="16" t="s">
        <v>16</v>
      </c>
      <c r="E5" s="19" t="s">
        <v>18</v>
      </c>
      <c r="F5" s="56" t="s">
        <v>129</v>
      </c>
      <c r="H5" s="16" t="s">
        <v>18</v>
      </c>
      <c r="I5" s="19" t="s">
        <v>16</v>
      </c>
      <c r="J5" s="16" t="s">
        <v>16</v>
      </c>
      <c r="K5" s="19" t="s">
        <v>16</v>
      </c>
      <c r="L5" s="19" t="s">
        <v>19</v>
      </c>
      <c r="M5" s="23" t="str">
        <f>(J5)</f>
        <v>Access</v>
      </c>
      <c r="O5" s="2" t="s">
        <v>20</v>
      </c>
      <c r="P5" s="19"/>
      <c r="Q5" s="56"/>
      <c r="R5" s="56"/>
      <c r="S5" s="29"/>
      <c r="T5" s="56"/>
      <c r="U5" s="56"/>
      <c r="V5" s="56"/>
      <c r="W5" s="110"/>
      <c r="X5" s="118"/>
      <c r="Y5" s="115"/>
      <c r="Z5" s="120"/>
      <c r="AA5" s="119"/>
      <c r="AB5" s="120"/>
      <c r="AC5" s="119"/>
      <c r="AD5" s="120"/>
      <c r="AE5" s="119"/>
      <c r="AF5" s="120"/>
      <c r="AG5" s="119"/>
      <c r="AH5" s="117"/>
      <c r="AI5" s="110"/>
      <c r="AJ5" s="120"/>
      <c r="AK5" s="119"/>
      <c r="AV5" s="21"/>
      <c r="AW5" s="21"/>
      <c r="AX5" s="21"/>
      <c r="BC5" s="21"/>
      <c r="BD5" s="21"/>
      <c r="BE5" s="21"/>
      <c r="BL5" s="21"/>
      <c r="BM5" s="21"/>
      <c r="BN5" s="21"/>
      <c r="BS5" s="21"/>
      <c r="BT5" s="21"/>
      <c r="BU5" s="21"/>
      <c r="CA5" s="21"/>
      <c r="CB5" s="21"/>
      <c r="CC5" s="21"/>
      <c r="CH5" s="21"/>
      <c r="CI5" s="21"/>
      <c r="CJ5" s="21"/>
    </row>
    <row r="6" spans="1:91" ht="14" customHeight="1">
      <c r="A6" s="85" t="s">
        <v>146</v>
      </c>
      <c r="B6" s="215">
        <v>4.9184906600249066E-2</v>
      </c>
      <c r="C6" s="215">
        <v>0</v>
      </c>
      <c r="D6" s="24">
        <f t="shared" ref="D6:D16" si="0">SUM(B6,C6)</f>
        <v>4.9184906600249066E-2</v>
      </c>
      <c r="E6" s="26">
        <v>0.5</v>
      </c>
      <c r="F6" s="2" t="s">
        <v>21</v>
      </c>
      <c r="H6" s="24">
        <f t="shared" ref="H6:H29" si="1">(E6*F$7/F$9)</f>
        <v>0.5</v>
      </c>
      <c r="I6" s="22">
        <f t="shared" ref="I6:I29" si="2">(D6*H6)</f>
        <v>2.4592453300124533E-2</v>
      </c>
      <c r="J6" s="24">
        <f t="shared" ref="J6:J13" si="3">IF(I$32&lt;=1+I$131,I6,B6*H6+J$33*(I6-B6*H6))</f>
        <v>2.4592453300124533E-2</v>
      </c>
      <c r="K6" s="22">
        <f t="shared" ref="K6:K31" si="4">B6</f>
        <v>4.9184906600249066E-2</v>
      </c>
      <c r="L6" s="22">
        <f t="shared" ref="L6:L29" si="5">IF(K6="","",K6*H6)</f>
        <v>2.4592453300124533E-2</v>
      </c>
      <c r="M6" s="224">
        <f t="shared" ref="M6:M31" si="6">J6</f>
        <v>2.4592453300124533E-2</v>
      </c>
      <c r="N6" s="229">
        <v>3</v>
      </c>
      <c r="O6" s="22" t="s">
        <v>22</v>
      </c>
      <c r="P6" s="22"/>
      <c r="Q6" s="56"/>
      <c r="R6" s="70" t="s">
        <v>7</v>
      </c>
      <c r="S6" s="70" t="s">
        <v>70</v>
      </c>
      <c r="T6" s="70" t="s">
        <v>22</v>
      </c>
      <c r="U6" s="56"/>
      <c r="V6" s="56"/>
      <c r="W6" s="115"/>
      <c r="X6" s="118"/>
      <c r="Y6" s="183">
        <f>M6*4</f>
        <v>9.8369813200498132E-2</v>
      </c>
      <c r="Z6" s="116">
        <v>0.17</v>
      </c>
      <c r="AA6" s="121">
        <f>$M6*Z6*4</f>
        <v>1.6722868244084685E-2</v>
      </c>
      <c r="AB6" s="116">
        <v>0.17</v>
      </c>
      <c r="AC6" s="121">
        <f t="shared" ref="AC6:AC29" si="7">$M6*AB6*4</f>
        <v>1.6722868244084685E-2</v>
      </c>
      <c r="AD6" s="116">
        <v>0.33</v>
      </c>
      <c r="AE6" s="121">
        <f t="shared" ref="AE6:AE29" si="8">$M6*AD6*4</f>
        <v>3.2462038356164388E-2</v>
      </c>
      <c r="AF6" s="122">
        <f>1-SUM(Z6,AB6,AD6)</f>
        <v>0.32999999999999996</v>
      </c>
      <c r="AG6" s="121">
        <f>$M6*AF6*4</f>
        <v>3.2462038356164381E-2</v>
      </c>
      <c r="AH6" s="123">
        <f>SUM(Z6,AB6,AD6,AF6)</f>
        <v>1</v>
      </c>
      <c r="AI6" s="183">
        <f>SUM(AA6,AC6,AE6,AG6)/4</f>
        <v>2.4592453300124537E-2</v>
      </c>
      <c r="AJ6" s="120">
        <f>(AA6+AC6)/2</f>
        <v>1.6722868244084685E-2</v>
      </c>
      <c r="AK6" s="119">
        <f>(AE6+AG6)/2</f>
        <v>3.2462038356164388E-2</v>
      </c>
      <c r="AS6" s="25"/>
      <c r="AT6" s="25"/>
      <c r="AU6" s="25"/>
      <c r="AV6" s="25"/>
      <c r="AW6" s="25"/>
      <c r="AX6" s="25"/>
      <c r="AZ6" s="25"/>
      <c r="BA6" s="25"/>
      <c r="BB6" s="25"/>
      <c r="BC6" s="25"/>
      <c r="BD6" s="25"/>
      <c r="BE6" s="25"/>
      <c r="BF6" s="25"/>
      <c r="BI6" s="25"/>
      <c r="BJ6" s="25"/>
      <c r="BK6" s="25"/>
      <c r="BL6" s="25"/>
      <c r="BM6" s="25"/>
      <c r="BN6" s="25"/>
      <c r="BP6" s="25"/>
      <c r="BQ6" s="25"/>
      <c r="BR6" s="25"/>
      <c r="BS6" s="25"/>
      <c r="BT6" s="25"/>
      <c r="BU6" s="25"/>
      <c r="BV6" s="25"/>
      <c r="BX6" s="25"/>
      <c r="BY6" s="25"/>
      <c r="BZ6" s="25"/>
      <c r="CA6" s="25"/>
      <c r="CB6" s="25"/>
      <c r="CC6" s="25"/>
      <c r="CE6" s="25"/>
      <c r="CF6" s="25"/>
      <c r="CG6" s="25"/>
      <c r="CH6" s="25"/>
      <c r="CI6" s="25"/>
      <c r="CJ6" s="25"/>
      <c r="CK6" s="25"/>
    </row>
    <row r="7" spans="1:91" ht="14" customHeight="1">
      <c r="A7" s="85" t="s">
        <v>147</v>
      </c>
      <c r="B7" s="215">
        <v>3.1283686176836862E-3</v>
      </c>
      <c r="C7" s="215">
        <v>0</v>
      </c>
      <c r="D7" s="24">
        <f t="shared" si="0"/>
        <v>3.1283686176836862E-3</v>
      </c>
      <c r="E7" s="26">
        <v>0.5</v>
      </c>
      <c r="F7" s="27">
        <v>8800</v>
      </c>
      <c r="H7" s="24">
        <f t="shared" si="1"/>
        <v>0.5</v>
      </c>
      <c r="I7" s="22">
        <f t="shared" si="2"/>
        <v>1.5641843088418431E-3</v>
      </c>
      <c r="J7" s="24">
        <f t="shared" si="3"/>
        <v>1.5641843088418431E-3</v>
      </c>
      <c r="K7" s="22">
        <f t="shared" si="4"/>
        <v>3.1283686176836862E-3</v>
      </c>
      <c r="L7" s="22">
        <f t="shared" si="5"/>
        <v>1.5641843088418431E-3</v>
      </c>
      <c r="M7" s="224">
        <f t="shared" si="6"/>
        <v>1.5641843088418431E-3</v>
      </c>
      <c r="N7" s="229">
        <v>3</v>
      </c>
      <c r="O7" s="2"/>
      <c r="P7" s="22"/>
      <c r="Q7" s="59" t="s">
        <v>71</v>
      </c>
      <c r="R7" s="222">
        <f>IF($B$81=0,0,(SUMIF($N$6:$N$28,$U7,K$6:K$28)+SUMIF($N$91:$N$118,$U7,K$91:K$118))*$B$83*$H$84*Poor!$B$81/$B$81)</f>
        <v>5518.8805377167355</v>
      </c>
      <c r="S7" s="222">
        <f>IF($B$81=0,0,(SUMIF($N$6:$N$28,$U7,L$6:L$28)+SUMIF($N$91:$N$118,$U7,L$91:L$118))*$I$83*Poor!$B$81/$B$81)</f>
        <v>6572.4585530572822</v>
      </c>
      <c r="T7" s="222">
        <f>IF($B$81=0,0,(SUMIF($N$6:$N$28,$U7,M$6:M$28)+SUMIF($N$91:$N$118,$U7,M$91:M$118))*$I$83*Poor!$B$81/$B$81)</f>
        <v>8186.0977148473385</v>
      </c>
      <c r="U7" s="223">
        <v>1</v>
      </c>
      <c r="V7" s="56"/>
      <c r="W7" s="115"/>
      <c r="X7" s="124">
        <v>4</v>
      </c>
      <c r="Y7" s="183">
        <f t="shared" ref="Y7:Y29" si="9">M7*4</f>
        <v>6.2567372353673724E-3</v>
      </c>
      <c r="Z7" s="125">
        <f>IF($Y7=0,0,AA7/$Y7)</f>
        <v>0</v>
      </c>
      <c r="AA7" s="121">
        <f>IF($X7=1,IF(SUM(AA$6,AA$12:AA$29)&lt;1,IF((1-SUM(AA$6,AA$12:AA$29))*$M7/SUM($M$7*IF($X$7=1,1,0),$M$8*IF($X$8=1,1,0),$M$9*IF($X$9=1,1,0),$M$10*IF($X$10=1,1,0),$M$11*IF($X$11=1,1,0))&lt;Y7,(1-SUM(AA$6,AA$12:AA$29))*$M7/SUM($M$7*IF($X$7=1,1,0),$M$8*IF($X$8=1,1,0),$M$9*IF($X$9=1,1,0),$M$10*IF($X$10=1,1,0),$M$11*IF($X$11=1,1,0)),Y7),0),0)</f>
        <v>0</v>
      </c>
      <c r="AB7" s="125">
        <f>IF($Y7=0,0,AC7/$Y7)</f>
        <v>0</v>
      </c>
      <c r="AC7" s="121">
        <f>IF($X7&lt;3,IF(SUM(AC$6,AC$12:AC$29)&lt;1,IF(SUM(AC$6,AC$12:AC$29)+SUM((Y$7-AA$7)*IF($X$7&lt;3,1,0),(Y$8-AA$8)*IF($X$8&lt;3,1,0),(Y$9-AA$9)*IF($X$9&lt;3,1,0),(Y$10-AA$10)*IF($X$10&lt;3,1,0),(Y$11-AA$11)*IF($X$11&lt;3,1,0))&lt;1,Y7-AA7,IF((1-SUM(AC$6,AC$12:AC$29))*$M7/SUM($M$7*IF($X$7&lt;3,1,0),$M$8*IF($X$8&lt;3,1,0),$M$9*IF($X$9&lt;3,1,0),$M$10*IF($X$10&lt;3,1,0),$M$11*IF($X$11&lt;3,1,0))&lt;Y7-AA7,(1-SUM(AC$6,AC$12:AC$29))*$M7/SUM($M$7*IF($X$7&lt;3,1,0),$M$8*IF($X$8&lt;3,1,0),$M$9*IF($X$9&lt;3,1,0),$M$10*IF($X$10&lt;3,1,0),$M$11*IF($X$11&lt;3,1,0)),Y7-AA7)),0),0)</f>
        <v>0</v>
      </c>
      <c r="AD7" s="125">
        <f>IF($Y7=0,0,AE7/$Y7)</f>
        <v>0</v>
      </c>
      <c r="AE7" s="121">
        <f>IF($X7&lt;4,IF(SUM(AE$6:AE$6,AE$12:AE$29)&lt;1,IF(SUM(AE$6:AE$6,AE$12:AE$29)+SUM((Y$7-AA$7-AC$7)*IF($X$7&lt;3,1,0),(Y$8-AA$8-AC$8)*IF($X$8&lt;3,1,0),(Y$9-AA$9-AC$9)*IF($X$9&lt;3,1,0),(Y$10-AA$10-AC$10)*IF($X$10&lt;3,1,0),(Y$11-AA$11-AC$11)*IF($X$11&lt;3,1,0))&lt;1,Y7-AA7-AC7,IF((1-SUM(AE$6:AE$6,AE$12:AE$29))*$M7/SUM($M$7*IF($X$7&lt;4,1,0),$M$8*IF($X$8&lt;4,1,0),$M$9*IF($X$9&lt;4,1,0),$M$10*IF($X$10&lt;4,1,0),$M$11*IF($X$11&lt;4,1,0))&lt;Y7-AA7-AC7,(1-SUM(AE$6:AE$6,AE$12:AE$29))*$M7/SUM($M$7*IF($X$7&lt;4,1,0),$M$8*IF($X$8&lt;4,1,0),$M$9*IF($X$9&lt;4,1,0),$M$10*IF($X$10&lt;4,1,0),$M$11*IF($X$11&lt;4,1,0)),Y7-AA7-AC7)),0),0)</f>
        <v>0</v>
      </c>
      <c r="AF7" s="122">
        <f t="shared" ref="AF7:AF29" si="10">1-SUM(Z7,AB7,AD7)</f>
        <v>1</v>
      </c>
      <c r="AG7" s="121">
        <f t="shared" ref="AG7:AG29" si="11">$M7*AF7*4</f>
        <v>6.2567372353673724E-3</v>
      </c>
      <c r="AH7" s="123">
        <f t="shared" ref="AH7:AH30" si="12">SUM(Z7,AB7,AD7,AF7)</f>
        <v>1</v>
      </c>
      <c r="AI7" s="183">
        <f t="shared" ref="AI7:AI30" si="13">SUM(AA7,AC7,AE7,AG7)/4</f>
        <v>1.5641843088418431E-3</v>
      </c>
      <c r="AJ7" s="120">
        <f t="shared" ref="AJ7:AJ31" si="14">(AA7+AC7)/2</f>
        <v>0</v>
      </c>
      <c r="AK7" s="119">
        <f t="shared" ref="AK7:AK31" si="15">(AE7+AG7)/2</f>
        <v>3.1283686176836862E-3</v>
      </c>
      <c r="AS7" s="25"/>
      <c r="AT7" s="25"/>
      <c r="AU7" s="25"/>
      <c r="AV7" s="25"/>
      <c r="AW7" s="25"/>
      <c r="AX7" s="25"/>
      <c r="AZ7" s="25"/>
      <c r="BA7" s="25"/>
      <c r="BB7" s="25"/>
      <c r="BC7" s="25"/>
      <c r="BD7" s="25"/>
      <c r="BE7" s="25"/>
      <c r="BF7" s="25"/>
      <c r="BI7" s="25"/>
      <c r="BJ7" s="25"/>
      <c r="BK7" s="25"/>
      <c r="BL7" s="25"/>
      <c r="BM7" s="25"/>
      <c r="BN7" s="25"/>
      <c r="BP7" s="25"/>
      <c r="BQ7" s="25"/>
      <c r="BR7" s="25"/>
      <c r="BS7" s="25"/>
      <c r="BT7" s="25"/>
      <c r="BU7" s="25"/>
      <c r="BV7" s="25"/>
      <c r="BX7" s="25"/>
      <c r="BY7" s="25"/>
      <c r="BZ7" s="25"/>
      <c r="CA7" s="25"/>
      <c r="CB7" s="25"/>
      <c r="CC7" s="25"/>
      <c r="CE7" s="25"/>
      <c r="CF7" s="25"/>
      <c r="CG7" s="25"/>
      <c r="CH7" s="25"/>
      <c r="CI7" s="25"/>
      <c r="CJ7" s="25"/>
      <c r="CK7" s="25"/>
    </row>
    <row r="8" spans="1:91" ht="14" customHeight="1">
      <c r="A8" s="85" t="s">
        <v>148</v>
      </c>
      <c r="B8" s="215">
        <v>2.2267901618929015E-2</v>
      </c>
      <c r="C8" s="215">
        <v>0</v>
      </c>
      <c r="D8" s="24">
        <f t="shared" si="0"/>
        <v>2.2267901618929015E-2</v>
      </c>
      <c r="E8" s="26">
        <v>0.5</v>
      </c>
      <c r="F8" s="22" t="s">
        <v>23</v>
      </c>
      <c r="H8" s="24">
        <f t="shared" si="1"/>
        <v>0.5</v>
      </c>
      <c r="I8" s="22">
        <f t="shared" si="2"/>
        <v>1.1133950809464508E-2</v>
      </c>
      <c r="J8" s="24">
        <f t="shared" si="3"/>
        <v>1.1133950809464508E-2</v>
      </c>
      <c r="K8" s="22">
        <f t="shared" si="4"/>
        <v>2.2267901618929015E-2</v>
      </c>
      <c r="L8" s="22">
        <f t="shared" si="5"/>
        <v>1.1133950809464508E-2</v>
      </c>
      <c r="M8" s="224">
        <f t="shared" si="6"/>
        <v>1.1133950809464508E-2</v>
      </c>
      <c r="N8" s="229">
        <v>3</v>
      </c>
      <c r="O8" s="2"/>
      <c r="P8" s="22"/>
      <c r="Q8" s="59" t="s">
        <v>72</v>
      </c>
      <c r="R8" s="222">
        <f>IF($B$81=0,0,(SUMIF($N$6:$N$28,$U8,K$6:K$28)+SUMIF($N$91:$N$118,$U8,K$91:K$118))*$B$83*$H$84*Poor!$B$81/$B$81)</f>
        <v>2245.6251094915315</v>
      </c>
      <c r="S8" s="222">
        <f>IF($B$81=0,0,(SUMIF($N$6:$N$28,$U8,L$6:L$28)+SUMIF($N$91:$N$118,$U8,L$91:L$118))*$I$83*Poor!$B$81/$B$81)</f>
        <v>2181.1999999999998</v>
      </c>
      <c r="T8" s="222">
        <f>IF($B$81=0,0,(SUMIF($N$6:$N$28,$U8,M$6:M$28)+SUMIF($N$91:$N$118,$U8,M$91:M$118))*$I$83*Poor!$B$81/$B$81)</f>
        <v>0</v>
      </c>
      <c r="U8" s="223">
        <v>2</v>
      </c>
      <c r="V8" s="184"/>
      <c r="W8" s="115"/>
      <c r="X8" s="124">
        <v>1</v>
      </c>
      <c r="Y8" s="183">
        <f t="shared" si="9"/>
        <v>4.4535803237858031E-2</v>
      </c>
      <c r="Z8" s="125">
        <f>IF($Y8=0,0,AA8/$Y8)</f>
        <v>0</v>
      </c>
      <c r="AA8" s="121">
        <f>IF($X8=1,IF(SUM(AA$6,AA$12:AA$29)&lt;1,IF((1-SUM(AA$6,AA$12:AA$29))*$M8/SUM($M$7*IF($X$7=1,1,0),$M$8*IF($X$8=1,1,0),$M$9*IF($X$9=1,1,0),$M$10*IF($X$10=1,1,0),$M$11*IF($X$11=1,1,0))&lt;Y8,(1-SUM(AA$6,AA$12:AA$29))*$M8/SUM($M$7*IF($X$7=1,1,0),$M$8*IF($X$8=1,1,0),$M$9*IF($X$9=1,1,0),$M$10*IF($X$10=1,1,0),$M$11*IF($X$11=1,1,0)),Y8),0),0)</f>
        <v>0</v>
      </c>
      <c r="AB8" s="125">
        <f>IF($Y8=0,0,AC8/$Y8)</f>
        <v>0</v>
      </c>
      <c r="AC8" s="121">
        <f>IF($X8&lt;3,IF(SUM(AC$6,AC$12:AC$29)&lt;1,IF(SUM(AC$6,AC$12:AC$29)+SUM((Y$7-AA$7)*IF($X$7&lt;3,1,0),(Y$8-AA$8)*IF($X$8&lt;3,1,0),(Y$9-AA$9)*IF($X$9&lt;3,1,0),(Y$10-AA$10)*IF($X$10&lt;3,1,0),(Y$11-AA$11)*IF($X$11&lt;3,1,0))&lt;1,Y8-AA8,IF((1-SUM(AC$6,AC$12:AC$29))*$M8/SUM($M$7*IF($X$7&lt;3,1,0),$M$8*IF($X$8&lt;3,1,0),$M$9*IF($X$9&lt;3,1,0),$M$10*IF($X$10&lt;3,1,0),$M$11*IF($X$11&lt;3,1,0))&lt;Y8-AA8,(1-SUM(AC$6,AC$12:AC$29))*$M8/SUM($M$7*IF($X$7&lt;3,1,0),$M$8*IF($X$8&lt;3,1,0),$M$9*IF($X$9&lt;3,1,0),$M$10*IF($X$10&lt;3,1,0),$M$11*IF($X$11&lt;3,1,0)),Y8-AA8)),0),0)</f>
        <v>0</v>
      </c>
      <c r="AD8" s="125">
        <f>IF($Y8=0,0,AE8/$Y8)</f>
        <v>0</v>
      </c>
      <c r="AE8" s="121">
        <f>IF($X8&lt;4,IF(SUM(AE$6:AE$6,AE$12:AE$29)&lt;1,IF(SUM(AE$6:AE$6,AE$12:AE$29)+SUM((Y$7-AA$7-AC$7)*IF($X$7&lt;3,1,0),(Y$8-AA$8-AC$8)*IF($X$8&lt;3,1,0),(Y$9-AA$9-AC$9)*IF($X$9&lt;3,1,0),(Y$10-AA$10-AC$10)*IF($X$10&lt;3,1,0),(Y$11-AA$11-AC$11)*IF($X$11&lt;3,1,0))&lt;1,Y8-AA8-AC8,IF((1-SUM(AE$6:AE$6,AE$12:AE$29))*$M8/SUM($M$7*IF($X$7&lt;4,1,0),$M$8*IF($X$8&lt;4,1,0),$M$9*IF($X$9&lt;4,1,0),$M$10*IF($X$10&lt;4,1,0),$M$11*IF($X$11&lt;4,1,0))&lt;Y8-AA8-AC8,(1-SUM(AE$6:AE$6,AE$12:AE$29))*$M8/SUM($M$7*IF($X$7&lt;4,1,0),$M$8*IF($X$8&lt;4,1,0),$M$9*IF($X$9&lt;4,1,0),$M$10*IF($X$10&lt;4,1,0),$M$11*IF($X$11&lt;4,1,0)),Y8-AA8-AC8)),0),0)</f>
        <v>0</v>
      </c>
      <c r="AF8" s="122">
        <f t="shared" si="10"/>
        <v>1</v>
      </c>
      <c r="AG8" s="121">
        <f t="shared" si="11"/>
        <v>4.4535803237858031E-2</v>
      </c>
      <c r="AH8" s="123">
        <f t="shared" si="12"/>
        <v>1</v>
      </c>
      <c r="AI8" s="183">
        <f t="shared" si="13"/>
        <v>1.1133950809464508E-2</v>
      </c>
      <c r="AJ8" s="120">
        <f t="shared" si="14"/>
        <v>0</v>
      </c>
      <c r="AK8" s="119">
        <f t="shared" si="15"/>
        <v>2.2267901618929015E-2</v>
      </c>
      <c r="AS8" s="25"/>
      <c r="AT8" s="25"/>
      <c r="AU8" s="25"/>
      <c r="AV8" s="25"/>
      <c r="AW8" s="25"/>
      <c r="AX8" s="25"/>
      <c r="AZ8" s="25"/>
      <c r="BA8" s="25"/>
      <c r="BB8" s="25"/>
      <c r="BC8" s="25"/>
      <c r="BD8" s="25"/>
      <c r="BE8" s="25"/>
      <c r="BF8" s="25"/>
      <c r="BI8" s="25"/>
      <c r="BJ8" s="25"/>
      <c r="BK8" s="25"/>
      <c r="BL8" s="25"/>
      <c r="BM8" s="25"/>
      <c r="BN8" s="25"/>
      <c r="BP8" s="25"/>
      <c r="BQ8" s="25"/>
      <c r="BR8" s="25"/>
      <c r="BS8" s="25"/>
      <c r="BT8" s="25"/>
      <c r="BU8" s="25"/>
      <c r="BV8" s="25"/>
      <c r="BX8" s="25"/>
      <c r="BY8" s="25"/>
      <c r="BZ8" s="25"/>
      <c r="CA8" s="25"/>
      <c r="CB8" s="25"/>
      <c r="CC8" s="25"/>
      <c r="CE8" s="25"/>
      <c r="CF8" s="25"/>
      <c r="CG8" s="25"/>
      <c r="CH8" s="25"/>
      <c r="CI8" s="25"/>
      <c r="CJ8" s="25"/>
      <c r="CK8" s="25"/>
    </row>
    <row r="9" spans="1:91" ht="14" customHeight="1">
      <c r="A9" s="85" t="s">
        <v>149</v>
      </c>
      <c r="B9" s="215">
        <v>1.7777777777777778E-2</v>
      </c>
      <c r="C9" s="215">
        <v>0</v>
      </c>
      <c r="D9" s="24">
        <f t="shared" si="0"/>
        <v>1.7777777777777778E-2</v>
      </c>
      <c r="E9" s="26">
        <v>1</v>
      </c>
      <c r="F9" s="28">
        <v>8800</v>
      </c>
      <c r="H9" s="24">
        <f t="shared" si="1"/>
        <v>1</v>
      </c>
      <c r="I9" s="22">
        <f t="shared" si="2"/>
        <v>1.7777777777777778E-2</v>
      </c>
      <c r="J9" s="24">
        <f t="shared" si="3"/>
        <v>1.7777777777777778E-2</v>
      </c>
      <c r="K9" s="22">
        <f t="shared" si="4"/>
        <v>1.7777777777777778E-2</v>
      </c>
      <c r="L9" s="22">
        <f t="shared" si="5"/>
        <v>1.7777777777777778E-2</v>
      </c>
      <c r="M9" s="224">
        <f t="shared" si="6"/>
        <v>1.7777777777777778E-2</v>
      </c>
      <c r="N9" s="229">
        <v>1</v>
      </c>
      <c r="O9" s="2"/>
      <c r="P9" s="22"/>
      <c r="Q9" s="59" t="s">
        <v>73</v>
      </c>
      <c r="R9" s="222">
        <f>IF($B$81=0,0,(SUMIF($N$6:$N$28,$U9,K$6:K$28)+SUMIF($N$91:$N$118,$U9,K$91:K$118))*$B$83*$H$84*Poor!$B$81/$B$81)</f>
        <v>1129.676859632458</v>
      </c>
      <c r="S9" s="222">
        <f>IF($B$81=0,0,(SUMIF($N$6:$N$28,$U9,L$6:L$28)+SUMIF($N$91:$N$118,$U9,L$91:L$118))*$I$83*Poor!$B$81/$B$81)</f>
        <v>632.90826817789718</v>
      </c>
      <c r="T9" s="222">
        <f>IF($B$81=0,0,(SUMIF($N$6:$N$28,$U9,M$6:M$28)+SUMIF($N$91:$N$118,$U9,M$91:M$118))*$I$83*Poor!$B$81/$B$81)</f>
        <v>632.90826817789718</v>
      </c>
      <c r="U9" s="223">
        <v>3</v>
      </c>
      <c r="V9" s="56"/>
      <c r="W9" s="115"/>
      <c r="X9" s="124">
        <v>1</v>
      </c>
      <c r="Y9" s="183">
        <f t="shared" si="9"/>
        <v>7.1111111111111111E-2</v>
      </c>
      <c r="Z9" s="125">
        <f>IF($Y9=0,0,AA9/$Y9)</f>
        <v>0</v>
      </c>
      <c r="AA9" s="121">
        <f>IF($X9=1,IF(SUM(AA$6,AA$12:AA$29)&lt;1,IF((1-SUM(AA$6,AA$12:AA$29))*$M9/SUM($M$7*IF($X$7=1,1,0),$M$8*IF($X$8=1,1,0),$M$9*IF($X$9=1,1,0),$M$10*IF($X$10=1,1,0),$M$11*IF($X$11=1,1,0))&lt;Y9,(1-SUM(AA$6,AA$12:AA$29))*$M9/SUM($M$7*IF($X$7=1,1,0),$M$8*IF($X$8=1,1,0),$M$9*IF($X$9=1,1,0),$M$10*IF($X$10=1,1,0),$M$11*IF($X$11=1,1,0)),Y9),0),0)</f>
        <v>0</v>
      </c>
      <c r="AB9" s="125">
        <f>IF($Y9=0,0,AC9/$Y9)</f>
        <v>0</v>
      </c>
      <c r="AC9" s="121">
        <f>IF($X9&lt;3,IF(SUM(AC$6,AC$12:AC$29)&lt;1,IF(SUM(AC$6,AC$12:AC$29)+SUM((Y$7-AA$7)*IF($X$7&lt;3,1,0),(Y$8-AA$8)*IF($X$8&lt;3,1,0),(Y$9-AA$9)*IF($X$9&lt;3,1,0),(Y$10-AA$10)*IF($X$10&lt;3,1,0),(Y$11-AA$11)*IF($X$11&lt;3,1,0))&lt;1,Y9-AA9,IF((1-SUM(AC$6,AC$12:AC$29))*$M9/SUM($M$7*IF($X$7&lt;3,1,0),$M$8*IF($X$8&lt;3,1,0),$M$9*IF($X$9&lt;3,1,0),$M$10*IF($X$10&lt;3,1,0),$M$11*IF($X$11&lt;3,1,0))&lt;Y9-AA9,(1-SUM(AC$6,AC$12:AC$29))*$M9/SUM($M$7*IF($X$7&lt;3,1,0),$M$8*IF($X$8&lt;3,1,0),$M$9*IF($X$9&lt;3,1,0),$M$10*IF($X$10&lt;3,1,0),$M$11*IF($X$11&lt;3,1,0)),Y9-AA9)),0),0)</f>
        <v>0</v>
      </c>
      <c r="AD9" s="125">
        <f>IF($Y9=0,0,AE9/$Y9)</f>
        <v>0</v>
      </c>
      <c r="AE9" s="121">
        <f>IF($X9&lt;4,IF(SUM(AE$6:AE$6,AE$12:AE$29)&lt;1,IF(SUM(AE$6:AE$6,AE$12:AE$29)+SUM((Y$7-AA$7-AC$7)*IF($X$7&lt;3,1,0),(Y$8-AA$8-AC$8)*IF($X$8&lt;3,1,0),(Y$9-AA$9-AC$9)*IF($X$9&lt;3,1,0),(Y$10-AA$10-AC$10)*IF($X$10&lt;3,1,0),(Y$11-AA$11-AC$11)*IF($X$11&lt;3,1,0))&lt;1,Y9-AA9-AC9,IF((1-SUM(AE$6:AE$6,AE$12:AE$29))*$M9/SUM($M$7*IF($X$7&lt;4,1,0),$M$8*IF($X$8&lt;4,1,0),$M$9*IF($X$9&lt;4,1,0),$M$10*IF($X$10&lt;4,1,0),$M$11*IF($X$11&lt;4,1,0))&lt;Y9-AA9-AC9,(1-SUM(AE$6:AE$6,AE$12:AE$29))*$M9/SUM($M$7*IF($X$7&lt;4,1,0),$M$8*IF($X$8&lt;4,1,0),$M$9*IF($X$9&lt;4,1,0),$M$10*IF($X$10&lt;4,1,0),$M$11*IF($X$11&lt;4,1,0)),Y9-AA9-AC9)),0),0)</f>
        <v>0</v>
      </c>
      <c r="AF9" s="122">
        <f t="shared" si="10"/>
        <v>1</v>
      </c>
      <c r="AG9" s="121">
        <f t="shared" si="11"/>
        <v>7.1111111111111111E-2</v>
      </c>
      <c r="AH9" s="123">
        <f t="shared" si="12"/>
        <v>1</v>
      </c>
      <c r="AI9" s="183">
        <f t="shared" si="13"/>
        <v>1.7777777777777778E-2</v>
      </c>
      <c r="AJ9" s="120">
        <f t="shared" si="14"/>
        <v>0</v>
      </c>
      <c r="AK9" s="119">
        <f t="shared" si="15"/>
        <v>3.5555555555555556E-2</v>
      </c>
      <c r="AS9" s="25"/>
      <c r="AT9" s="25"/>
      <c r="AU9" s="25"/>
      <c r="AV9" s="25"/>
      <c r="AW9" s="25"/>
      <c r="AX9" s="25"/>
      <c r="AZ9" s="25"/>
      <c r="BA9" s="25"/>
      <c r="BB9" s="25"/>
      <c r="BC9" s="25"/>
      <c r="BD9" s="25"/>
      <c r="BE9" s="25"/>
      <c r="BF9" s="25"/>
      <c r="BI9" s="25"/>
      <c r="BJ9" s="25"/>
      <c r="BK9" s="25"/>
      <c r="BL9" s="25"/>
      <c r="BM9" s="25"/>
      <c r="BN9" s="25"/>
      <c r="BP9" s="25"/>
      <c r="BQ9" s="25"/>
      <c r="BR9" s="25"/>
      <c r="BS9" s="25"/>
      <c r="BT9" s="25"/>
      <c r="BU9" s="25"/>
      <c r="BV9" s="25"/>
      <c r="BX9" s="25"/>
      <c r="BY9" s="25"/>
      <c r="BZ9" s="25"/>
      <c r="CA9" s="25"/>
      <c r="CB9" s="25"/>
      <c r="CC9" s="25"/>
      <c r="CE9" s="25"/>
      <c r="CF9" s="25"/>
      <c r="CG9" s="25"/>
      <c r="CH9" s="25"/>
      <c r="CI9" s="25"/>
      <c r="CJ9" s="25"/>
      <c r="CK9" s="25"/>
    </row>
    <row r="10" spans="1:91" ht="14" customHeight="1">
      <c r="A10" s="85" t="s">
        <v>150</v>
      </c>
      <c r="B10" s="215">
        <v>9.4444444444444445E-3</v>
      </c>
      <c r="C10" s="215">
        <v>0</v>
      </c>
      <c r="D10" s="24">
        <f t="shared" si="0"/>
        <v>9.4444444444444445E-3</v>
      </c>
      <c r="E10" s="26">
        <v>1</v>
      </c>
      <c r="H10" s="24">
        <f t="shared" si="1"/>
        <v>1</v>
      </c>
      <c r="I10" s="22">
        <f t="shared" si="2"/>
        <v>9.4444444444444445E-3</v>
      </c>
      <c r="J10" s="24">
        <f t="shared" si="3"/>
        <v>9.4444444444444445E-3</v>
      </c>
      <c r="K10" s="22">
        <f t="shared" si="4"/>
        <v>9.4444444444444445E-3</v>
      </c>
      <c r="L10" s="22">
        <f t="shared" si="5"/>
        <v>9.4444444444444445E-3</v>
      </c>
      <c r="M10" s="224">
        <f t="shared" si="6"/>
        <v>9.4444444444444445E-3</v>
      </c>
      <c r="N10" s="229">
        <v>1</v>
      </c>
      <c r="O10" s="2"/>
      <c r="P10" s="22"/>
      <c r="Q10" s="59" t="s">
        <v>74</v>
      </c>
      <c r="R10" s="222">
        <f>IF($B$81=0,0,(SUMIF($N$6:$N$28,$U10,K$6:K$28)+SUMIF($N$91:$N$118,$U10,K$91:K$118))*$B$83*$H$84*Poor!$B$81/$B$81)</f>
        <v>0</v>
      </c>
      <c r="S10" s="222">
        <f>IF($B$81=0,0,(SUMIF($N$6:$N$28,$U10,L$6:L$28)+SUMIF($N$91:$N$118,$U10,L$91:L$118))*$I$83*Poor!$B$81/$B$81)</f>
        <v>0</v>
      </c>
      <c r="T10" s="222">
        <f>IF($B$81=0,0,(SUMIF($N$6:$N$28,$U10,M$6:M$28)+SUMIF($N$91:$N$118,$U10,M$91:M$118))*$I$83*Poor!$B$81/$B$81)</f>
        <v>0</v>
      </c>
      <c r="U10" s="223">
        <v>4</v>
      </c>
      <c r="V10" s="56"/>
      <c r="W10" s="115"/>
      <c r="X10" s="124">
        <v>1</v>
      </c>
      <c r="Y10" s="183">
        <f t="shared" si="9"/>
        <v>3.7777777777777778E-2</v>
      </c>
      <c r="Z10" s="125">
        <f>IF($Y10=0,0,AA10/$Y10)</f>
        <v>0</v>
      </c>
      <c r="AA10" s="121">
        <f>IF($X10=1,IF(SUM(AA$6,AA$12:AA$29)&lt;1,IF((1-SUM(AA$6,AA$12:AA$29))*$M10/SUM($M$7*IF($X$7=1,1,0),$M$8*IF($X$8=1,1,0),$M$9*IF($X$9=1,1,0),$M$10*IF($X$10=1,1,0),$M$11*IF($X$11=1,1,0))&lt;Y10,(1-SUM(AA$6,AA$12:AA$29))*$M10/SUM($M$7*IF($X$7=1,1,0),$M$8*IF($X$8=1,1,0),$M$9*IF($X$9=1,1,0),$M$10*IF($X$10=1,1,0),$M$11*IF($X$11=1,1,0)),Y10),0),0)</f>
        <v>0</v>
      </c>
      <c r="AB10" s="125">
        <f>IF($Y10=0,0,AC10/$Y10)</f>
        <v>0</v>
      </c>
      <c r="AC10" s="121">
        <f>IF($X10&lt;3,IF(SUM(AC$6,AC$12:AC$29)&lt;1,IF(SUM(AC$6,AC$12:AC$29)+SUM((Y$7-AA$7)*IF($X$7&lt;3,1,0),(Y$8-AA$8)*IF($X$8&lt;3,1,0),(Y$9-AA$9)*IF($X$9&lt;3,1,0),(Y$10-AA$10)*IF($X$10&lt;3,1,0),(Y$11-AA$11)*IF($X$11&lt;3,1,0))&lt;1,Y10-AA10,IF((1-SUM(AC$6,AC$12:AC$29))*$M10/SUM($M$7*IF($X$7&lt;3,1,0),$M$8*IF($X$8&lt;3,1,0),$M$9*IF($X$9&lt;3,1,0),$M$10*IF($X$10&lt;3,1,0),$M$11*IF($X$11&lt;3,1,0))&lt;Y10-AA10,(1-SUM(AC$6,AC$12:AC$29))*$M10/SUM($M$7*IF($X$7&lt;3,1,0),$M$8*IF($X$8&lt;3,1,0),$M$9*IF($X$9&lt;3,1,0),$M$10*IF($X$10&lt;3,1,0),$M$11*IF($X$11&lt;3,1,0)),Y10-AA10)),0),0)</f>
        <v>0</v>
      </c>
      <c r="AD10" s="125">
        <f>IF($Y10=0,0,AE10/$Y10)</f>
        <v>0</v>
      </c>
      <c r="AE10" s="121">
        <f>IF($X10&lt;4,IF(SUM(AE$6:AE$6,AE$12:AE$29)&lt;1,IF(SUM(AE$6:AE$6,AE$12:AE$29)+SUM((Y$7-AA$7-AC$7)*IF($X$7&lt;3,1,0),(Y$8-AA$8-AC$8)*IF($X$8&lt;3,1,0),(Y$9-AA$9-AC$9)*IF($X$9&lt;3,1,0),(Y$10-AA$10-AC$10)*IF($X$10&lt;3,1,0),(Y$11-AA$11-AC$11)*IF($X$11&lt;3,1,0))&lt;1,Y10-AA10-AC10,IF((1-SUM(AE$6:AE$6,AE$12:AE$29))*$M10/SUM($M$7*IF($X$7&lt;4,1,0),$M$8*IF($X$8&lt;4,1,0),$M$9*IF($X$9&lt;4,1,0),$M$10*IF($X$10&lt;4,1,0),$M$11*IF($X$11&lt;4,1,0))&lt;Y10-AA10-AC10,(1-SUM(AE$6:AE$6,AE$12:AE$29))*$M10/SUM($M$7*IF($X$7&lt;4,1,0),$M$8*IF($X$8&lt;4,1,0),$M$9*IF($X$9&lt;4,1,0),$M$10*IF($X$10&lt;4,1,0),$M$11*IF($X$11&lt;4,1,0)),Y10-AA10-AC10)),0),0)</f>
        <v>0</v>
      </c>
      <c r="AF10" s="122">
        <f t="shared" si="10"/>
        <v>1</v>
      </c>
      <c r="AG10" s="121">
        <f t="shared" si="11"/>
        <v>3.7777777777777778E-2</v>
      </c>
      <c r="AH10" s="123">
        <f t="shared" si="12"/>
        <v>1</v>
      </c>
      <c r="AI10" s="183">
        <f t="shared" si="13"/>
        <v>9.4444444444444445E-3</v>
      </c>
      <c r="AJ10" s="120">
        <f t="shared" si="14"/>
        <v>0</v>
      </c>
      <c r="AK10" s="119">
        <f t="shared" si="15"/>
        <v>1.8888888888888889E-2</v>
      </c>
      <c r="AS10" s="25"/>
      <c r="AT10" s="25"/>
      <c r="AU10" s="25"/>
      <c r="AV10" s="25"/>
      <c r="AW10" s="25"/>
      <c r="AX10" s="25"/>
      <c r="AZ10" s="25"/>
      <c r="BA10" s="25"/>
      <c r="BB10" s="25"/>
      <c r="BC10" s="25"/>
      <c r="BD10" s="25"/>
      <c r="BE10" s="25"/>
      <c r="BF10" s="25"/>
      <c r="BI10" s="25"/>
      <c r="BJ10" s="25"/>
      <c r="BK10" s="25"/>
      <c r="BL10" s="25"/>
      <c r="BM10" s="25"/>
      <c r="BN10" s="25"/>
      <c r="BP10" s="25"/>
      <c r="BQ10" s="25"/>
      <c r="BR10" s="25"/>
      <c r="BS10" s="25"/>
      <c r="BT10" s="25"/>
      <c r="BU10" s="25"/>
      <c r="BV10" s="25"/>
      <c r="BX10" s="25"/>
      <c r="BY10" s="25"/>
      <c r="BZ10" s="25"/>
      <c r="CA10" s="25"/>
      <c r="CB10" s="25"/>
      <c r="CC10" s="25"/>
      <c r="CE10" s="25"/>
      <c r="CF10" s="25"/>
      <c r="CG10" s="25"/>
      <c r="CH10" s="25"/>
      <c r="CI10" s="25"/>
      <c r="CJ10" s="25"/>
      <c r="CK10" s="25"/>
    </row>
    <row r="11" spans="1:91" ht="14" customHeight="1">
      <c r="A11" s="85" t="s">
        <v>151</v>
      </c>
      <c r="B11" s="215">
        <v>0.23954016267123288</v>
      </c>
      <c r="C11" s="215">
        <v>3.3296849315068482E-2</v>
      </c>
      <c r="D11" s="24">
        <f t="shared" si="0"/>
        <v>0.27283701198630134</v>
      </c>
      <c r="E11" s="26">
        <v>1.0900000000000001</v>
      </c>
      <c r="H11" s="24">
        <f t="shared" si="1"/>
        <v>1.0900000000000001</v>
      </c>
      <c r="I11" s="22">
        <f t="shared" si="2"/>
        <v>0.29739234306506845</v>
      </c>
      <c r="J11" s="24">
        <f t="shared" si="3"/>
        <v>0.29739234306506845</v>
      </c>
      <c r="K11" s="22">
        <f t="shared" si="4"/>
        <v>0.23954016267123288</v>
      </c>
      <c r="L11" s="22">
        <f t="shared" si="5"/>
        <v>0.26109877731164383</v>
      </c>
      <c r="M11" s="224">
        <f t="shared" si="6"/>
        <v>0.29739234306506845</v>
      </c>
      <c r="N11" s="229">
        <v>1</v>
      </c>
      <c r="O11" s="2"/>
      <c r="P11" s="22"/>
      <c r="Q11" s="59" t="s">
        <v>75</v>
      </c>
      <c r="R11" s="222">
        <f>IF($B$81=0,0,(SUMIF($N$6:$N$28,$U11,K$6:K$28)+SUMIF($N$91:$N$118,$U11,K$91:K$118))*$B$83*$H$84*Poor!$B$81/$B$81)</f>
        <v>5786.8409242296002</v>
      </c>
      <c r="S11" s="222">
        <f>IF($B$81=0,0,(SUMIF($N$6:$N$28,$U11,L$6:L$28)+SUMIF($N$91:$N$118,$U11,L$91:L$118))*$I$83*Poor!$B$81/$B$81)</f>
        <v>3711.4933333333333</v>
      </c>
      <c r="T11" s="222">
        <f>IF($B$81=0,0,(SUMIF($N$6:$N$28,$U11,M$6:M$28)+SUMIF($N$91:$N$118,$U11,M$91:M$118))*$I$83*Poor!$B$81/$B$81)</f>
        <v>2932.6933333333332</v>
      </c>
      <c r="U11" s="223">
        <v>5</v>
      </c>
      <c r="V11" s="56"/>
      <c r="W11" s="115"/>
      <c r="X11" s="124">
        <v>1</v>
      </c>
      <c r="Y11" s="183">
        <f t="shared" si="9"/>
        <v>1.1895693722602738</v>
      </c>
      <c r="Z11" s="125">
        <f>IF($Y11=0,0,AA11/$Y11)</f>
        <v>0</v>
      </c>
      <c r="AA11" s="121">
        <f>IF($X11=1,IF(SUM(AA$6,AA$12:AA$29)&lt;1,IF((1-SUM(AA$6,AA$12:AA$29))*$M11/SUM($M$7*IF($X$7=1,1,0),$M$8*IF($X$8=1,1,0),$M$9*IF($X$9=1,1,0),$M$10*IF($X$10=1,1,0),$M$11*IF($X$11=1,1,0))&lt;Y11,(1-SUM(AA$6,AA$12:AA$29))*$M11/SUM($M$7*IF($X$7=1,1,0),$M$8*IF($X$8=1,1,0),$M$9*IF($X$9=1,1,0),$M$10*IF($X$10=1,1,0),$M$11*IF($X$11=1,1,0)),Y11),0),0)</f>
        <v>0</v>
      </c>
      <c r="AB11" s="125">
        <f>IF($Y11=0,0,AC11/$Y11)</f>
        <v>0</v>
      </c>
      <c r="AC11" s="121">
        <f>IF($X11&lt;3,IF(SUM(AC$6,AC$12:AC$29)&lt;1,IF(SUM(AC$6,AC$12:AC$29)+SUM((Y$7-AA$7)*IF($X$7&lt;3,1,0),(Y$8-AA$8)*IF($X$8&lt;3,1,0),(Y$9-AA$9)*IF($X$9&lt;3,1,0),(Y$10-AA$10)*IF($X$10&lt;3,1,0),(Y$11-AA$11)*IF($X$11&lt;3,1,0))&lt;1,Y11-AA11,IF((1-SUM(AC$6,AC$12:AC$29))*$M11/SUM($M$7*IF($X$7&lt;3,1,0),$M$8*IF($X$8&lt;3,1,0),$M$9*IF($X$9&lt;3,1,0),$M$10*IF($X$10&lt;3,1,0),$M$11*IF($X$11&lt;3,1,0))&lt;Y11-AA11,(1-SUM(AC$6,AC$12:AC$29))*$M11/SUM($M$7*IF($X$7&lt;3,1,0),$M$8*IF($X$8&lt;3,1,0),$M$9*IF($X$9&lt;3,1,0),$M$10*IF($X$10&lt;3,1,0),$M$11*IF($X$11&lt;3,1,0)),Y11-AA11)),0),0)</f>
        <v>0</v>
      </c>
      <c r="AD11" s="125">
        <f>IF($Y11=0,0,AE11/$Y11)</f>
        <v>0</v>
      </c>
      <c r="AE11" s="121">
        <f>IF($X11&lt;4,IF(SUM(AE$6:AE$6,AE$12:AE$29)&lt;1,IF(SUM(AE$6:AE$6,AE$12:AE$29)+SUM((Y$7-AA$7-AC$7)*IF($X$7&lt;3,1,0),(Y$8-AA$8-AC$8)*IF($X$8&lt;3,1,0),(Y$9-AA$9-AC$9)*IF($X$9&lt;3,1,0),(Y$10-AA$10-AC$10)*IF($X$10&lt;3,1,0),(Y$11-AA$11-AC$11)*IF($X$11&lt;3,1,0))&lt;1,Y11-AA11-AC11,IF((1-SUM(AE$6:AE$6,AE$12:AE$29))*$M11/SUM($M$7*IF($X$7&lt;4,1,0),$M$8*IF($X$8&lt;4,1,0),$M$9*IF($X$9&lt;4,1,0),$M$10*IF($X$10&lt;4,1,0),$M$11*IF($X$11&lt;4,1,0))&lt;Y11-AA11-AC11,(1-SUM(AE$6:AE$6,AE$12:AE$29))*$M11/SUM($M$7*IF($X$7&lt;4,1,0),$M$8*IF($X$8&lt;4,1,0),$M$9*IF($X$9&lt;4,1,0),$M$10*IF($X$10&lt;4,1,0),$M$11*IF($X$11&lt;4,1,0)),Y11-AA11-AC11)),0),0)</f>
        <v>0</v>
      </c>
      <c r="AF11" s="122">
        <f t="shared" si="10"/>
        <v>1</v>
      </c>
      <c r="AG11" s="121">
        <f t="shared" si="11"/>
        <v>1.1895693722602738</v>
      </c>
      <c r="AH11" s="123">
        <f t="shared" si="12"/>
        <v>1</v>
      </c>
      <c r="AI11" s="183">
        <f t="shared" si="13"/>
        <v>0.29739234306506845</v>
      </c>
      <c r="AJ11" s="120">
        <f t="shared" si="14"/>
        <v>0</v>
      </c>
      <c r="AK11" s="119">
        <f t="shared" si="15"/>
        <v>0.59478468613013691</v>
      </c>
      <c r="AS11" s="25"/>
      <c r="AT11" s="25"/>
      <c r="AU11" s="25"/>
      <c r="AV11" s="25"/>
      <c r="AW11" s="25"/>
      <c r="AX11" s="25"/>
      <c r="AZ11" s="25"/>
      <c r="BA11" s="25"/>
      <c r="BB11" s="25"/>
      <c r="BC11" s="25"/>
      <c r="BD11" s="25"/>
      <c r="BE11" s="25"/>
      <c r="BF11" s="25"/>
      <c r="BI11" s="25"/>
      <c r="BJ11" s="25"/>
      <c r="BK11" s="25"/>
      <c r="BL11" s="25"/>
      <c r="BM11" s="25"/>
      <c r="BN11" s="25"/>
      <c r="BP11" s="25"/>
      <c r="BQ11" s="25"/>
      <c r="BR11" s="25"/>
      <c r="BS11" s="25"/>
      <c r="BT11" s="25"/>
      <c r="BU11" s="25"/>
      <c r="BV11" s="25"/>
      <c r="BX11" s="25"/>
      <c r="BY11" s="25"/>
      <c r="BZ11" s="25"/>
      <c r="CA11" s="25"/>
      <c r="CB11" s="25"/>
      <c r="CC11" s="25"/>
      <c r="CE11" s="25"/>
      <c r="CF11" s="25"/>
      <c r="CG11" s="25"/>
      <c r="CH11" s="25"/>
      <c r="CI11" s="25"/>
      <c r="CJ11" s="25"/>
      <c r="CK11" s="25"/>
    </row>
    <row r="12" spans="1:91" ht="14" customHeight="1">
      <c r="A12" s="85" t="s">
        <v>152</v>
      </c>
      <c r="B12" s="215">
        <v>1.4786429794520545E-2</v>
      </c>
      <c r="C12" s="215">
        <v>1.5772191780821922E-2</v>
      </c>
      <c r="D12" s="24">
        <f t="shared" si="0"/>
        <v>3.0558621575342469E-2</v>
      </c>
      <c r="E12" s="26">
        <v>1.0900000000000001</v>
      </c>
      <c r="H12" s="24">
        <f t="shared" si="1"/>
        <v>1.0900000000000001</v>
      </c>
      <c r="I12" s="22">
        <f t="shared" si="2"/>
        <v>3.3308897517123293E-2</v>
      </c>
      <c r="J12" s="24">
        <f t="shared" si="3"/>
        <v>3.3308897517123293E-2</v>
      </c>
      <c r="K12" s="22">
        <f t="shared" si="4"/>
        <v>1.4786429794520545E-2</v>
      </c>
      <c r="L12" s="22">
        <f t="shared" si="5"/>
        <v>1.6117208476027396E-2</v>
      </c>
      <c r="M12" s="224">
        <f t="shared" si="6"/>
        <v>3.3308897517123293E-2</v>
      </c>
      <c r="N12" s="229">
        <v>1</v>
      </c>
      <c r="O12" s="2"/>
      <c r="P12" s="22"/>
      <c r="Q12" s="126" t="s">
        <v>124</v>
      </c>
      <c r="R12" s="222">
        <f>IF($B$81=0,0,(SUMIF($N$6:$N$28,$U12,K$6:K$28)+SUMIF($N$91:$N$118,$U12,K$91:K$118))*$B$83*$H$84*Poor!$B$81/$B$81)</f>
        <v>1143.6735530306601</v>
      </c>
      <c r="S12" s="222">
        <f>IF($B$81=0,0,(SUMIF($N$6:$N$28,$U12,L$6:L$28)+SUMIF($N$91:$N$118,$U12,L$91:L$118))*$I$83*Poor!$B$81/$B$81)</f>
        <v>916.4666666666667</v>
      </c>
      <c r="T12" s="222">
        <f>IF($B$81=0,0,(SUMIF($N$6:$N$28,$U12,M$6:M$28)+SUMIF($N$91:$N$118,$U12,M$91:M$118))*$I$83*Poor!$B$81/$B$81)</f>
        <v>1784.75</v>
      </c>
      <c r="U12" s="223">
        <v>6</v>
      </c>
      <c r="V12" s="56"/>
      <c r="W12" s="117"/>
      <c r="X12" s="118"/>
      <c r="Y12" s="183">
        <f t="shared" si="9"/>
        <v>0.13323559006849317</v>
      </c>
      <c r="Z12" s="116">
        <v>0</v>
      </c>
      <c r="AA12" s="121">
        <f>$M12*Z12*4</f>
        <v>0</v>
      </c>
      <c r="AB12" s="116">
        <v>0</v>
      </c>
      <c r="AC12" s="121">
        <f>$M12*AB12*4</f>
        <v>0</v>
      </c>
      <c r="AD12" s="116">
        <v>0.67</v>
      </c>
      <c r="AE12" s="121">
        <f>$M12*AD12*4</f>
        <v>8.9267845345890426E-2</v>
      </c>
      <c r="AF12" s="122">
        <f>1-SUM(Z12,AB12,AD12)</f>
        <v>0.32999999999999996</v>
      </c>
      <c r="AG12" s="121">
        <f>$M12*AF12*4</f>
        <v>4.3967744722602738E-2</v>
      </c>
      <c r="AH12" s="123">
        <f t="shared" si="12"/>
        <v>1</v>
      </c>
      <c r="AI12" s="183">
        <f t="shared" si="13"/>
        <v>3.3308897517123293E-2</v>
      </c>
      <c r="AJ12" s="120">
        <f t="shared" si="14"/>
        <v>0</v>
      </c>
      <c r="AK12" s="119">
        <f t="shared" si="15"/>
        <v>6.6617795034246585E-2</v>
      </c>
      <c r="AS12" s="25"/>
      <c r="AT12" s="25"/>
      <c r="AU12" s="25"/>
      <c r="AV12" s="25"/>
      <c r="AW12" s="25"/>
      <c r="AX12" s="25"/>
      <c r="AZ12" s="25"/>
      <c r="BA12" s="25"/>
      <c r="BB12" s="25"/>
      <c r="BC12" s="25"/>
      <c r="BD12" s="25"/>
      <c r="BE12" s="25"/>
      <c r="BF12" s="25"/>
      <c r="BI12" s="25"/>
      <c r="BJ12" s="25"/>
      <c r="BK12" s="25"/>
      <c r="BL12" s="25"/>
      <c r="BM12" s="25"/>
      <c r="BN12" s="25"/>
      <c r="BP12" s="25"/>
      <c r="BQ12" s="25"/>
      <c r="BR12" s="25"/>
      <c r="BS12" s="25"/>
      <c r="BT12" s="25"/>
      <c r="BU12" s="25"/>
      <c r="BV12" s="25"/>
      <c r="BX12" s="25"/>
      <c r="BY12" s="25"/>
      <c r="BZ12" s="25"/>
      <c r="CA12" s="25"/>
      <c r="CB12" s="25"/>
      <c r="CC12" s="25"/>
      <c r="CE12" s="25"/>
      <c r="CF12" s="25"/>
      <c r="CG12" s="25"/>
      <c r="CH12" s="25"/>
      <c r="CI12" s="25"/>
      <c r="CJ12" s="25"/>
      <c r="CK12" s="25"/>
    </row>
    <row r="13" spans="1:91" ht="14" customHeight="1">
      <c r="A13" s="85" t="s">
        <v>153</v>
      </c>
      <c r="B13" s="215">
        <v>3.7171283156911587E-2</v>
      </c>
      <c r="C13" s="215">
        <v>0</v>
      </c>
      <c r="D13" s="24">
        <f t="shared" si="0"/>
        <v>3.7171283156911587E-2</v>
      </c>
      <c r="E13" s="26">
        <v>1</v>
      </c>
      <c r="H13" s="24">
        <f t="shared" si="1"/>
        <v>1</v>
      </c>
      <c r="I13" s="22">
        <f t="shared" si="2"/>
        <v>3.7171283156911587E-2</v>
      </c>
      <c r="J13" s="24">
        <f t="shared" si="3"/>
        <v>3.7171283156911587E-2</v>
      </c>
      <c r="K13" s="22">
        <f t="shared" si="4"/>
        <v>3.7171283156911587E-2</v>
      </c>
      <c r="L13" s="22">
        <f t="shared" si="5"/>
        <v>3.7171283156911587E-2</v>
      </c>
      <c r="M13" s="225">
        <f t="shared" si="6"/>
        <v>3.7171283156911587E-2</v>
      </c>
      <c r="N13" s="229">
        <v>1</v>
      </c>
      <c r="O13" s="2"/>
      <c r="P13" s="22"/>
      <c r="Q13" s="59" t="s">
        <v>76</v>
      </c>
      <c r="R13" s="222">
        <f>IF($B$81=0,0,(SUMIF($N$6:$N$28,$U13,K$6:K$28)+SUMIF($N$91:$N$118,$U13,K$91:K$118))*$B$83*$H$84*Poor!$B$81/$B$81)</f>
        <v>14295.536306671656</v>
      </c>
      <c r="S13" s="222">
        <f>IF($B$81=0,0,(SUMIF($N$6:$N$28,$U13,L$6:L$28)+SUMIF($N$91:$N$118,$U13,L$91:L$118))*$I$83*Poor!$B$81/$B$81)</f>
        <v>11157.420724872622</v>
      </c>
      <c r="T13" s="222">
        <f>IF($B$81=0,0,(SUMIF($N$6:$N$28,$U13,M$6:M$28)+SUMIF($N$91:$N$118,$U13,M$91:M$118))*$I$83*Poor!$B$81/$B$81)</f>
        <v>10357.754743918073</v>
      </c>
      <c r="U13" s="223">
        <v>7</v>
      </c>
      <c r="V13" s="56"/>
      <c r="W13" s="110"/>
      <c r="X13" s="118"/>
      <c r="Y13" s="183">
        <f t="shared" si="9"/>
        <v>0.14868513262764635</v>
      </c>
      <c r="Z13" s="116">
        <v>1</v>
      </c>
      <c r="AA13" s="121">
        <f>$M13*Z13*4</f>
        <v>0.14868513262764635</v>
      </c>
      <c r="AB13" s="116">
        <v>0</v>
      </c>
      <c r="AC13" s="121">
        <f>$M13*AB13*4</f>
        <v>0</v>
      </c>
      <c r="AD13" s="116">
        <v>0</v>
      </c>
      <c r="AE13" s="121">
        <f>$M13*AD13*4</f>
        <v>0</v>
      </c>
      <c r="AF13" s="122">
        <f>1-SUM(Z13,AB13,AD13)</f>
        <v>0</v>
      </c>
      <c r="AG13" s="121">
        <f>$M13*AF13*4</f>
        <v>0</v>
      </c>
      <c r="AH13" s="123">
        <f t="shared" si="12"/>
        <v>1</v>
      </c>
      <c r="AI13" s="183">
        <f t="shared" si="13"/>
        <v>3.7171283156911587E-2</v>
      </c>
      <c r="AJ13" s="120">
        <f t="shared" si="14"/>
        <v>7.4342566313823175E-2</v>
      </c>
      <c r="AK13" s="119">
        <f t="shared" si="15"/>
        <v>0</v>
      </c>
      <c r="AS13" s="25"/>
      <c r="AT13" s="25"/>
      <c r="AU13" s="25"/>
      <c r="AV13" s="25"/>
      <c r="AW13" s="25"/>
      <c r="AX13" s="25"/>
      <c r="AZ13" s="25"/>
      <c r="BA13" s="25"/>
      <c r="BB13" s="25"/>
      <c r="BC13" s="25"/>
      <c r="BD13" s="25"/>
      <c r="BE13" s="25"/>
      <c r="BF13" s="25"/>
      <c r="BI13" s="25"/>
      <c r="BJ13" s="25"/>
      <c r="BK13" s="25"/>
      <c r="BL13" s="25"/>
      <c r="BM13" s="25"/>
      <c r="BN13" s="25"/>
      <c r="BP13" s="25"/>
      <c r="BQ13" s="25"/>
      <c r="BR13" s="25"/>
      <c r="BS13" s="25"/>
      <c r="BT13" s="25"/>
      <c r="BU13" s="25"/>
      <c r="BV13" s="25"/>
      <c r="BX13" s="25"/>
      <c r="BY13" s="25"/>
      <c r="BZ13" s="25"/>
      <c r="CA13" s="25"/>
      <c r="CB13" s="25"/>
      <c r="CC13" s="25"/>
      <c r="CE13" s="25"/>
      <c r="CF13" s="25"/>
      <c r="CG13" s="25"/>
      <c r="CH13" s="25"/>
      <c r="CI13" s="25"/>
      <c r="CJ13" s="25"/>
      <c r="CK13" s="25"/>
    </row>
    <row r="14" spans="1:91" ht="14" customHeight="1">
      <c r="A14" s="85" t="s">
        <v>154</v>
      </c>
      <c r="B14" s="215">
        <v>7.3864259028642582E-4</v>
      </c>
      <c r="C14" s="215">
        <v>0</v>
      </c>
      <c r="D14" s="24">
        <f t="shared" si="0"/>
        <v>7.3864259028642582E-4</v>
      </c>
      <c r="E14" s="26">
        <v>1</v>
      </c>
      <c r="F14" s="22"/>
      <c r="H14" s="24">
        <f t="shared" si="1"/>
        <v>1</v>
      </c>
      <c r="I14" s="22">
        <f t="shared" si="2"/>
        <v>7.3864259028642582E-4</v>
      </c>
      <c r="J14" s="24">
        <f>IF(I$32&lt;=1+I131,I14,B14*H14+J$33*(I14-B14*H14))</f>
        <v>7.3864259028642582E-4</v>
      </c>
      <c r="K14" s="22">
        <f t="shared" si="4"/>
        <v>7.3864259028642582E-4</v>
      </c>
      <c r="L14" s="22">
        <f t="shared" si="5"/>
        <v>7.3864259028642582E-4</v>
      </c>
      <c r="M14" s="225">
        <f t="shared" si="6"/>
        <v>7.3864259028642582E-4</v>
      </c>
      <c r="N14" s="229">
        <v>1</v>
      </c>
      <c r="O14" s="2"/>
      <c r="P14" s="22"/>
      <c r="Q14" s="126" t="s">
        <v>77</v>
      </c>
      <c r="R14" s="222">
        <f>IF($B$81=0,0,(SUMIF($N$6:$N$28,$U14,K$6:K$28)+SUMIF($N$91:$N$118,$U14,K$91:K$118))*$B$83*$H$84*Poor!$B$81/$B$81)</f>
        <v>12958.361287557693</v>
      </c>
      <c r="S14" s="222">
        <f>IF($B$81=0,0,(SUMIF($N$6:$N$28,$U14,L$6:L$28)+SUMIF($N$91:$N$118,$U14,L$91:L$118))*$I$83*Poor!$B$81/$B$81)</f>
        <v>8307.1999999999989</v>
      </c>
      <c r="T14" s="222">
        <f>IF($B$81=0,0,(SUMIF($N$6:$N$28,$U14,M$6:M$28)+SUMIF($N$91:$N$118,$U14,M$91:M$118))*$I$83*Poor!$B$81/$B$81)</f>
        <v>8307.1999999999989</v>
      </c>
      <c r="U14" s="223">
        <v>8</v>
      </c>
      <c r="V14" s="56"/>
      <c r="W14" s="110"/>
      <c r="X14" s="118"/>
      <c r="Y14" s="183">
        <f>M14*4</f>
        <v>2.9545703611457033E-3</v>
      </c>
      <c r="Z14" s="116">
        <v>0</v>
      </c>
      <c r="AA14" s="121">
        <f t="shared" ref="AA14:AA29" si="16">$M14*Z14*4</f>
        <v>0</v>
      </c>
      <c r="AB14" s="116">
        <v>1</v>
      </c>
      <c r="AC14" s="121">
        <f t="shared" si="7"/>
        <v>2.9545703611457033E-3</v>
      </c>
      <c r="AD14" s="116">
        <v>0</v>
      </c>
      <c r="AE14" s="121">
        <f t="shared" si="8"/>
        <v>0</v>
      </c>
      <c r="AF14" s="122">
        <f t="shared" si="10"/>
        <v>0</v>
      </c>
      <c r="AG14" s="121">
        <f t="shared" si="11"/>
        <v>0</v>
      </c>
      <c r="AH14" s="128">
        <f>SUM(Z14,AB14,AD14,AF14)</f>
        <v>1</v>
      </c>
      <c r="AI14" s="183">
        <f>SUM(AA14,AC14,AE14,AG14)/4</f>
        <v>7.3864259028642582E-4</v>
      </c>
      <c r="AJ14" s="120">
        <f t="shared" si="14"/>
        <v>1.4772851805728516E-3</v>
      </c>
      <c r="AK14" s="119">
        <f t="shared" si="15"/>
        <v>0</v>
      </c>
      <c r="AS14" s="25"/>
      <c r="AT14" s="25"/>
      <c r="AU14" s="25"/>
      <c r="AV14" s="25"/>
      <c r="AW14" s="25"/>
      <c r="AX14" s="25"/>
      <c r="AZ14" s="25"/>
      <c r="BA14" s="25"/>
      <c r="BB14" s="25"/>
      <c r="BC14" s="25"/>
      <c r="BD14" s="25"/>
      <c r="BE14" s="25"/>
      <c r="BF14" s="25"/>
      <c r="BI14" s="25"/>
      <c r="BJ14" s="25"/>
      <c r="BK14" s="25"/>
      <c r="BL14" s="25"/>
      <c r="BM14" s="25"/>
      <c r="BN14" s="25"/>
      <c r="BP14" s="25"/>
      <c r="BQ14" s="25"/>
      <c r="BR14" s="25"/>
      <c r="BS14" s="25"/>
      <c r="BT14" s="25"/>
      <c r="BU14" s="25"/>
      <c r="BV14" s="25"/>
      <c r="BX14" s="25"/>
      <c r="BY14" s="25"/>
      <c r="BZ14" s="25"/>
      <c r="CA14" s="25"/>
      <c r="CB14" s="25"/>
      <c r="CC14" s="25"/>
      <c r="CE14" s="25"/>
      <c r="CF14" s="25"/>
      <c r="CG14" s="25"/>
      <c r="CH14" s="25"/>
      <c r="CI14" s="25"/>
      <c r="CJ14" s="25"/>
      <c r="CK14" s="25"/>
    </row>
    <row r="15" spans="1:91" ht="14" customHeight="1">
      <c r="A15" s="85" t="s">
        <v>155</v>
      </c>
      <c r="B15" s="215">
        <v>1.8103408514367418E-3</v>
      </c>
      <c r="C15" s="215">
        <v>0</v>
      </c>
      <c r="D15" s="24">
        <f t="shared" si="0"/>
        <v>1.8103408514367418E-3</v>
      </c>
      <c r="E15" s="26">
        <v>1</v>
      </c>
      <c r="F15" s="22"/>
      <c r="H15" s="24">
        <f t="shared" si="1"/>
        <v>1</v>
      </c>
      <c r="I15" s="22">
        <f t="shared" si="2"/>
        <v>1.8103408514367418E-3</v>
      </c>
      <c r="J15" s="24">
        <f>IF(I$32&lt;=1+I131,I15,B15*H15+J$33*(I15-B15*H15))</f>
        <v>1.8103408514367418E-3</v>
      </c>
      <c r="K15" s="22">
        <f t="shared" si="4"/>
        <v>1.8103408514367418E-3</v>
      </c>
      <c r="L15" s="22">
        <f t="shared" si="5"/>
        <v>1.8103408514367418E-3</v>
      </c>
      <c r="M15" s="226">
        <f t="shared" si="6"/>
        <v>1.8103408514367418E-3</v>
      </c>
      <c r="N15" s="229">
        <v>1</v>
      </c>
      <c r="O15" s="2"/>
      <c r="P15" s="22"/>
      <c r="Q15" s="59" t="s">
        <v>127</v>
      </c>
      <c r="R15" s="222">
        <f>IF($B$81=0,0,(SUMIF($N$6:$N$28,$U15,K$6:K$28)+SUMIF($N$91:$N$118,$U15,K$91:K$118))*$B$83*$H$84*Poor!$B$81/$B$81)</f>
        <v>4025.4363984568422</v>
      </c>
      <c r="S15" s="222">
        <f>IF($B$81=0,0,(SUMIF($N$6:$N$28,$U15,L$6:L$28)+SUMIF($N$91:$N$118,$U15,L$91:L$118))*$I$83*Poor!$B$81/$B$81)</f>
        <v>3225.7266666666665</v>
      </c>
      <c r="T15" s="222">
        <f>IF($B$81=0,0,(SUMIF($N$6:$N$28,$U15,M$6:M$28)+SUMIF($N$91:$N$118,$U15,M$91:M$118))*$I$83*Poor!$B$81/$B$81)</f>
        <v>3225.7266666666665</v>
      </c>
      <c r="U15" s="223">
        <v>9</v>
      </c>
      <c r="V15" s="56"/>
      <c r="W15" s="110"/>
      <c r="X15" s="118"/>
      <c r="Y15" s="183">
        <f t="shared" si="9"/>
        <v>7.2413634057469671E-3</v>
      </c>
      <c r="Z15" s="116">
        <v>0.25</v>
      </c>
      <c r="AA15" s="121">
        <f t="shared" si="16"/>
        <v>1.8103408514367418E-3</v>
      </c>
      <c r="AB15" s="116">
        <v>0.25</v>
      </c>
      <c r="AC15" s="121">
        <f t="shared" si="7"/>
        <v>1.8103408514367418E-3</v>
      </c>
      <c r="AD15" s="116">
        <v>0.25</v>
      </c>
      <c r="AE15" s="121">
        <f t="shared" si="8"/>
        <v>1.8103408514367418E-3</v>
      </c>
      <c r="AF15" s="122">
        <f t="shared" si="10"/>
        <v>0.25</v>
      </c>
      <c r="AG15" s="121">
        <f t="shared" si="11"/>
        <v>1.8103408514367418E-3</v>
      </c>
      <c r="AH15" s="123">
        <f t="shared" si="12"/>
        <v>1</v>
      </c>
      <c r="AI15" s="183">
        <f t="shared" si="13"/>
        <v>1.8103408514367418E-3</v>
      </c>
      <c r="AJ15" s="120">
        <f t="shared" si="14"/>
        <v>1.8103408514367418E-3</v>
      </c>
      <c r="AK15" s="119">
        <f t="shared" si="15"/>
        <v>1.8103408514367418E-3</v>
      </c>
      <c r="AS15" s="25"/>
      <c r="AT15" s="25"/>
      <c r="AU15" s="25"/>
      <c r="AV15" s="25"/>
      <c r="AW15" s="25"/>
      <c r="AX15" s="25"/>
      <c r="AZ15" s="25"/>
      <c r="BA15" s="25"/>
      <c r="BB15" s="25"/>
      <c r="BC15" s="25"/>
      <c r="BD15" s="25"/>
      <c r="BE15" s="25"/>
      <c r="BF15" s="25"/>
      <c r="BI15" s="25"/>
      <c r="BJ15" s="25"/>
      <c r="BK15" s="25"/>
      <c r="BL15" s="25"/>
      <c r="BM15" s="25"/>
      <c r="BN15" s="25"/>
      <c r="BP15" s="25"/>
      <c r="BQ15" s="25"/>
      <c r="BR15" s="25"/>
      <c r="BS15" s="25"/>
      <c r="BT15" s="25"/>
      <c r="BU15" s="25"/>
      <c r="BV15" s="25"/>
      <c r="BX15" s="25"/>
      <c r="BY15" s="25"/>
      <c r="BZ15" s="25"/>
      <c r="CA15" s="25"/>
      <c r="CB15" s="25"/>
      <c r="CC15" s="25"/>
      <c r="CE15" s="25"/>
      <c r="CF15" s="25"/>
      <c r="CG15" s="25"/>
      <c r="CH15" s="25"/>
      <c r="CI15" s="25"/>
      <c r="CJ15" s="25"/>
      <c r="CK15" s="25"/>
    </row>
    <row r="16" spans="1:91" ht="14" customHeight="1">
      <c r="A16" s="85" t="s">
        <v>156</v>
      </c>
      <c r="B16" s="215">
        <v>1.7811134288086342E-2</v>
      </c>
      <c r="C16" s="215">
        <v>2.647932233291822E-2</v>
      </c>
      <c r="D16" s="24">
        <f t="shared" si="0"/>
        <v>4.4290456621004559E-2</v>
      </c>
      <c r="E16" s="26">
        <v>1</v>
      </c>
      <c r="F16" s="22"/>
      <c r="H16" s="24">
        <f t="shared" si="1"/>
        <v>1</v>
      </c>
      <c r="I16" s="22">
        <f t="shared" si="2"/>
        <v>4.4290456621004559E-2</v>
      </c>
      <c r="J16" s="24">
        <f>IF(I$32&lt;=1+I131,I16,B16*H16+J$33*(I16-B16*H16))</f>
        <v>4.4290456621004559E-2</v>
      </c>
      <c r="K16" s="22">
        <f t="shared" si="4"/>
        <v>1.7811134288086342E-2</v>
      </c>
      <c r="L16" s="22">
        <f t="shared" si="5"/>
        <v>1.7811134288086342E-2</v>
      </c>
      <c r="M16" s="224">
        <f t="shared" si="6"/>
        <v>4.4290456621004559E-2</v>
      </c>
      <c r="N16" s="229">
        <v>1</v>
      </c>
      <c r="O16" s="2"/>
      <c r="P16" s="22"/>
      <c r="Q16" s="126" t="s">
        <v>78</v>
      </c>
      <c r="R16" s="222">
        <f>IF($B$81=0,0,(SUMIF($N$6:$N$28,$U16,K$6:K$28)+SUMIF($N$91:$N$118,$U16,K$91:K$118))*$B$83*$H$84*Poor!$B$81/$B$81)</f>
        <v>6238.6656047294809</v>
      </c>
      <c r="S16" s="222">
        <f>IF($B$81=0,0,(SUMIF($N$6:$N$28,$U16,L$6:L$28)+SUMIF($N$91:$N$118,$U16,L$91:L$118))*$I$83*Poor!$B$81/$B$81)</f>
        <v>3389.3333333333335</v>
      </c>
      <c r="T16" s="222">
        <f>IF($B$81=0,0,(SUMIF($N$6:$N$28,$U16,M$6:M$28)+SUMIF($N$91:$N$118,$U16,M$91:M$118))*$I$83*Poor!$B$81/$B$81)</f>
        <v>4067.2</v>
      </c>
      <c r="U16" s="223">
        <v>10</v>
      </c>
      <c r="V16" s="56"/>
      <c r="W16" s="110"/>
      <c r="X16" s="118"/>
      <c r="Y16" s="183">
        <f t="shared" si="9"/>
        <v>0.17716182648401824</v>
      </c>
      <c r="Z16" s="116">
        <v>0</v>
      </c>
      <c r="AA16" s="121">
        <f t="shared" si="16"/>
        <v>0</v>
      </c>
      <c r="AB16" s="116">
        <v>0</v>
      </c>
      <c r="AC16" s="121">
        <f t="shared" si="7"/>
        <v>0</v>
      </c>
      <c r="AD16" s="116">
        <v>0</v>
      </c>
      <c r="AE16" s="121">
        <f t="shared" si="8"/>
        <v>0</v>
      </c>
      <c r="AF16" s="122">
        <f t="shared" si="10"/>
        <v>1</v>
      </c>
      <c r="AG16" s="121">
        <f t="shared" si="11"/>
        <v>0.17716182648401824</v>
      </c>
      <c r="AH16" s="123">
        <f t="shared" si="12"/>
        <v>1</v>
      </c>
      <c r="AI16" s="183">
        <f t="shared" si="13"/>
        <v>4.4290456621004559E-2</v>
      </c>
      <c r="AJ16" s="120">
        <f t="shared" si="14"/>
        <v>0</v>
      </c>
      <c r="AK16" s="119">
        <f t="shared" si="15"/>
        <v>8.8580913242009118E-2</v>
      </c>
      <c r="AS16" s="25"/>
      <c r="AT16" s="25"/>
      <c r="AU16" s="25"/>
      <c r="AV16" s="25"/>
      <c r="AW16" s="25"/>
      <c r="AX16" s="25"/>
      <c r="AZ16" s="25"/>
      <c r="BA16" s="25"/>
      <c r="BB16" s="25"/>
      <c r="BC16" s="25"/>
      <c r="BD16" s="25"/>
      <c r="BE16" s="25"/>
      <c r="BF16" s="25"/>
      <c r="BI16" s="25"/>
      <c r="BJ16" s="25"/>
      <c r="BK16" s="25"/>
      <c r="BL16" s="25"/>
      <c r="BM16" s="25"/>
      <c r="BN16" s="25"/>
      <c r="BP16" s="25"/>
      <c r="BQ16" s="25"/>
      <c r="BR16" s="25"/>
      <c r="BS16" s="25"/>
      <c r="BT16" s="25"/>
      <c r="BU16" s="25"/>
      <c r="BV16" s="25"/>
      <c r="BX16" s="25"/>
      <c r="BY16" s="25"/>
      <c r="BZ16" s="25"/>
      <c r="CA16" s="25"/>
      <c r="CB16" s="25"/>
      <c r="CC16" s="25"/>
      <c r="CE16" s="25"/>
      <c r="CF16" s="25"/>
      <c r="CG16" s="25"/>
      <c r="CH16" s="25"/>
      <c r="CI16" s="25"/>
      <c r="CJ16" s="25"/>
      <c r="CK16" s="25"/>
    </row>
    <row r="17" spans="1:89" ht="14" customHeight="1">
      <c r="A17" s="85" t="s">
        <v>157</v>
      </c>
      <c r="B17" s="215">
        <v>9.0526930261519301E-3</v>
      </c>
      <c r="C17" s="215">
        <v>1.3325031133250311E-3</v>
      </c>
      <c r="D17" s="24">
        <f>SUM(B17,C17)</f>
        <v>1.0385196139476961E-2</v>
      </c>
      <c r="E17" s="26">
        <v>1</v>
      </c>
      <c r="F17" s="22"/>
      <c r="H17" s="24">
        <f t="shared" si="1"/>
        <v>1</v>
      </c>
      <c r="I17" s="22">
        <f t="shared" si="2"/>
        <v>1.0385196139476961E-2</v>
      </c>
      <c r="J17" s="24">
        <f t="shared" ref="J17:J25" si="17">IF(I$32&lt;=1+I131,I17,B17*H17+J$33*(I17-B17*H17))</f>
        <v>1.0385196139476961E-2</v>
      </c>
      <c r="K17" s="22">
        <f t="shared" si="4"/>
        <v>9.0526930261519301E-3</v>
      </c>
      <c r="L17" s="22">
        <f t="shared" si="5"/>
        <v>9.0526930261519301E-3</v>
      </c>
      <c r="M17" s="225">
        <f t="shared" si="6"/>
        <v>1.0385196139476961E-2</v>
      </c>
      <c r="N17" s="229">
        <v>1</v>
      </c>
      <c r="O17" s="2"/>
      <c r="P17" s="22"/>
      <c r="Q17" s="126" t="s">
        <v>125</v>
      </c>
      <c r="R17" s="222">
        <f>IF($B$81=0,0,(SUMIF($N$6:$N$28,$U17,K$6:K$28)+SUMIF($N$91:$N$118,$U17,K$91:K$118))*$B$83*$H$84*Poor!$B$81/$B$81)</f>
        <v>1413.639413188112</v>
      </c>
      <c r="S17" s="222">
        <f>IF($B$81=0,0,(SUMIF($N$6:$N$28,$U17,L$6:L$28)+SUMIF($N$91:$N$118,$U17,L$91:L$118))*$I$83*Poor!$B$81/$B$81)</f>
        <v>906.2399999999999</v>
      </c>
      <c r="T17" s="222">
        <f>IF($B$81=0,0,(SUMIF($N$6:$N$28,$U17,M$6:M$28)+SUMIF($N$91:$N$118,$U17,M$91:M$118))*$I$83*Poor!$B$81/$B$81)</f>
        <v>906.2399999999999</v>
      </c>
      <c r="U17" s="223">
        <v>11</v>
      </c>
      <c r="V17" s="56"/>
      <c r="W17" s="110"/>
      <c r="X17" s="118"/>
      <c r="Y17" s="183">
        <f t="shared" si="9"/>
        <v>4.1540784557907842E-2</v>
      </c>
      <c r="Z17" s="116">
        <v>0.29409999999999997</v>
      </c>
      <c r="AA17" s="121">
        <f t="shared" si="16"/>
        <v>1.2217144738480696E-2</v>
      </c>
      <c r="AB17" s="116">
        <v>0.17649999999999999</v>
      </c>
      <c r="AC17" s="121">
        <f t="shared" si="7"/>
        <v>7.331948474470734E-3</v>
      </c>
      <c r="AD17" s="116">
        <v>0.23530000000000001</v>
      </c>
      <c r="AE17" s="121">
        <f t="shared" si="8"/>
        <v>9.7745466064757154E-3</v>
      </c>
      <c r="AF17" s="122">
        <f t="shared" si="10"/>
        <v>0.29410000000000003</v>
      </c>
      <c r="AG17" s="121">
        <f t="shared" si="11"/>
        <v>1.2217144738480698E-2</v>
      </c>
      <c r="AH17" s="123">
        <f t="shared" si="12"/>
        <v>1</v>
      </c>
      <c r="AI17" s="183">
        <f t="shared" si="13"/>
        <v>1.0385196139476961E-2</v>
      </c>
      <c r="AJ17" s="120">
        <f t="shared" si="14"/>
        <v>9.7745466064757154E-3</v>
      </c>
      <c r="AK17" s="119">
        <f t="shared" si="15"/>
        <v>1.0995845672478206E-2</v>
      </c>
      <c r="AS17" s="25"/>
      <c r="AT17" s="25"/>
      <c r="AU17" s="25"/>
      <c r="AV17" s="25"/>
      <c r="AW17" s="25"/>
      <c r="AX17" s="25"/>
      <c r="AZ17" s="25"/>
      <c r="BA17" s="25"/>
      <c r="BB17" s="25"/>
      <c r="BC17" s="25"/>
      <c r="BD17" s="25"/>
      <c r="BE17" s="25"/>
      <c r="BF17" s="25"/>
      <c r="BI17" s="25"/>
      <c r="BJ17" s="25"/>
      <c r="BK17" s="25"/>
      <c r="BL17" s="25"/>
      <c r="BM17" s="25"/>
      <c r="BN17" s="25"/>
      <c r="BP17" s="25"/>
      <c r="BQ17" s="25"/>
      <c r="BR17" s="25"/>
      <c r="BS17" s="25"/>
      <c r="BT17" s="25"/>
      <c r="BU17" s="25"/>
      <c r="BV17" s="25"/>
      <c r="BX17" s="25"/>
      <c r="BY17" s="25"/>
      <c r="BZ17" s="25"/>
      <c r="CA17" s="25"/>
      <c r="CB17" s="25"/>
      <c r="CC17" s="25"/>
      <c r="CE17" s="25"/>
      <c r="CF17" s="25"/>
      <c r="CG17" s="25"/>
      <c r="CH17" s="25"/>
      <c r="CI17" s="25"/>
      <c r="CJ17" s="25"/>
      <c r="CK17" s="25"/>
    </row>
    <row r="18" spans="1:89" ht="14" customHeight="1">
      <c r="A18" s="85" t="s">
        <v>158</v>
      </c>
      <c r="B18" s="215">
        <v>9.313511830635118E-3</v>
      </c>
      <c r="C18" s="215">
        <v>1.1266344956413448E-2</v>
      </c>
      <c r="D18" s="24">
        <f t="shared" ref="D18:D20" si="18">SUM(B18,C18)</f>
        <v>2.0579856787048566E-2</v>
      </c>
      <c r="E18" s="26">
        <v>1</v>
      </c>
      <c r="F18" s="22"/>
      <c r="H18" s="24">
        <f t="shared" ref="H18:H20" si="19">(E18*F$7/F$9)</f>
        <v>1</v>
      </c>
      <c r="I18" s="22">
        <f t="shared" ref="I18:I20" si="20">(D18*H18)</f>
        <v>2.0579856787048566E-2</v>
      </c>
      <c r="J18" s="24">
        <f t="shared" si="17"/>
        <v>2.2058731188862937E-2</v>
      </c>
      <c r="K18" s="22">
        <f t="shared" ref="K18:K20" si="21">B18</f>
        <v>9.313511830635118E-3</v>
      </c>
      <c r="L18" s="22">
        <f t="shared" ref="L18:L20" si="22">IF(K18="","",K18*H18)</f>
        <v>9.313511830635118E-3</v>
      </c>
      <c r="M18" s="225">
        <f t="shared" ref="M18:M20" si="23">J18</f>
        <v>2.2058731188862937E-2</v>
      </c>
      <c r="N18" s="229">
        <v>1</v>
      </c>
      <c r="O18" s="2"/>
      <c r="P18" s="22"/>
      <c r="Q18" s="59" t="s">
        <v>79</v>
      </c>
      <c r="R18" s="222">
        <f>IF($B$81=0,0,(SUMIF($N$6:$N$28,$U18,K$6:K$28)+SUMIF($N$91:$N$118,$U18,K$91:K$118))*$B$83*$H$84*Poor!$B$81/$B$81)</f>
        <v>1577.6493338294108</v>
      </c>
      <c r="S18" s="222">
        <f>IF($B$81=0,0,(SUMIF($N$6:$N$28,$U18,L$6:L$28)+SUMIF($N$91:$N$118,$U18,L$91:L$118))*$I$83*Poor!$B$81/$B$81)</f>
        <v>1767.7750927656448</v>
      </c>
      <c r="T18" s="222">
        <f>IF($B$81=0,0,(SUMIF($N$6:$N$28,$U18,M$6:M$28)+SUMIF($N$91:$N$118,$U18,M$91:M$118))*$I$83*Poor!$B$81/$B$81)</f>
        <v>1767.7750927656448</v>
      </c>
      <c r="U18" s="223">
        <v>12</v>
      </c>
      <c r="V18" s="56"/>
      <c r="W18" s="110"/>
      <c r="X18" s="118"/>
      <c r="Y18" s="183">
        <f t="shared" ref="Y18:Y20" si="24">M18*4</f>
        <v>8.8234924755451749E-2</v>
      </c>
      <c r="Z18" s="116">
        <v>1.2941</v>
      </c>
      <c r="AA18" s="121">
        <f t="shared" ref="AA18:AA20" si="25">$M18*Z18*4</f>
        <v>0.11418481612603011</v>
      </c>
      <c r="AB18" s="116">
        <v>1.1765000000000001</v>
      </c>
      <c r="AC18" s="121">
        <f t="shared" ref="AC18:AC20" si="26">$M18*AB18*4</f>
        <v>0.10380838897478899</v>
      </c>
      <c r="AD18" s="116">
        <v>1.2353000000000001</v>
      </c>
      <c r="AE18" s="121">
        <f t="shared" ref="AE18:AE20" si="27">$M18*AD18*4</f>
        <v>0.10899660255040955</v>
      </c>
      <c r="AF18" s="122">
        <f t="shared" ref="AF18:AF20" si="28">1-SUM(Z18,AB18,AD18)</f>
        <v>-2.7059000000000002</v>
      </c>
      <c r="AG18" s="121">
        <f t="shared" ref="AG18:AG20" si="29">$M18*AF18*4</f>
        <v>-0.2387548828957769</v>
      </c>
      <c r="AH18" s="123">
        <f t="shared" ref="AH18:AH20" si="30">SUM(Z18,AB18,AD18,AF18)</f>
        <v>1</v>
      </c>
      <c r="AI18" s="183">
        <f t="shared" ref="AI18:AI20" si="31">SUM(AA18,AC18,AE18,AG18)/4</f>
        <v>2.2058731188862937E-2</v>
      </c>
      <c r="AJ18" s="120">
        <f t="shared" ref="AJ18:AJ20" si="32">(AA18+AC18)/2</f>
        <v>0.10899660255040955</v>
      </c>
      <c r="AK18" s="119">
        <f t="shared" ref="AK18:AK20" si="33">(AE18+AG18)/2</f>
        <v>-6.4879140172683675E-2</v>
      </c>
      <c r="AS18" s="25"/>
      <c r="AT18" s="25"/>
      <c r="AU18" s="25"/>
      <c r="AV18" s="25"/>
      <c r="AW18" s="25"/>
      <c r="AX18" s="25"/>
      <c r="AZ18" s="25"/>
      <c r="BA18" s="25"/>
      <c r="BB18" s="25"/>
      <c r="BC18" s="25"/>
      <c r="BD18" s="25"/>
      <c r="BE18" s="25"/>
      <c r="BF18" s="25"/>
      <c r="BI18" s="25"/>
      <c r="BJ18" s="25"/>
      <c r="BK18" s="25"/>
      <c r="BL18" s="25"/>
      <c r="BM18" s="25"/>
      <c r="BN18" s="25"/>
      <c r="BP18" s="25"/>
      <c r="BQ18" s="25"/>
      <c r="BR18" s="25"/>
      <c r="BS18" s="25"/>
      <c r="BT18" s="25"/>
      <c r="BU18" s="25"/>
      <c r="BV18" s="25"/>
      <c r="BX18" s="25"/>
      <c r="BY18" s="25"/>
      <c r="BZ18" s="25"/>
      <c r="CA18" s="25"/>
      <c r="CB18" s="25"/>
      <c r="CC18" s="25"/>
      <c r="CE18" s="25"/>
      <c r="CF18" s="25"/>
      <c r="CG18" s="25"/>
      <c r="CH18" s="25"/>
      <c r="CI18" s="25"/>
      <c r="CJ18" s="25"/>
      <c r="CK18" s="25"/>
    </row>
    <row r="19" spans="1:89" ht="14" customHeight="1">
      <c r="A19" s="85" t="s">
        <v>159</v>
      </c>
      <c r="B19" s="215">
        <v>6.9096357409713571E-3</v>
      </c>
      <c r="C19" s="215">
        <v>9.1259339975093467E-4</v>
      </c>
      <c r="D19" s="24">
        <f t="shared" si="18"/>
        <v>7.8222291407222914E-3</v>
      </c>
      <c r="E19" s="26">
        <v>1</v>
      </c>
      <c r="F19" s="22"/>
      <c r="H19" s="24">
        <f t="shared" si="19"/>
        <v>1</v>
      </c>
      <c r="I19" s="22">
        <f t="shared" si="20"/>
        <v>7.8222291407222914E-3</v>
      </c>
      <c r="J19" s="24">
        <f t="shared" si="17"/>
        <v>7.942020521456478E-3</v>
      </c>
      <c r="K19" s="22">
        <f t="shared" si="21"/>
        <v>6.9096357409713571E-3</v>
      </c>
      <c r="L19" s="22">
        <f t="shared" si="22"/>
        <v>6.9096357409713571E-3</v>
      </c>
      <c r="M19" s="225">
        <f t="shared" si="23"/>
        <v>7.942020521456478E-3</v>
      </c>
      <c r="N19" s="229">
        <v>1</v>
      </c>
      <c r="O19" s="2"/>
      <c r="P19" s="22"/>
      <c r="Q19" s="59" t="s">
        <v>80</v>
      </c>
      <c r="R19" s="222">
        <f>IF($B$81=0,0,(SUMIF($N$6:$N$28,$U19,K$6:K$28)+SUMIF($N$91:$N$118,$U19,K$91:K$118))*$B$83*$H$84*Poor!$B$81/$B$81)</f>
        <v>83.384828497193368</v>
      </c>
      <c r="S19" s="222">
        <f>IF($B$81=0,0,(SUMIF($N$6:$N$28,$U19,L$6:L$28)+SUMIF($N$91:$N$118,$U19,L$91:L$118))*$I$83*Poor!$B$81/$B$81)</f>
        <v>93.433705305143675</v>
      </c>
      <c r="T19" s="222">
        <f>IF($B$81=0,0,(SUMIF($N$6:$N$28,$U19,M$6:M$28)+SUMIF($N$91:$N$118,$U19,M$91:M$118))*$I$83*Poor!$B$81/$B$81)</f>
        <v>93.433705305143675</v>
      </c>
      <c r="U19" s="223">
        <v>13</v>
      </c>
      <c r="V19" s="56"/>
      <c r="W19" s="110"/>
      <c r="X19" s="118"/>
      <c r="Y19" s="183">
        <f t="shared" si="24"/>
        <v>3.1768082085825912E-2</v>
      </c>
      <c r="Z19" s="116">
        <v>2.2940999999999998</v>
      </c>
      <c r="AA19" s="121">
        <f t="shared" si="25"/>
        <v>7.2879157113093215E-2</v>
      </c>
      <c r="AB19" s="116">
        <v>2.1764999999999999</v>
      </c>
      <c r="AC19" s="121">
        <f t="shared" si="26"/>
        <v>6.914323065980009E-2</v>
      </c>
      <c r="AD19" s="116">
        <v>2.2353000000000001</v>
      </c>
      <c r="AE19" s="121">
        <f t="shared" si="27"/>
        <v>7.1011193886446666E-2</v>
      </c>
      <c r="AF19" s="122">
        <f t="shared" si="28"/>
        <v>-5.7058999999999997</v>
      </c>
      <c r="AG19" s="121">
        <f t="shared" si="29"/>
        <v>-0.18126549957351407</v>
      </c>
      <c r="AH19" s="123">
        <f t="shared" si="30"/>
        <v>1</v>
      </c>
      <c r="AI19" s="183">
        <f t="shared" si="31"/>
        <v>7.9420205214564762E-3</v>
      </c>
      <c r="AJ19" s="120">
        <f t="shared" si="32"/>
        <v>7.1011193886446652E-2</v>
      </c>
      <c r="AK19" s="119">
        <f t="shared" si="33"/>
        <v>-5.51271528435337E-2</v>
      </c>
      <c r="AS19" s="25"/>
      <c r="AT19" s="25"/>
      <c r="AU19" s="25"/>
      <c r="AV19" s="25"/>
      <c r="AW19" s="25"/>
      <c r="AX19" s="25"/>
      <c r="AZ19" s="25"/>
      <c r="BA19" s="25"/>
      <c r="BB19" s="25"/>
      <c r="BC19" s="25"/>
      <c r="BD19" s="25"/>
      <c r="BE19" s="25"/>
      <c r="BF19" s="25"/>
      <c r="BI19" s="25"/>
      <c r="BJ19" s="25"/>
      <c r="BK19" s="25"/>
      <c r="BL19" s="25"/>
      <c r="BM19" s="25"/>
      <c r="BN19" s="25"/>
      <c r="BP19" s="25"/>
      <c r="BQ19" s="25"/>
      <c r="BR19" s="25"/>
      <c r="BS19" s="25"/>
      <c r="BT19" s="25"/>
      <c r="BU19" s="25"/>
      <c r="BV19" s="25"/>
      <c r="BX19" s="25"/>
      <c r="BY19" s="25"/>
      <c r="BZ19" s="25"/>
      <c r="CA19" s="25"/>
      <c r="CB19" s="25"/>
      <c r="CC19" s="25"/>
      <c r="CE19" s="25"/>
      <c r="CF19" s="25"/>
      <c r="CG19" s="25"/>
      <c r="CH19" s="25"/>
      <c r="CI19" s="25"/>
      <c r="CJ19" s="25"/>
      <c r="CK19" s="25"/>
    </row>
    <row r="20" spans="1:89" ht="14" customHeight="1">
      <c r="A20" s="85" t="s">
        <v>160</v>
      </c>
      <c r="B20" s="215">
        <v>0</v>
      </c>
      <c r="C20" s="215">
        <v>0</v>
      </c>
      <c r="D20" s="24">
        <f t="shared" si="18"/>
        <v>0</v>
      </c>
      <c r="E20" s="26">
        <v>1</v>
      </c>
      <c r="F20" s="22"/>
      <c r="H20" s="24">
        <f t="shared" si="19"/>
        <v>1</v>
      </c>
      <c r="I20" s="22">
        <f t="shared" si="20"/>
        <v>0</v>
      </c>
      <c r="J20" s="24">
        <f t="shared" si="17"/>
        <v>0</v>
      </c>
      <c r="K20" s="22">
        <f t="shared" si="21"/>
        <v>0</v>
      </c>
      <c r="L20" s="22">
        <f t="shared" si="22"/>
        <v>0</v>
      </c>
      <c r="M20" s="225">
        <f t="shared" si="23"/>
        <v>0</v>
      </c>
      <c r="N20" s="229">
        <v>1</v>
      </c>
      <c r="O20" s="2"/>
      <c r="P20" s="22"/>
      <c r="Q20" s="59" t="s">
        <v>81</v>
      </c>
      <c r="R20" s="222">
        <f>IF($B$81=0,0,(SUMIF($N$6:$N$28,$U20,K$6:K$28)+SUMIF($N$91:$N$118,$U20,K$91:K$118))*$B$83*$H$84*Poor!$B$81/$B$81)</f>
        <v>31983.591723381032</v>
      </c>
      <c r="S20" s="222">
        <f>IF($B$81=0,0,(SUMIF($N$6:$N$28,$U20,L$6:L$28)+SUMIF($N$91:$N$118,$U20,L$91:L$118))*$I$83*Poor!$B$81/$B$81)</f>
        <v>0</v>
      </c>
      <c r="T20" s="222">
        <f>IF($B$81=0,0,(SUMIF($N$6:$N$28,$U20,M$6:M$28)+SUMIF($N$91:$N$118,$U20,M$91:M$118))*$I$83*Poor!$B$81/$B$81)</f>
        <v>0</v>
      </c>
      <c r="U20" s="223">
        <v>14</v>
      </c>
      <c r="V20" s="56"/>
      <c r="W20" s="110"/>
      <c r="X20" s="118"/>
      <c r="Y20" s="183">
        <f t="shared" si="24"/>
        <v>0</v>
      </c>
      <c r="Z20" s="116">
        <v>3.2940999999999998</v>
      </c>
      <c r="AA20" s="121">
        <f t="shared" si="25"/>
        <v>0</v>
      </c>
      <c r="AB20" s="116">
        <v>3.1764999999999999</v>
      </c>
      <c r="AC20" s="121">
        <f t="shared" si="26"/>
        <v>0</v>
      </c>
      <c r="AD20" s="116">
        <v>3.2353000000000001</v>
      </c>
      <c r="AE20" s="121">
        <f t="shared" si="27"/>
        <v>0</v>
      </c>
      <c r="AF20" s="122">
        <f t="shared" si="28"/>
        <v>-8.7058999999999997</v>
      </c>
      <c r="AG20" s="121">
        <f t="shared" si="29"/>
        <v>0</v>
      </c>
      <c r="AH20" s="123">
        <f t="shared" si="30"/>
        <v>1</v>
      </c>
      <c r="AI20" s="183">
        <f t="shared" si="31"/>
        <v>0</v>
      </c>
      <c r="AJ20" s="120">
        <f t="shared" si="32"/>
        <v>0</v>
      </c>
      <c r="AK20" s="119">
        <f t="shared" si="33"/>
        <v>0</v>
      </c>
      <c r="AS20" s="25"/>
      <c r="AT20" s="25"/>
      <c r="AU20" s="25"/>
      <c r="AV20" s="25"/>
      <c r="AW20" s="25"/>
      <c r="AX20" s="25"/>
      <c r="AZ20" s="25"/>
      <c r="BA20" s="25"/>
      <c r="BB20" s="25"/>
      <c r="BC20" s="25"/>
      <c r="BD20" s="25"/>
      <c r="BE20" s="25"/>
      <c r="BF20" s="25"/>
      <c r="BI20" s="25"/>
      <c r="BJ20" s="25"/>
      <c r="BK20" s="25"/>
      <c r="BL20" s="25"/>
      <c r="BM20" s="25"/>
      <c r="BN20" s="25"/>
      <c r="BP20" s="25"/>
      <c r="BQ20" s="25"/>
      <c r="BR20" s="25"/>
      <c r="BS20" s="25"/>
      <c r="BT20" s="25"/>
      <c r="BU20" s="25"/>
      <c r="BV20" s="25"/>
      <c r="BX20" s="25"/>
      <c r="BY20" s="25"/>
      <c r="BZ20" s="25"/>
      <c r="CA20" s="25"/>
      <c r="CB20" s="25"/>
      <c r="CC20" s="25"/>
      <c r="CE20" s="25"/>
      <c r="CF20" s="25"/>
      <c r="CG20" s="25"/>
      <c r="CH20" s="25"/>
      <c r="CI20" s="25"/>
      <c r="CJ20" s="25"/>
      <c r="CK20" s="25"/>
    </row>
    <row r="21" spans="1:89" ht="14" customHeight="1">
      <c r="A21" s="85" t="s">
        <v>161</v>
      </c>
      <c r="B21" s="215">
        <v>0</v>
      </c>
      <c r="C21" s="215">
        <v>0</v>
      </c>
      <c r="D21" s="24">
        <f t="shared" ref="D21:D25" si="34">SUM(B21,C21)</f>
        <v>0</v>
      </c>
      <c r="E21" s="26">
        <v>1</v>
      </c>
      <c r="F21" s="22"/>
      <c r="H21" s="24">
        <f t="shared" ref="H21:H25" si="35">(E21*F$7/F$9)</f>
        <v>1</v>
      </c>
      <c r="I21" s="22">
        <f t="shared" ref="I21:I25" si="36">(D21*H21)</f>
        <v>0</v>
      </c>
      <c r="J21" s="24">
        <f t="shared" si="17"/>
        <v>0</v>
      </c>
      <c r="K21" s="22">
        <f t="shared" ref="K21:K25" si="37">B21</f>
        <v>0</v>
      </c>
      <c r="L21" s="22">
        <f t="shared" ref="L21:L25" si="38">IF(K21="","",K21*H21)</f>
        <v>0</v>
      </c>
      <c r="M21" s="225">
        <f t="shared" ref="M21:M25" si="39">J21</f>
        <v>0</v>
      </c>
      <c r="N21" s="229">
        <v>1</v>
      </c>
      <c r="O21" s="2"/>
      <c r="P21" s="22"/>
      <c r="Q21" s="59" t="s">
        <v>82</v>
      </c>
      <c r="R21" s="222">
        <f>IF($B$81=0,0,(SUMIF($N$6:$N$28,$U21,K$6:K$28)+SUMIF($N$91:$N$118,$U21,K$91:K$118))*$B$83*$H$84*Poor!$B$81/$B$81)</f>
        <v>3092.3362163489946</v>
      </c>
      <c r="S21" s="222">
        <f>IF($B$81=0,0,(SUMIF($N$6:$N$28,$U21,L$6:L$28)+SUMIF($N$91:$N$118,$U21,L$91:L$118))*$I$83*Poor!$B$81/$B$81)</f>
        <v>2331</v>
      </c>
      <c r="T21" s="222">
        <f>IF($B$81=0,0,(SUMIF($N$6:$N$28,$U21,M$6:M$28)+SUMIF($N$91:$N$118,$U21,M$91:M$118))*$I$83*Poor!$B$81/$B$81)</f>
        <v>2331</v>
      </c>
      <c r="U21" s="223">
        <v>15</v>
      </c>
      <c r="V21" s="56"/>
      <c r="W21" s="110"/>
      <c r="X21" s="118"/>
      <c r="Y21" s="183">
        <f t="shared" ref="Y21:Y25" si="40">M21*4</f>
        <v>0</v>
      </c>
      <c r="Z21" s="116">
        <v>4.2941000000000003</v>
      </c>
      <c r="AA21" s="121">
        <f t="shared" ref="AA21:AA25" si="41">$M21*Z21*4</f>
        <v>0</v>
      </c>
      <c r="AB21" s="116">
        <v>4.1764999999999999</v>
      </c>
      <c r="AC21" s="121">
        <f t="shared" ref="AC21:AC25" si="42">$M21*AB21*4</f>
        <v>0</v>
      </c>
      <c r="AD21" s="116">
        <v>4.2352999999999996</v>
      </c>
      <c r="AE21" s="121">
        <f t="shared" ref="AE21:AE25" si="43">$M21*AD21*4</f>
        <v>0</v>
      </c>
      <c r="AF21" s="122">
        <f t="shared" ref="AF21:AF25" si="44">1-SUM(Z21,AB21,AD21)</f>
        <v>-11.7059</v>
      </c>
      <c r="AG21" s="121">
        <f t="shared" ref="AG21:AG25" si="45">$M21*AF21*4</f>
        <v>0</v>
      </c>
      <c r="AH21" s="123">
        <f t="shared" ref="AH21:AH25" si="46">SUM(Z21,AB21,AD21,AF21)</f>
        <v>1</v>
      </c>
      <c r="AI21" s="183">
        <f t="shared" ref="AI21:AI25" si="47">SUM(AA21,AC21,AE21,AG21)/4</f>
        <v>0</v>
      </c>
      <c r="AJ21" s="120">
        <f t="shared" ref="AJ21:AJ25" si="48">(AA21+AC21)/2</f>
        <v>0</v>
      </c>
      <c r="AK21" s="119">
        <f t="shared" ref="AK21:AK25" si="49">(AE21+AG21)/2</f>
        <v>0</v>
      </c>
      <c r="AS21" s="25"/>
      <c r="AT21" s="25"/>
      <c r="AU21" s="25"/>
      <c r="AV21" s="25"/>
      <c r="AW21" s="25"/>
      <c r="AX21" s="25"/>
      <c r="AZ21" s="25"/>
      <c r="BA21" s="25"/>
      <c r="BB21" s="25"/>
      <c r="BC21" s="25"/>
      <c r="BD21" s="25"/>
      <c r="BE21" s="25"/>
      <c r="BF21" s="25"/>
      <c r="BI21" s="25"/>
      <c r="BJ21" s="25"/>
      <c r="BK21" s="25"/>
      <c r="BL21" s="25"/>
      <c r="BM21" s="25"/>
      <c r="BN21" s="25"/>
      <c r="BP21" s="25"/>
      <c r="BQ21" s="25"/>
      <c r="BR21" s="25"/>
      <c r="BS21" s="25"/>
      <c r="BT21" s="25"/>
      <c r="BU21" s="25"/>
      <c r="BV21" s="25"/>
      <c r="BX21" s="25"/>
      <c r="BY21" s="25"/>
      <c r="BZ21" s="25"/>
      <c r="CA21" s="25"/>
      <c r="CB21" s="25"/>
      <c r="CC21" s="25"/>
      <c r="CE21" s="25"/>
      <c r="CF21" s="25"/>
      <c r="CG21" s="25"/>
      <c r="CH21" s="25"/>
      <c r="CI21" s="25"/>
      <c r="CJ21" s="25"/>
      <c r="CK21" s="25"/>
    </row>
    <row r="22" spans="1:89" ht="14" customHeight="1">
      <c r="A22" s="85" t="s">
        <v>162</v>
      </c>
      <c r="B22" s="215">
        <v>5.2902559931506853E-2</v>
      </c>
      <c r="C22" s="215">
        <v>-2.0008447488584474E-2</v>
      </c>
      <c r="D22" s="24">
        <f t="shared" si="34"/>
        <v>3.2894112442922382E-2</v>
      </c>
      <c r="E22" s="26">
        <v>1</v>
      </c>
      <c r="F22" s="22"/>
      <c r="H22" s="24">
        <f t="shared" si="35"/>
        <v>1</v>
      </c>
      <c r="I22" s="22">
        <f t="shared" si="36"/>
        <v>3.2894112442922382E-2</v>
      </c>
      <c r="J22" s="24">
        <f t="shared" si="17"/>
        <v>3.0267707790358433E-2</v>
      </c>
      <c r="K22" s="22">
        <f t="shared" si="37"/>
        <v>5.2902559931506853E-2</v>
      </c>
      <c r="L22" s="22">
        <f t="shared" si="38"/>
        <v>5.2902559931506853E-2</v>
      </c>
      <c r="M22" s="225">
        <f t="shared" si="39"/>
        <v>3.0267707790358433E-2</v>
      </c>
      <c r="N22" s="229">
        <v>7</v>
      </c>
      <c r="O22" s="2"/>
      <c r="P22" s="22"/>
      <c r="Q22" s="59" t="s">
        <v>83</v>
      </c>
      <c r="R22" s="222">
        <f>IF($B$81=0,0,(SUMIF($N$6:$N$28,$U22,K$6:K$28)+SUMIF($N$91:$N$118,$U22,K$91:K$118))*$B$83*$H$84*Poor!$B$81/$B$81)</f>
        <v>0</v>
      </c>
      <c r="S22" s="222">
        <f>IF($B$81=0,0,(SUMIF($N$6:$N$28,$U22,L$6:L$28)+SUMIF($N$91:$N$118,$U22,L$91:L$118))*$I$83*Poor!$B$81/$B$81)</f>
        <v>0</v>
      </c>
      <c r="T22" s="222">
        <f>IF($B$81=0,0,(SUMIF($N$6:$N$28,$U22,M$6:M$28)+SUMIF($N$91:$N$118,$U22,M$91:M$118))*$I$83*Poor!$B$81/$B$81)</f>
        <v>0</v>
      </c>
      <c r="U22" s="223">
        <v>16</v>
      </c>
      <c r="V22" s="56"/>
      <c r="W22" s="110"/>
      <c r="X22" s="118"/>
      <c r="Y22" s="183">
        <f t="shared" si="40"/>
        <v>0.12107083116143373</v>
      </c>
      <c r="Z22" s="116">
        <v>5.2941000000000003</v>
      </c>
      <c r="AA22" s="121">
        <f t="shared" si="41"/>
        <v>0.64096108725174639</v>
      </c>
      <c r="AB22" s="116">
        <v>5.1764999999999999</v>
      </c>
      <c r="AC22" s="121">
        <f t="shared" si="42"/>
        <v>0.62672315750716168</v>
      </c>
      <c r="AD22" s="116">
        <v>5.2352999999999996</v>
      </c>
      <c r="AE22" s="121">
        <f t="shared" si="43"/>
        <v>0.63384212237945392</v>
      </c>
      <c r="AF22" s="122">
        <f t="shared" si="44"/>
        <v>-14.7059</v>
      </c>
      <c r="AG22" s="121">
        <f t="shared" si="45"/>
        <v>-1.7804555359769283</v>
      </c>
      <c r="AH22" s="123">
        <f t="shared" si="46"/>
        <v>1</v>
      </c>
      <c r="AI22" s="183">
        <f t="shared" si="47"/>
        <v>3.0267707790358422E-2</v>
      </c>
      <c r="AJ22" s="120">
        <f t="shared" si="48"/>
        <v>0.63384212237945403</v>
      </c>
      <c r="AK22" s="119">
        <f t="shared" si="49"/>
        <v>-0.57330670679873719</v>
      </c>
      <c r="AS22" s="25"/>
      <c r="AT22" s="25"/>
      <c r="AU22" s="25"/>
      <c r="AV22" s="25"/>
      <c r="AW22" s="25"/>
      <c r="AX22" s="25"/>
      <c r="AZ22" s="25"/>
      <c r="BA22" s="25"/>
      <c r="BB22" s="25"/>
      <c r="BC22" s="25"/>
      <c r="BD22" s="25"/>
      <c r="BE22" s="25"/>
      <c r="BF22" s="25"/>
      <c r="BI22" s="25"/>
      <c r="BJ22" s="25"/>
      <c r="BK22" s="25"/>
      <c r="BL22" s="25"/>
      <c r="BM22" s="25"/>
      <c r="BN22" s="25"/>
      <c r="BP22" s="25"/>
      <c r="BQ22" s="25"/>
      <c r="BR22" s="25"/>
      <c r="BS22" s="25"/>
      <c r="BT22" s="25"/>
      <c r="BU22" s="25"/>
      <c r="BV22" s="25"/>
      <c r="BX22" s="25"/>
      <c r="BY22" s="25"/>
      <c r="BZ22" s="25"/>
      <c r="CA22" s="25"/>
      <c r="CB22" s="25"/>
      <c r="CC22" s="25"/>
      <c r="CE22" s="25"/>
      <c r="CF22" s="25"/>
      <c r="CG22" s="25"/>
      <c r="CH22" s="25"/>
      <c r="CI22" s="25"/>
      <c r="CJ22" s="25"/>
      <c r="CK22" s="25"/>
    </row>
    <row r="23" spans="1:89" ht="14" customHeight="1" thickBot="1">
      <c r="A23" s="85" t="s">
        <v>163</v>
      </c>
      <c r="B23" s="215">
        <v>1.5772191780821915E-2</v>
      </c>
      <c r="C23" s="215">
        <v>-1.2005068493150682E-2</v>
      </c>
      <c r="D23" s="24">
        <f t="shared" si="34"/>
        <v>3.767123287671233E-3</v>
      </c>
      <c r="E23" s="26">
        <v>1</v>
      </c>
      <c r="F23" s="22"/>
      <c r="H23" s="24">
        <f t="shared" si="35"/>
        <v>1</v>
      </c>
      <c r="I23" s="22">
        <f t="shared" si="36"/>
        <v>3.767123287671233E-3</v>
      </c>
      <c r="J23" s="24">
        <f t="shared" si="17"/>
        <v>2.1912804961328625E-3</v>
      </c>
      <c r="K23" s="22">
        <f t="shared" si="37"/>
        <v>1.5772191780821915E-2</v>
      </c>
      <c r="L23" s="22">
        <f t="shared" si="38"/>
        <v>1.5772191780821915E-2</v>
      </c>
      <c r="M23" s="225">
        <f t="shared" si="39"/>
        <v>2.1912804961328625E-3</v>
      </c>
      <c r="N23" s="229">
        <v>7</v>
      </c>
      <c r="O23" s="2"/>
      <c r="P23" s="22"/>
      <c r="Q23" s="171" t="s">
        <v>100</v>
      </c>
      <c r="R23" s="179">
        <f>SUM(R7:R22)</f>
        <v>91493.298096761384</v>
      </c>
      <c r="S23" s="179">
        <f>SUM(S7:S22)</f>
        <v>45192.656344178591</v>
      </c>
      <c r="T23" s="179">
        <f>SUM(T7:T22)</f>
        <v>44592.779525014092</v>
      </c>
      <c r="U23" s="56"/>
      <c r="V23" s="56"/>
      <c r="W23" s="110"/>
      <c r="X23" s="118"/>
      <c r="Y23" s="183">
        <f t="shared" si="40"/>
        <v>8.7651219845314501E-3</v>
      </c>
      <c r="Z23" s="116">
        <v>6.2941000000000003</v>
      </c>
      <c r="AA23" s="121">
        <f t="shared" si="41"/>
        <v>5.5168554282839399E-2</v>
      </c>
      <c r="AB23" s="116">
        <v>6.1764999999999999</v>
      </c>
      <c r="AC23" s="121">
        <f t="shared" si="42"/>
        <v>5.4137775937458499E-2</v>
      </c>
      <c r="AD23" s="116">
        <v>6.2352999999999996</v>
      </c>
      <c r="AE23" s="121">
        <f t="shared" si="43"/>
        <v>5.4653165110148949E-2</v>
      </c>
      <c r="AF23" s="122">
        <f t="shared" si="44"/>
        <v>-17.7059</v>
      </c>
      <c r="AG23" s="121">
        <f t="shared" si="45"/>
        <v>-0.1551943733459154</v>
      </c>
      <c r="AH23" s="123">
        <f t="shared" si="46"/>
        <v>1</v>
      </c>
      <c r="AI23" s="183">
        <f t="shared" si="47"/>
        <v>2.1912804961328608E-3</v>
      </c>
      <c r="AJ23" s="120">
        <f t="shared" si="48"/>
        <v>5.4653165110148949E-2</v>
      </c>
      <c r="AK23" s="119">
        <f t="shared" si="49"/>
        <v>-5.0270604117883227E-2</v>
      </c>
      <c r="AS23" s="25"/>
      <c r="AT23" s="25"/>
      <c r="AU23" s="25"/>
      <c r="AV23" s="25"/>
      <c r="AW23" s="25"/>
      <c r="AX23" s="25"/>
      <c r="AZ23" s="25"/>
      <c r="BA23" s="25"/>
      <c r="BB23" s="25"/>
      <c r="BC23" s="25"/>
      <c r="BD23" s="25"/>
      <c r="BE23" s="25"/>
      <c r="BF23" s="25"/>
      <c r="BI23" s="25"/>
      <c r="BJ23" s="25"/>
      <c r="BK23" s="25"/>
      <c r="BL23" s="25"/>
      <c r="BM23" s="25"/>
      <c r="BN23" s="25"/>
      <c r="BP23" s="25"/>
      <c r="BQ23" s="25"/>
      <c r="BR23" s="25"/>
      <c r="BS23" s="25"/>
      <c r="BT23" s="25"/>
      <c r="BU23" s="25"/>
      <c r="BV23" s="25"/>
      <c r="BX23" s="25"/>
      <c r="BY23" s="25"/>
      <c r="BZ23" s="25"/>
      <c r="CA23" s="25"/>
      <c r="CB23" s="25"/>
      <c r="CC23" s="25"/>
      <c r="CE23" s="25"/>
      <c r="CF23" s="25"/>
      <c r="CG23" s="25"/>
      <c r="CH23" s="25"/>
      <c r="CI23" s="25"/>
      <c r="CJ23" s="25"/>
      <c r="CK23" s="25"/>
    </row>
    <row r="24" spans="1:89" ht="14" customHeight="1" thickTop="1">
      <c r="A24" s="85" t="s">
        <v>164</v>
      </c>
      <c r="B24" s="215">
        <v>5.5050597758405971E-3</v>
      </c>
      <c r="C24" s="215">
        <v>0</v>
      </c>
      <c r="D24" s="24">
        <f t="shared" si="34"/>
        <v>5.5050597758405971E-3</v>
      </c>
      <c r="E24" s="26">
        <v>1</v>
      </c>
      <c r="F24" s="22"/>
      <c r="H24" s="24">
        <f t="shared" si="35"/>
        <v>1</v>
      </c>
      <c r="I24" s="22">
        <f t="shared" si="36"/>
        <v>5.5050597758405971E-3</v>
      </c>
      <c r="J24" s="24">
        <f t="shared" si="17"/>
        <v>5.5050597758405971E-3</v>
      </c>
      <c r="K24" s="22">
        <f t="shared" si="37"/>
        <v>5.5050597758405971E-3</v>
      </c>
      <c r="L24" s="22">
        <f t="shared" si="38"/>
        <v>5.5050597758405971E-3</v>
      </c>
      <c r="M24" s="225">
        <f t="shared" si="39"/>
        <v>5.5050597758405971E-3</v>
      </c>
      <c r="N24" s="229">
        <v>13</v>
      </c>
      <c r="O24" s="2"/>
      <c r="P24" s="22"/>
      <c r="Q24" s="59" t="s">
        <v>137</v>
      </c>
      <c r="R24" s="41">
        <f>IF($B$81=0,0,(SUM(($B$70*$H$70))+((1-$D$29)*$I$83))*Poor!$B$81/$B$81)</f>
        <v>40474.951687871187</v>
      </c>
      <c r="S24" s="41">
        <f>IF($B$81=0,0,(SUM(($B$70*$H$70))+((1-$D$29)*$I$83))*Poor!$B$81/$B$81)</f>
        <v>40474.951687871187</v>
      </c>
      <c r="T24" s="41">
        <f>IF($B$81=0,0,(SUM(($B$70*$H$70))+((1-$D$29)*$I$83))*Poor!$B$81/$B$81)</f>
        <v>40474.951687871187</v>
      </c>
      <c r="U24" s="56"/>
      <c r="V24" s="56"/>
      <c r="W24" s="110"/>
      <c r="X24" s="118"/>
      <c r="Y24" s="183">
        <f t="shared" si="40"/>
        <v>2.2020239103362389E-2</v>
      </c>
      <c r="Z24" s="116">
        <v>7.2941000000000003</v>
      </c>
      <c r="AA24" s="121">
        <f t="shared" si="41"/>
        <v>0.16061782604383559</v>
      </c>
      <c r="AB24" s="116">
        <v>7.1764999999999999</v>
      </c>
      <c r="AC24" s="121">
        <f t="shared" si="42"/>
        <v>0.15802824592528017</v>
      </c>
      <c r="AD24" s="116">
        <v>7.2352999999999996</v>
      </c>
      <c r="AE24" s="121">
        <f t="shared" si="43"/>
        <v>0.15932303598455788</v>
      </c>
      <c r="AF24" s="122">
        <f t="shared" si="44"/>
        <v>-20.7059</v>
      </c>
      <c r="AG24" s="121">
        <f t="shared" si="45"/>
        <v>-0.45594886885031127</v>
      </c>
      <c r="AH24" s="123">
        <f t="shared" si="46"/>
        <v>1</v>
      </c>
      <c r="AI24" s="183">
        <f t="shared" si="47"/>
        <v>5.5050597758405928E-3</v>
      </c>
      <c r="AJ24" s="120">
        <f t="shared" si="48"/>
        <v>0.15932303598455788</v>
      </c>
      <c r="AK24" s="119">
        <f t="shared" si="49"/>
        <v>-0.1483129164328767</v>
      </c>
      <c r="AS24" s="25"/>
      <c r="AT24" s="25"/>
      <c r="AU24" s="25"/>
      <c r="AV24" s="25"/>
      <c r="AW24" s="25"/>
      <c r="AX24" s="25"/>
      <c r="AZ24" s="25"/>
      <c r="BA24" s="25"/>
      <c r="BB24" s="25"/>
      <c r="BC24" s="25"/>
      <c r="BD24" s="25"/>
      <c r="BE24" s="25"/>
      <c r="BF24" s="25"/>
      <c r="BI24" s="25"/>
      <c r="BJ24" s="25"/>
      <c r="BK24" s="25"/>
      <c r="BL24" s="25"/>
      <c r="BM24" s="25"/>
      <c r="BN24" s="25"/>
      <c r="BP24" s="25"/>
      <c r="BQ24" s="25"/>
      <c r="BR24" s="25"/>
      <c r="BS24" s="25"/>
      <c r="BT24" s="25"/>
      <c r="BU24" s="25"/>
      <c r="BV24" s="25"/>
      <c r="BX24" s="25"/>
      <c r="BY24" s="25"/>
      <c r="BZ24" s="25"/>
      <c r="CA24" s="25"/>
      <c r="CB24" s="25"/>
      <c r="CC24" s="25"/>
      <c r="CE24" s="25"/>
      <c r="CF24" s="25"/>
      <c r="CG24" s="25"/>
      <c r="CH24" s="25"/>
      <c r="CI24" s="25"/>
      <c r="CJ24" s="25"/>
      <c r="CK24" s="25"/>
    </row>
    <row r="25" spans="1:89" ht="14" customHeight="1">
      <c r="A25" s="85" t="s">
        <v>165</v>
      </c>
      <c r="B25" s="215">
        <v>0</v>
      </c>
      <c r="C25" s="215">
        <v>0</v>
      </c>
      <c r="D25" s="24">
        <f t="shared" si="34"/>
        <v>0</v>
      </c>
      <c r="E25" s="26">
        <v>1</v>
      </c>
      <c r="F25" s="22"/>
      <c r="H25" s="24">
        <f t="shared" si="35"/>
        <v>1</v>
      </c>
      <c r="I25" s="22">
        <f t="shared" si="36"/>
        <v>0</v>
      </c>
      <c r="J25" s="24">
        <f t="shared" si="17"/>
        <v>0</v>
      </c>
      <c r="K25" s="22">
        <f t="shared" si="37"/>
        <v>0</v>
      </c>
      <c r="L25" s="22">
        <f t="shared" si="38"/>
        <v>0</v>
      </c>
      <c r="M25" s="225">
        <f t="shared" si="39"/>
        <v>0</v>
      </c>
      <c r="N25" s="229">
        <v>13</v>
      </c>
      <c r="O25" s="2"/>
      <c r="P25" s="22"/>
      <c r="Q25" s="142" t="s">
        <v>138</v>
      </c>
      <c r="R25" s="41">
        <f>IF($B$81=0,0,(SUM(($B$70*$H$70),($B$71*$H$71))+((1-$D$29)*$I$83))*Poor!$B$81/$B$81)</f>
        <v>59912.96057676011</v>
      </c>
      <c r="S25" s="41">
        <f>IF($B$81=0,0,(SUM(($B$70*$H$70),($B$71*$H$71))+((1-$D$29)*$I$83))*Poor!$B$81/$B$81)</f>
        <v>59912.96057676011</v>
      </c>
      <c r="T25" s="41">
        <f>IF($B$81=0,0,(SUM(($B$70*$H$70),($B$71*$H$71))+((1-$D$29)*$I$83))*Poor!$B$81/$B$81)</f>
        <v>59912.96057676011</v>
      </c>
      <c r="U25" s="56"/>
      <c r="V25" s="56"/>
      <c r="W25" s="110"/>
      <c r="X25" s="118"/>
      <c r="Y25" s="183">
        <f t="shared" si="40"/>
        <v>0</v>
      </c>
      <c r="Z25" s="116">
        <v>8.2941000000000003</v>
      </c>
      <c r="AA25" s="121">
        <f t="shared" si="41"/>
        <v>0</v>
      </c>
      <c r="AB25" s="116">
        <v>8.1765000000000008</v>
      </c>
      <c r="AC25" s="121">
        <f t="shared" si="42"/>
        <v>0</v>
      </c>
      <c r="AD25" s="116">
        <v>8.2353000000000005</v>
      </c>
      <c r="AE25" s="121">
        <f t="shared" si="43"/>
        <v>0</v>
      </c>
      <c r="AF25" s="122">
        <f t="shared" si="44"/>
        <v>-23.7059</v>
      </c>
      <c r="AG25" s="121">
        <f t="shared" si="45"/>
        <v>0</v>
      </c>
      <c r="AH25" s="123">
        <f t="shared" si="46"/>
        <v>1</v>
      </c>
      <c r="AI25" s="183">
        <f t="shared" si="47"/>
        <v>0</v>
      </c>
      <c r="AJ25" s="120">
        <f t="shared" si="48"/>
        <v>0</v>
      </c>
      <c r="AK25" s="119">
        <f t="shared" si="49"/>
        <v>0</v>
      </c>
      <c r="AS25" s="25"/>
      <c r="AT25" s="25"/>
      <c r="AU25" s="25"/>
      <c r="AV25" s="25"/>
      <c r="AW25" s="25"/>
      <c r="AX25" s="25"/>
      <c r="AZ25" s="25"/>
      <c r="BA25" s="25"/>
      <c r="BB25" s="25"/>
      <c r="BC25" s="25"/>
      <c r="BD25" s="25"/>
      <c r="BE25" s="25"/>
      <c r="BF25" s="25"/>
      <c r="BI25" s="25"/>
      <c r="BJ25" s="25"/>
      <c r="BK25" s="25"/>
      <c r="BL25" s="25"/>
      <c r="BM25" s="25"/>
      <c r="BN25" s="25"/>
      <c r="BP25" s="25"/>
      <c r="BQ25" s="25"/>
      <c r="BR25" s="25"/>
      <c r="BS25" s="25"/>
      <c r="BT25" s="25"/>
      <c r="BU25" s="25"/>
      <c r="BV25" s="25"/>
      <c r="BX25" s="25"/>
      <c r="BY25" s="25"/>
      <c r="BZ25" s="25"/>
      <c r="CA25" s="25"/>
      <c r="CB25" s="25"/>
      <c r="CC25" s="25"/>
      <c r="CE25" s="25"/>
      <c r="CF25" s="25"/>
      <c r="CG25" s="25"/>
      <c r="CH25" s="25"/>
      <c r="CI25" s="25"/>
      <c r="CJ25" s="25"/>
      <c r="CK25" s="25"/>
    </row>
    <row r="26" spans="1:89" ht="14" customHeight="1">
      <c r="A26" s="85" t="s">
        <v>166</v>
      </c>
      <c r="B26" s="215">
        <v>0.10415628411753981</v>
      </c>
      <c r="C26" s="215">
        <v>0</v>
      </c>
      <c r="D26" s="24">
        <f>SUM(B26,C26)</f>
        <v>0.10415628411753981</v>
      </c>
      <c r="E26" s="26">
        <v>1</v>
      </c>
      <c r="F26" s="22"/>
      <c r="H26" s="24">
        <f t="shared" si="1"/>
        <v>1</v>
      </c>
      <c r="I26" s="22">
        <f t="shared" si="2"/>
        <v>0.10415628411753981</v>
      </c>
      <c r="J26" s="24">
        <f>IF(I$32&lt;=1+I131,I26,B26*H26+J$33*(I26-B26*H26))</f>
        <v>0.10415628411753981</v>
      </c>
      <c r="K26" s="22">
        <f t="shared" si="4"/>
        <v>0.10415628411753981</v>
      </c>
      <c r="L26" s="22">
        <f t="shared" si="5"/>
        <v>0.10415628411753981</v>
      </c>
      <c r="M26" s="224">
        <f t="shared" si="6"/>
        <v>0.10415628411753981</v>
      </c>
      <c r="N26" s="229">
        <v>12</v>
      </c>
      <c r="O26" s="2"/>
      <c r="P26" s="22"/>
      <c r="Q26" s="59" t="s">
        <v>139</v>
      </c>
      <c r="R26" s="41">
        <f>IF($B$81=0,0,(SUM(($B$70*$H$70),($B$71*$H$71),($B$72*$H$72))+((1-$D$29)*$I$83))*Poor!$B$81/$B$81)</f>
        <v>94209.829148188684</v>
      </c>
      <c r="S26" s="41">
        <f>IF($B$81=0,0,(SUM(($B$70*$H$70),($B$71*$H$71),($B$72*$H$72))+((1-$D$29)*$I$83))*Poor!$B$81/$B$81)</f>
        <v>94209.829148188684</v>
      </c>
      <c r="T26" s="41">
        <f>IF($B$81=0,0,(SUM(($B$70*$H$70),($B$71*$H$71),($B$72*$H$72))+((1-$D$29)*$I$83))*Poor!$B$81/$B$81)</f>
        <v>94209.829148188684</v>
      </c>
      <c r="U26" s="56"/>
      <c r="V26" s="56"/>
      <c r="W26" s="110"/>
      <c r="X26" s="118"/>
      <c r="Y26" s="183">
        <f t="shared" si="9"/>
        <v>0.41662513647015925</v>
      </c>
      <c r="Z26" s="116">
        <v>0.25</v>
      </c>
      <c r="AA26" s="121">
        <f t="shared" si="16"/>
        <v>0.10415628411753981</v>
      </c>
      <c r="AB26" s="116">
        <v>0.25</v>
      </c>
      <c r="AC26" s="121">
        <f t="shared" si="7"/>
        <v>0.10415628411753981</v>
      </c>
      <c r="AD26" s="116">
        <v>0.25</v>
      </c>
      <c r="AE26" s="121">
        <f t="shared" si="8"/>
        <v>0.10415628411753981</v>
      </c>
      <c r="AF26" s="122">
        <f t="shared" si="10"/>
        <v>0.25</v>
      </c>
      <c r="AG26" s="121">
        <f t="shared" si="11"/>
        <v>0.10415628411753981</v>
      </c>
      <c r="AH26" s="123">
        <f t="shared" si="12"/>
        <v>1</v>
      </c>
      <c r="AI26" s="183">
        <f t="shared" si="13"/>
        <v>0.10415628411753981</v>
      </c>
      <c r="AJ26" s="120">
        <f t="shared" si="14"/>
        <v>0.10415628411753981</v>
      </c>
      <c r="AK26" s="119">
        <f t="shared" si="15"/>
        <v>0.10415628411753981</v>
      </c>
      <c r="AS26" s="25"/>
      <c r="AT26" s="25"/>
      <c r="AU26" s="25"/>
      <c r="AV26" s="25"/>
      <c r="AW26" s="25"/>
      <c r="AX26" s="25"/>
      <c r="AZ26" s="25"/>
      <c r="BA26" s="25"/>
      <c r="BB26" s="25"/>
      <c r="BC26" s="25"/>
      <c r="BD26" s="25"/>
      <c r="BE26" s="25"/>
      <c r="BF26" s="25"/>
      <c r="BI26" s="25"/>
      <c r="BJ26" s="25"/>
      <c r="BK26" s="25"/>
      <c r="BL26" s="25"/>
      <c r="BM26" s="25"/>
      <c r="BN26" s="25"/>
      <c r="BP26" s="25"/>
      <c r="BQ26" s="25"/>
      <c r="BR26" s="25"/>
      <c r="BS26" s="25"/>
      <c r="BT26" s="25"/>
      <c r="BU26" s="25"/>
      <c r="BV26" s="25"/>
      <c r="BX26" s="25"/>
      <c r="BY26" s="25"/>
      <c r="BZ26" s="25"/>
      <c r="CA26" s="25"/>
      <c r="CB26" s="25"/>
      <c r="CC26" s="25"/>
      <c r="CE26" s="25"/>
      <c r="CF26" s="25"/>
      <c r="CG26" s="25"/>
      <c r="CH26" s="25"/>
      <c r="CI26" s="25"/>
      <c r="CJ26" s="25"/>
      <c r="CK26" s="25"/>
    </row>
    <row r="27" spans="1:89" ht="14" customHeight="1">
      <c r="A27" s="85" t="s">
        <v>167</v>
      </c>
      <c r="B27" s="215">
        <v>1.1710415628891658E-2</v>
      </c>
      <c r="C27" s="215">
        <v>-1.1710415628891658E-2</v>
      </c>
      <c r="D27" s="24">
        <f>SUM(B27,C27)</f>
        <v>0</v>
      </c>
      <c r="E27" s="26">
        <v>1</v>
      </c>
      <c r="F27" s="22"/>
      <c r="H27" s="24">
        <f t="shared" si="1"/>
        <v>1</v>
      </c>
      <c r="I27" s="22">
        <f t="shared" si="2"/>
        <v>0</v>
      </c>
      <c r="J27" s="24">
        <f>IF(I$32&lt;=1+I131,I27,B27*H27+J$33*(I27-B27*H27))</f>
        <v>0</v>
      </c>
      <c r="K27" s="22">
        <f t="shared" si="4"/>
        <v>1.1710415628891658E-2</v>
      </c>
      <c r="L27" s="22">
        <f t="shared" si="5"/>
        <v>1.1710415628891658E-2</v>
      </c>
      <c r="M27" s="226">
        <f t="shared" si="6"/>
        <v>0</v>
      </c>
      <c r="N27" s="229"/>
      <c r="O27" s="2"/>
      <c r="P27" s="22"/>
      <c r="Q27" s="126" t="s">
        <v>140</v>
      </c>
      <c r="R27" s="41"/>
      <c r="S27" s="41"/>
      <c r="T27" s="41"/>
      <c r="U27" s="56"/>
      <c r="V27" s="56"/>
      <c r="W27" s="110"/>
      <c r="X27" s="118"/>
      <c r="Y27" s="183">
        <f t="shared" si="9"/>
        <v>0</v>
      </c>
      <c r="Z27" s="116">
        <v>0.25</v>
      </c>
      <c r="AA27" s="121">
        <f t="shared" si="16"/>
        <v>0</v>
      </c>
      <c r="AB27" s="116">
        <v>0.25</v>
      </c>
      <c r="AC27" s="121">
        <f t="shared" si="7"/>
        <v>0</v>
      </c>
      <c r="AD27" s="116">
        <v>0.25</v>
      </c>
      <c r="AE27" s="121">
        <f t="shared" si="8"/>
        <v>0</v>
      </c>
      <c r="AF27" s="122">
        <f t="shared" si="10"/>
        <v>0.25</v>
      </c>
      <c r="AG27" s="121">
        <f t="shared" si="11"/>
        <v>0</v>
      </c>
      <c r="AH27" s="123">
        <f t="shared" si="12"/>
        <v>1</v>
      </c>
      <c r="AI27" s="183">
        <f t="shared" si="13"/>
        <v>0</v>
      </c>
      <c r="AJ27" s="120">
        <f t="shared" si="14"/>
        <v>0</v>
      </c>
      <c r="AK27" s="119">
        <f t="shared" si="15"/>
        <v>0</v>
      </c>
      <c r="AS27" s="25"/>
      <c r="AT27" s="25"/>
      <c r="AU27" s="25"/>
      <c r="AV27" s="25"/>
      <c r="AW27" s="25"/>
      <c r="AX27" s="25"/>
      <c r="AZ27" s="25"/>
      <c r="BA27" s="25"/>
      <c r="BB27" s="25"/>
      <c r="BC27" s="25"/>
      <c r="BD27" s="25"/>
      <c r="BE27" s="25"/>
      <c r="BF27" s="25"/>
      <c r="BI27" s="25"/>
      <c r="BJ27" s="25"/>
      <c r="BK27" s="25"/>
      <c r="BL27" s="25"/>
      <c r="BM27" s="25"/>
      <c r="BN27" s="25"/>
      <c r="BP27" s="25"/>
      <c r="BQ27" s="25"/>
      <c r="BR27" s="25"/>
      <c r="BS27" s="25"/>
      <c r="BT27" s="25"/>
      <c r="BU27" s="25"/>
      <c r="BV27" s="25"/>
      <c r="BX27" s="25"/>
      <c r="BY27" s="25"/>
      <c r="BZ27" s="25"/>
      <c r="CA27" s="25"/>
      <c r="CB27" s="25"/>
      <c r="CC27" s="25"/>
      <c r="CE27" s="25"/>
      <c r="CF27" s="25"/>
      <c r="CG27" s="25"/>
      <c r="CH27" s="25"/>
      <c r="CI27" s="25"/>
      <c r="CJ27" s="25"/>
      <c r="CK27" s="25"/>
    </row>
    <row r="28" spans="1:89" ht="14" customHeight="1">
      <c r="A28" s="85" t="s">
        <v>168</v>
      </c>
      <c r="B28" s="215">
        <v>2.8676712328767119E-3</v>
      </c>
      <c r="C28" s="215">
        <v>-2.8676712328767119E-3</v>
      </c>
      <c r="D28" s="24">
        <f>SUM(B28,C28)</f>
        <v>0</v>
      </c>
      <c r="E28" s="26">
        <v>1</v>
      </c>
      <c r="F28" s="22"/>
      <c r="H28" s="24">
        <f t="shared" si="1"/>
        <v>1</v>
      </c>
      <c r="I28" s="22">
        <f t="shared" si="2"/>
        <v>0</v>
      </c>
      <c r="J28" s="24">
        <f>IF(I$32&lt;=1+I131,I28,B28*H28+J$33*(I28-B28*H28))</f>
        <v>0</v>
      </c>
      <c r="K28" s="22">
        <f t="shared" si="4"/>
        <v>2.8676712328767119E-3</v>
      </c>
      <c r="L28" s="22">
        <f t="shared" si="5"/>
        <v>2.8676712328767119E-3</v>
      </c>
      <c r="M28" s="224">
        <f t="shared" si="6"/>
        <v>0</v>
      </c>
      <c r="N28" s="229"/>
      <c r="O28" s="2"/>
      <c r="P28" s="22"/>
      <c r="V28" s="56"/>
      <c r="W28" s="110"/>
      <c r="X28" s="118"/>
      <c r="Y28" s="183">
        <f t="shared" si="9"/>
        <v>0</v>
      </c>
      <c r="Z28" s="116">
        <v>0</v>
      </c>
      <c r="AA28" s="121">
        <f t="shared" si="16"/>
        <v>0</v>
      </c>
      <c r="AB28" s="116">
        <v>0</v>
      </c>
      <c r="AC28" s="121">
        <f t="shared" si="7"/>
        <v>0</v>
      </c>
      <c r="AD28" s="116">
        <v>0.5</v>
      </c>
      <c r="AE28" s="121">
        <f t="shared" si="8"/>
        <v>0</v>
      </c>
      <c r="AF28" s="122">
        <f t="shared" si="10"/>
        <v>0.5</v>
      </c>
      <c r="AG28" s="121">
        <f t="shared" si="11"/>
        <v>0</v>
      </c>
      <c r="AH28" s="123">
        <f t="shared" si="12"/>
        <v>1</v>
      </c>
      <c r="AI28" s="183">
        <f t="shared" si="13"/>
        <v>0</v>
      </c>
      <c r="AJ28" s="120">
        <f t="shared" si="14"/>
        <v>0</v>
      </c>
      <c r="AK28" s="119">
        <f t="shared" si="15"/>
        <v>0</v>
      </c>
      <c r="AS28" s="25"/>
      <c r="AT28" s="25"/>
      <c r="AU28" s="25"/>
      <c r="AV28" s="25"/>
      <c r="AW28" s="25"/>
      <c r="AX28" s="25"/>
      <c r="AZ28" s="25"/>
      <c r="BA28" s="25"/>
      <c r="BB28" s="25"/>
      <c r="BC28" s="25"/>
      <c r="BD28" s="25"/>
      <c r="BE28" s="25"/>
      <c r="BF28" s="25"/>
      <c r="BI28" s="25"/>
      <c r="BJ28" s="25"/>
      <c r="BK28" s="25"/>
      <c r="BL28" s="25"/>
      <c r="BM28" s="25"/>
      <c r="BN28" s="25"/>
      <c r="BP28" s="25"/>
      <c r="BQ28" s="25"/>
      <c r="BR28" s="25"/>
      <c r="BS28" s="25"/>
      <c r="BT28" s="25"/>
      <c r="BU28" s="25"/>
      <c r="BV28" s="25"/>
      <c r="BX28" s="25"/>
      <c r="BY28" s="25"/>
      <c r="BZ28" s="25"/>
      <c r="CA28" s="25"/>
      <c r="CB28" s="25"/>
      <c r="CC28" s="25"/>
      <c r="CE28" s="25"/>
      <c r="CF28" s="25"/>
      <c r="CG28" s="25"/>
      <c r="CH28" s="25"/>
      <c r="CI28" s="25"/>
      <c r="CJ28" s="25"/>
      <c r="CK28" s="25"/>
    </row>
    <row r="29" spans="1:89" ht="14" customHeight="1">
      <c r="A29" s="85" t="s">
        <v>169</v>
      </c>
      <c r="B29" s="215">
        <v>0.12930161825446243</v>
      </c>
      <c r="C29" s="215">
        <v>9.5335155687534659E-2</v>
      </c>
      <c r="D29" s="24">
        <f>SUM(B29,C29)</f>
        <v>0.2246367739419971</v>
      </c>
      <c r="E29" s="26">
        <v>1</v>
      </c>
      <c r="F29" s="22"/>
      <c r="H29" s="24">
        <f t="shared" si="1"/>
        <v>1</v>
      </c>
      <c r="I29" s="22">
        <f t="shared" si="2"/>
        <v>0.2246367739419971</v>
      </c>
      <c r="J29" s="24">
        <f>IF(I$32&lt;=1+I131,I29,B29*H29+J$33*(I29-B29*H29))</f>
        <v>0.2246367739419971</v>
      </c>
      <c r="K29" s="22">
        <f t="shared" si="4"/>
        <v>0.12930161825446243</v>
      </c>
      <c r="L29" s="22">
        <f t="shared" si="5"/>
        <v>0.12930161825446243</v>
      </c>
      <c r="M29" s="224">
        <f t="shared" si="6"/>
        <v>0.2246367739419971</v>
      </c>
      <c r="N29" s="229"/>
      <c r="P29" s="22"/>
      <c r="V29" s="56"/>
      <c r="W29" s="110"/>
      <c r="X29" s="118"/>
      <c r="Y29" s="183">
        <f t="shared" si="9"/>
        <v>0.89854709576798841</v>
      </c>
      <c r="Z29" s="116">
        <v>0.25</v>
      </c>
      <c r="AA29" s="121">
        <f t="shared" si="16"/>
        <v>0.2246367739419971</v>
      </c>
      <c r="AB29" s="116">
        <v>0.25</v>
      </c>
      <c r="AC29" s="121">
        <f t="shared" si="7"/>
        <v>0.2246367739419971</v>
      </c>
      <c r="AD29" s="116">
        <v>0.25</v>
      </c>
      <c r="AE29" s="121">
        <f t="shared" si="8"/>
        <v>0.2246367739419971</v>
      </c>
      <c r="AF29" s="122">
        <f t="shared" si="10"/>
        <v>0.25</v>
      </c>
      <c r="AG29" s="121">
        <f t="shared" si="11"/>
        <v>0.2246367739419971</v>
      </c>
      <c r="AH29" s="123">
        <f t="shared" si="12"/>
        <v>1</v>
      </c>
      <c r="AI29" s="183">
        <f t="shared" si="13"/>
        <v>0.2246367739419971</v>
      </c>
      <c r="AJ29" s="120">
        <f t="shared" si="14"/>
        <v>0.2246367739419971</v>
      </c>
      <c r="AK29" s="119">
        <f t="shared" si="15"/>
        <v>0.2246367739419971</v>
      </c>
      <c r="AS29" s="25"/>
      <c r="AT29" s="25"/>
      <c r="AU29" s="25"/>
      <c r="AV29" s="25"/>
      <c r="AW29" s="25"/>
      <c r="AX29" s="25"/>
      <c r="AZ29" s="25"/>
      <c r="BA29" s="25"/>
      <c r="BB29" s="25"/>
      <c r="BC29" s="25"/>
      <c r="BD29" s="25"/>
      <c r="BE29" s="25"/>
      <c r="BF29" s="25"/>
      <c r="BI29" s="25"/>
      <c r="BJ29" s="25"/>
      <c r="BK29" s="25"/>
      <c r="BL29" s="25"/>
      <c r="BM29" s="25"/>
      <c r="BN29" s="25"/>
      <c r="BP29" s="25"/>
      <c r="BQ29" s="25"/>
      <c r="BR29" s="25"/>
      <c r="BS29" s="25"/>
      <c r="BT29" s="25"/>
      <c r="BU29" s="25"/>
      <c r="BV29" s="25"/>
      <c r="BX29" s="25"/>
      <c r="BY29" s="25"/>
      <c r="BZ29" s="25"/>
      <c r="CA29" s="25"/>
      <c r="CB29" s="25"/>
      <c r="CC29" s="25"/>
      <c r="CE29" s="25"/>
      <c r="CF29" s="25"/>
      <c r="CG29" s="25"/>
      <c r="CH29" s="25"/>
      <c r="CI29" s="25"/>
      <c r="CJ29" s="25"/>
      <c r="CK29" s="25"/>
    </row>
    <row r="30" spans="1:89" ht="14" customHeight="1" thickBot="1">
      <c r="A30" s="85" t="s">
        <v>56</v>
      </c>
      <c r="B30" s="215">
        <v>0.4958710473225405</v>
      </c>
      <c r="C30" s="103"/>
      <c r="D30" s="24">
        <f>(D119-B124)</f>
        <v>3.4355649777773456</v>
      </c>
      <c r="E30" s="29">
        <v>1</v>
      </c>
      <c r="F30" s="95"/>
      <c r="G30" s="95"/>
      <c r="H30" s="96">
        <f>(E30*F$7/F$9)</f>
        <v>1</v>
      </c>
      <c r="I30" s="29">
        <f>IF(E30&gt;=1,I119-I124,MIN(I119-I124,B30*H30))</f>
        <v>0.35625220164949978</v>
      </c>
      <c r="J30" s="231">
        <f>IF(I$32&lt;=1,I30,1-SUM(J6:J29))</f>
        <v>0.11363217158585059</v>
      </c>
      <c r="K30" s="22">
        <f t="shared" si="4"/>
        <v>0.4958710473225405</v>
      </c>
      <c r="L30" s="22">
        <f>IF(L124=L119,0,IF(K30="",0,(L119-L124)/(B119-B124)*K30))</f>
        <v>6.3343098050700666E-2</v>
      </c>
      <c r="M30" s="175">
        <f t="shared" si="6"/>
        <v>0.11363217158585059</v>
      </c>
      <c r="N30" s="166" t="s">
        <v>86</v>
      </c>
      <c r="O30" s="2"/>
      <c r="P30" s="22"/>
      <c r="Q30" s="234" t="s">
        <v>141</v>
      </c>
      <c r="R30" s="234">
        <f t="shared" ref="R30:T32" si="50">IF(R24&gt;R$23,R24-R$23,0)</f>
        <v>0</v>
      </c>
      <c r="S30" s="234">
        <f t="shared" si="50"/>
        <v>0</v>
      </c>
      <c r="T30" s="234">
        <f t="shared" si="50"/>
        <v>0</v>
      </c>
      <c r="V30" s="56"/>
      <c r="W30" s="110"/>
      <c r="X30" s="118"/>
      <c r="Y30" s="183">
        <f>M30*4</f>
        <v>0.45452868634340238</v>
      </c>
      <c r="Z30" s="122">
        <f>IF($Y30=0,0,AA30/($Y$30))</f>
        <v>-1.2145327719132273</v>
      </c>
      <c r="AA30" s="187">
        <f>IF(AA79*4/$I$83+SUM(AA6:AA29)&lt;1,AA79*4/$I$83,1-SUM(AA6:AA29))</f>
        <v>-0.55203998533873033</v>
      </c>
      <c r="AB30" s="122">
        <f>IF($Y30=0,0,AC30/($Y$30))</f>
        <v>-0.81282787224575159</v>
      </c>
      <c r="AC30" s="187">
        <f>IF(AC79*4/$I$83+SUM(AC6:AC29)&lt;1,AC79*4/$I$83,1-SUM(AC6:AC29))</f>
        <v>-0.36945358499516434</v>
      </c>
      <c r="AD30" s="122">
        <f>IF($Y30=0,0,AE30/($Y$30))</f>
        <v>-1.0778944516614513</v>
      </c>
      <c r="AE30" s="187">
        <f>IF(AE79*4/$I$83+SUM(AE6:AE29)&lt;1,AE79*4/$I$83,1-SUM(AE6:AE29))</f>
        <v>-0.48993394913052146</v>
      </c>
      <c r="AF30" s="122">
        <f>IF($Y30=0,0,AG30/($Y$30))</f>
        <v>4.1052550958204295</v>
      </c>
      <c r="AG30" s="187">
        <f>IF(AG79*4/$I$83+SUM(AG6:AG29)&lt;1,AG79*4/$I$83,1-SUM(AG6:AG29))</f>
        <v>1.8659562058078181</v>
      </c>
      <c r="AH30" s="123">
        <f t="shared" si="12"/>
        <v>0.99999999999999911</v>
      </c>
      <c r="AI30" s="183">
        <f t="shared" si="13"/>
        <v>0.11363217158585048</v>
      </c>
      <c r="AJ30" s="120">
        <f t="shared" si="14"/>
        <v>-0.46074678516694734</v>
      </c>
      <c r="AK30" s="119">
        <f t="shared" si="15"/>
        <v>0.6880111283386483</v>
      </c>
      <c r="AS30" s="25"/>
      <c r="AT30" s="25"/>
      <c r="AU30" s="25"/>
      <c r="AV30" s="25"/>
      <c r="AW30" s="25"/>
      <c r="AX30" s="25"/>
      <c r="AZ30" s="25"/>
      <c r="BA30" s="25"/>
      <c r="BB30" s="25"/>
      <c r="BC30" s="25"/>
      <c r="BD30" s="25"/>
      <c r="BE30" s="25"/>
      <c r="BF30" s="25"/>
      <c r="BI30" s="25"/>
      <c r="BJ30" s="25"/>
      <c r="BK30" s="25"/>
      <c r="BL30" s="25"/>
      <c r="BM30" s="25"/>
      <c r="BN30" s="25"/>
      <c r="BP30" s="25"/>
      <c r="BQ30" s="25"/>
      <c r="BR30" s="25"/>
      <c r="BS30" s="25"/>
      <c r="BT30" s="25"/>
      <c r="BU30" s="25"/>
      <c r="BV30" s="25"/>
      <c r="BX30" s="25"/>
      <c r="BY30" s="25"/>
      <c r="BZ30" s="25"/>
      <c r="CA30" s="25"/>
      <c r="CB30" s="25"/>
      <c r="CC30" s="25"/>
      <c r="CE30" s="25"/>
      <c r="CF30" s="25"/>
      <c r="CG30" s="25"/>
      <c r="CH30" s="25"/>
      <c r="CI30" s="25"/>
      <c r="CJ30" s="25"/>
      <c r="CK30" s="25"/>
    </row>
    <row r="31" spans="1:89" ht="14" customHeight="1" thickBot="1">
      <c r="A31" s="94" t="s">
        <v>57</v>
      </c>
      <c r="B31" s="102" t="str">
        <f>IF(1-$B$32&gt;0,1-$B$32,"")</f>
        <v/>
      </c>
      <c r="C31" s="29"/>
      <c r="D31" s="24"/>
      <c r="E31" s="22"/>
      <c r="F31" s="22"/>
      <c r="H31" s="24"/>
      <c r="I31" s="22"/>
      <c r="J31" s="232">
        <f>(1-SUM(J6:J30))</f>
        <v>0</v>
      </c>
      <c r="K31" s="22" t="str">
        <f t="shared" si="4"/>
        <v/>
      </c>
      <c r="L31" s="22">
        <f>(1-SUM(L6:L30))</f>
        <v>0.18990506331455559</v>
      </c>
      <c r="M31" s="178">
        <f t="shared" si="6"/>
        <v>0</v>
      </c>
      <c r="N31" s="167">
        <f>M31*I83</f>
        <v>0</v>
      </c>
      <c r="P31" s="22"/>
      <c r="Q31" s="238" t="s">
        <v>142</v>
      </c>
      <c r="R31" s="234">
        <f t="shared" si="50"/>
        <v>0</v>
      </c>
      <c r="S31" s="234">
        <f t="shared" si="50"/>
        <v>14720.304232581519</v>
      </c>
      <c r="T31" s="234">
        <f>IF(T25&gt;T$23,T25-T$23,0)</f>
        <v>15320.181051746018</v>
      </c>
      <c r="V31" s="56"/>
      <c r="W31" s="129" t="s">
        <v>84</v>
      </c>
      <c r="X31" s="130"/>
      <c r="Y31" s="121">
        <f>M31*4</f>
        <v>0</v>
      </c>
      <c r="Z31" s="131"/>
      <c r="AA31" s="132">
        <f>1-AA32+IF($Y32&lt;0,$Y32/4,0)</f>
        <v>0</v>
      </c>
      <c r="AB31" s="131"/>
      <c r="AC31" s="133">
        <f>1-AC32+IF($Y32&lt;0,$Y32/4,0)</f>
        <v>0</v>
      </c>
      <c r="AD31" s="134"/>
      <c r="AE31" s="133">
        <f>1-AE32+IF($Y32&lt;0,$Y32/4,0)</f>
        <v>0</v>
      </c>
      <c r="AF31" s="134"/>
      <c r="AG31" s="133">
        <f>1-AG32+IF($Y32&lt;0,$Y32/4,0)</f>
        <v>0</v>
      </c>
      <c r="AH31" s="123"/>
      <c r="AI31" s="182">
        <f>SUM(AA31,AC31,AE31,AG31)/4</f>
        <v>0</v>
      </c>
      <c r="AJ31" s="135">
        <f t="shared" si="14"/>
        <v>0</v>
      </c>
      <c r="AK31" s="136">
        <f t="shared" si="15"/>
        <v>0</v>
      </c>
      <c r="AS31" s="25"/>
      <c r="AT31" s="25"/>
      <c r="AU31" s="25"/>
      <c r="AV31" s="25"/>
      <c r="AW31" s="25"/>
      <c r="AX31" s="25"/>
      <c r="AZ31" s="25"/>
      <c r="BA31" s="25"/>
      <c r="BB31" s="25"/>
      <c r="BC31" s="25"/>
      <c r="BD31" s="25"/>
      <c r="BE31" s="25"/>
      <c r="BF31" s="25"/>
      <c r="BI31" s="25"/>
      <c r="BJ31" s="25"/>
      <c r="BK31" s="25"/>
      <c r="BL31" s="25"/>
      <c r="BM31" s="25"/>
      <c r="BN31" s="25"/>
      <c r="BP31" s="25"/>
      <c r="BQ31" s="25"/>
      <c r="BR31" s="25"/>
      <c r="BS31" s="25"/>
      <c r="BT31" s="25"/>
      <c r="BU31" s="25"/>
      <c r="BV31" s="25"/>
      <c r="BX31" s="25"/>
      <c r="BY31" s="25"/>
      <c r="BZ31" s="25"/>
      <c r="CA31" s="25"/>
      <c r="CB31" s="25"/>
      <c r="CC31" s="25"/>
      <c r="CE31" s="25"/>
      <c r="CF31" s="25"/>
      <c r="CG31" s="25"/>
      <c r="CH31" s="25"/>
      <c r="CI31" s="25"/>
      <c r="CJ31" s="25"/>
      <c r="CK31" s="25"/>
    </row>
    <row r="32" spans="1:89" ht="14" customHeight="1">
      <c r="A32" s="29" t="s">
        <v>24</v>
      </c>
      <c r="B32" s="29">
        <f>SUM(B6:B30)</f>
        <v>1.2570240810537974</v>
      </c>
      <c r="C32" s="29">
        <f>SUM(C6:C31)</f>
        <v>0.13780335774232916</v>
      </c>
      <c r="D32" s="24">
        <f>SUM(D6:D30)</f>
        <v>4.3345213692509317</v>
      </c>
      <c r="E32" s="2"/>
      <c r="F32" s="2"/>
      <c r="H32" s="17"/>
      <c r="I32" s="22">
        <f>SUM(I6:I30)</f>
        <v>1.2452236117252031</v>
      </c>
      <c r="J32" s="17"/>
      <c r="L32" s="22">
        <f>SUM(L6:L30)</f>
        <v>0.81009493668544441</v>
      </c>
      <c r="M32" s="23"/>
      <c r="N32" s="56"/>
      <c r="O32" s="2"/>
      <c r="P32" s="22"/>
      <c r="Q32" s="234" t="s">
        <v>143</v>
      </c>
      <c r="R32" s="234">
        <f t="shared" si="50"/>
        <v>2716.5310514273006</v>
      </c>
      <c r="S32" s="234">
        <f t="shared" si="50"/>
        <v>49017.172804010093</v>
      </c>
      <c r="T32" s="234">
        <f t="shared" si="50"/>
        <v>49617.049623174593</v>
      </c>
      <c r="V32" s="56"/>
      <c r="W32" s="110"/>
      <c r="X32" s="118"/>
      <c r="Y32" s="115">
        <f>SUM(Y6:Y31)</f>
        <v>4</v>
      </c>
      <c r="Z32" s="137"/>
      <c r="AA32" s="138">
        <f>SUM(AA6:AA30)</f>
        <v>1</v>
      </c>
      <c r="AB32" s="137"/>
      <c r="AC32" s="139">
        <f>SUM(AC6:AC30)</f>
        <v>1</v>
      </c>
      <c r="AD32" s="137"/>
      <c r="AE32" s="139">
        <f>SUM(AE6:AE30)</f>
        <v>1</v>
      </c>
      <c r="AF32" s="137"/>
      <c r="AG32" s="139">
        <f>SUM(AG6:AG30)</f>
        <v>1</v>
      </c>
      <c r="AH32" s="127"/>
      <c r="AI32" s="110"/>
      <c r="AJ32" s="140">
        <f>SUM(AJ6:AJ31)</f>
        <v>1</v>
      </c>
      <c r="AK32" s="141">
        <f>SUM(AK6:AK31)</f>
        <v>0.99999999999999978</v>
      </c>
      <c r="AS32" s="25"/>
      <c r="AT32" s="25"/>
      <c r="AU32" s="25"/>
      <c r="AV32" s="25"/>
      <c r="AW32" s="25"/>
      <c r="AX32" s="25"/>
      <c r="AZ32" s="25"/>
      <c r="BA32" s="25"/>
      <c r="BB32" s="25"/>
      <c r="BC32" s="25"/>
      <c r="BD32" s="25"/>
      <c r="BE32" s="25"/>
      <c r="BI32" s="25"/>
      <c r="BJ32" s="25"/>
      <c r="BK32" s="25"/>
      <c r="BL32" s="25"/>
      <c r="BM32" s="25"/>
      <c r="BN32" s="25"/>
      <c r="BP32" s="25"/>
      <c r="BQ32" s="25"/>
      <c r="BR32" s="25"/>
      <c r="BS32" s="25"/>
      <c r="BT32" s="25"/>
      <c r="BU32" s="25"/>
      <c r="BX32" s="25"/>
      <c r="BY32" s="25"/>
      <c r="BZ32" s="25"/>
      <c r="CA32" s="25"/>
      <c r="CB32" s="25"/>
      <c r="CC32" s="25"/>
      <c r="CE32" s="25"/>
      <c r="CF32" s="25"/>
      <c r="CG32" s="25"/>
      <c r="CH32" s="25"/>
      <c r="CI32" s="25"/>
      <c r="CJ32" s="25"/>
    </row>
    <row r="33" spans="1:88" ht="14" customHeight="1" thickBot="1">
      <c r="A33" s="9"/>
      <c r="B33" s="9"/>
      <c r="C33" s="9"/>
      <c r="D33" s="10"/>
      <c r="E33" s="11"/>
      <c r="F33" s="11"/>
      <c r="G33" s="11"/>
      <c r="H33" s="10"/>
      <c r="I33" s="97" t="s">
        <v>25</v>
      </c>
      <c r="J33" s="98">
        <f>(1+K127*H127-L32-L127)/(I32-L32-L127)</f>
        <v>1.131264789737555</v>
      </c>
      <c r="K33" s="14"/>
      <c r="L33" s="11"/>
      <c r="M33" s="30"/>
      <c r="N33" s="168" t="s">
        <v>87</v>
      </c>
      <c r="O33" s="2"/>
      <c r="P33" s="2"/>
      <c r="Q33" s="238"/>
      <c r="R33" s="234"/>
      <c r="S33" s="234"/>
      <c r="T33" s="234"/>
      <c r="V33" s="56"/>
      <c r="W33" s="110"/>
      <c r="X33" s="118"/>
      <c r="Y33" s="110"/>
      <c r="Z33" s="143"/>
      <c r="AA33" s="144"/>
      <c r="AB33" s="143"/>
      <c r="AC33" s="144"/>
      <c r="AD33" s="143"/>
      <c r="AE33" s="144"/>
      <c r="AF33" s="143"/>
      <c r="AG33" s="144"/>
      <c r="AH33" s="110"/>
      <c r="AI33" s="110"/>
      <c r="AJ33" s="143"/>
      <c r="AK33" s="144"/>
      <c r="AS33" s="25"/>
      <c r="AT33" s="25"/>
      <c r="AU33" s="25"/>
      <c r="AV33" s="25"/>
      <c r="AW33" s="25"/>
      <c r="AX33" s="25"/>
      <c r="AZ33" s="25"/>
      <c r="BA33" s="25"/>
      <c r="BB33" s="25"/>
      <c r="BC33" s="25"/>
      <c r="BD33" s="25"/>
      <c r="BE33" s="25"/>
      <c r="BI33" s="25"/>
      <c r="BJ33" s="25"/>
      <c r="BK33" s="25"/>
      <c r="BL33" s="25"/>
      <c r="BM33" s="25"/>
      <c r="BN33" s="25"/>
      <c r="BP33" s="25"/>
      <c r="BQ33" s="25"/>
      <c r="BR33" s="25"/>
      <c r="BS33" s="25"/>
      <c r="BT33" s="25"/>
      <c r="BU33" s="25"/>
      <c r="BX33" s="25"/>
      <c r="BY33" s="25"/>
      <c r="BZ33" s="25"/>
      <c r="CA33" s="25"/>
      <c r="CB33" s="25"/>
      <c r="CC33" s="25"/>
      <c r="CE33" s="25"/>
      <c r="CF33" s="25"/>
      <c r="CG33" s="25"/>
      <c r="CH33" s="25"/>
      <c r="CI33" s="25"/>
      <c r="CJ33" s="25"/>
    </row>
    <row r="34" spans="1:88" ht="15.75" customHeight="1" thickBot="1">
      <c r="A34" s="15" t="s">
        <v>26</v>
      </c>
      <c r="B34" s="1"/>
      <c r="C34" s="1"/>
      <c r="D34" s="31"/>
      <c r="E34" s="32"/>
      <c r="F34" s="32"/>
      <c r="G34" s="32"/>
      <c r="H34" s="31"/>
      <c r="I34" s="2"/>
      <c r="J34" s="33"/>
      <c r="K34" s="34" t="s">
        <v>27</v>
      </c>
      <c r="L34" s="35"/>
      <c r="M34" s="36"/>
      <c r="N34" s="169">
        <f>-(M77*B76)</f>
        <v>15320.181051746002</v>
      </c>
      <c r="O34" s="2"/>
      <c r="P34" s="2"/>
      <c r="V34" s="56"/>
      <c r="W34" s="110"/>
      <c r="X34" s="118"/>
      <c r="Y34" s="110"/>
      <c r="Z34" s="145"/>
      <c r="AA34" s="146"/>
      <c r="AB34" s="145"/>
      <c r="AC34" s="146"/>
      <c r="AD34" s="145"/>
      <c r="AE34" s="146"/>
      <c r="AF34" s="145"/>
      <c r="AG34" s="146"/>
      <c r="AH34" s="110"/>
      <c r="AI34" s="110"/>
      <c r="AJ34" s="145"/>
      <c r="AK34" s="146"/>
      <c r="AP34" s="25"/>
      <c r="AQ34" s="25"/>
      <c r="AR34" s="25"/>
      <c r="AS34" s="25"/>
      <c r="AT34" s="25"/>
      <c r="AU34" s="25"/>
      <c r="AW34" s="25"/>
      <c r="AX34" s="25"/>
      <c r="AY34" s="25"/>
      <c r="AZ34" s="25"/>
      <c r="BA34" s="25"/>
      <c r="BB34" s="25"/>
      <c r="BF34" s="25"/>
      <c r="BG34" s="25"/>
      <c r="BH34" s="25"/>
      <c r="BI34" s="25"/>
      <c r="BJ34" s="25"/>
      <c r="BK34" s="25"/>
      <c r="BM34" s="25"/>
      <c r="BN34" s="25"/>
      <c r="BO34" s="25"/>
      <c r="BP34" s="25"/>
      <c r="BQ34" s="25"/>
      <c r="BR34" s="25"/>
      <c r="BU34" s="25"/>
      <c r="BV34" s="25"/>
      <c r="BW34" s="25"/>
      <c r="BX34" s="25"/>
      <c r="BY34" s="25"/>
      <c r="BZ34" s="25"/>
      <c r="CB34" s="25"/>
      <c r="CC34" s="25"/>
      <c r="CD34" s="25"/>
      <c r="CE34" s="25"/>
      <c r="CF34" s="25"/>
      <c r="CG34" s="25"/>
    </row>
    <row r="35" spans="1:88" ht="14" customHeight="1">
      <c r="A35" s="1"/>
      <c r="B35" s="1" t="s">
        <v>7</v>
      </c>
      <c r="C35" s="1" t="s">
        <v>8</v>
      </c>
      <c r="D35" s="16" t="s">
        <v>9</v>
      </c>
      <c r="E35" s="19" t="s">
        <v>10</v>
      </c>
      <c r="F35" s="2" t="s">
        <v>28</v>
      </c>
      <c r="G35" s="2" t="s">
        <v>29</v>
      </c>
      <c r="H35" s="16" t="s">
        <v>12</v>
      </c>
      <c r="I35" s="19" t="s">
        <v>13</v>
      </c>
      <c r="J35" s="16" t="s">
        <v>14</v>
      </c>
      <c r="K35" s="37" t="s">
        <v>7</v>
      </c>
      <c r="L35" s="19" t="s">
        <v>15</v>
      </c>
      <c r="M35" s="16" t="s">
        <v>14</v>
      </c>
      <c r="N35" s="2"/>
      <c r="O35" s="2"/>
      <c r="P35" s="2"/>
      <c r="R35" s="41"/>
      <c r="S35" s="41"/>
      <c r="V35" s="184"/>
      <c r="W35" s="110"/>
      <c r="X35" s="118"/>
      <c r="Y35" s="110"/>
      <c r="Z35" s="145"/>
      <c r="AA35" s="146"/>
      <c r="AB35" s="145"/>
      <c r="AC35" s="146"/>
      <c r="AD35" s="145"/>
      <c r="AE35" s="146"/>
      <c r="AF35" s="145"/>
      <c r="AG35" s="146"/>
      <c r="AH35" s="110"/>
      <c r="AI35" s="110"/>
      <c r="AJ35" s="145"/>
      <c r="AK35" s="146"/>
      <c r="AP35" s="25"/>
      <c r="AQ35" s="25"/>
      <c r="AR35" s="25"/>
      <c r="AS35" s="25"/>
      <c r="AT35" s="25"/>
      <c r="AU35" s="25"/>
      <c r="AW35" s="25"/>
      <c r="AX35" s="25"/>
      <c r="AY35" s="25"/>
      <c r="AZ35" s="25"/>
      <c r="BA35" s="25"/>
      <c r="BB35" s="25"/>
      <c r="BF35" s="25"/>
      <c r="BG35" s="25"/>
      <c r="BH35" s="25"/>
      <c r="BI35" s="25"/>
      <c r="BJ35" s="25"/>
      <c r="BK35" s="25"/>
      <c r="BM35" s="25"/>
      <c r="BN35" s="25"/>
      <c r="BO35" s="25"/>
      <c r="BP35" s="25"/>
      <c r="BQ35" s="25"/>
      <c r="BR35" s="25"/>
      <c r="BU35" s="25"/>
      <c r="BV35" s="25"/>
      <c r="BW35" s="25"/>
      <c r="BX35" s="25"/>
      <c r="BY35" s="25"/>
      <c r="BZ35" s="25"/>
      <c r="CB35" s="25"/>
      <c r="CC35" s="25"/>
      <c r="CD35" s="25"/>
      <c r="CE35" s="25"/>
      <c r="CF35" s="25"/>
      <c r="CG35" s="25"/>
    </row>
    <row r="36" spans="1:88" ht="14" customHeight="1">
      <c r="A36" s="1" t="s">
        <v>30</v>
      </c>
      <c r="B36" s="1" t="s">
        <v>16</v>
      </c>
      <c r="C36" s="1" t="s">
        <v>17</v>
      </c>
      <c r="D36" s="16" t="s">
        <v>16</v>
      </c>
      <c r="E36" s="19" t="s">
        <v>18</v>
      </c>
      <c r="F36" s="2" t="s">
        <v>31</v>
      </c>
      <c r="G36" s="2" t="s">
        <v>31</v>
      </c>
      <c r="H36" s="16" t="s">
        <v>18</v>
      </c>
      <c r="I36" s="19" t="s">
        <v>16</v>
      </c>
      <c r="J36" s="16" t="s">
        <v>16</v>
      </c>
      <c r="K36" s="37" t="s">
        <v>16</v>
      </c>
      <c r="L36" s="19" t="s">
        <v>19</v>
      </c>
      <c r="M36" s="16" t="s">
        <v>16</v>
      </c>
      <c r="N36" s="2"/>
      <c r="O36" s="2"/>
      <c r="P36" s="2"/>
      <c r="Q36" s="59"/>
      <c r="R36" s="242"/>
      <c r="S36" s="242"/>
      <c r="T36" s="252"/>
      <c r="U36" s="56"/>
      <c r="V36" s="56"/>
      <c r="W36" s="110"/>
      <c r="X36" s="118"/>
      <c r="Y36" s="110"/>
      <c r="Z36" s="145"/>
      <c r="AA36" s="146"/>
      <c r="AB36" s="145"/>
      <c r="AC36" s="146"/>
      <c r="AD36" s="145"/>
      <c r="AE36" s="146"/>
      <c r="AF36" s="145"/>
      <c r="AG36" s="146"/>
      <c r="AH36" s="110"/>
      <c r="AI36" s="110"/>
      <c r="AJ36" s="145"/>
      <c r="AK36" s="146"/>
      <c r="AP36" s="25"/>
      <c r="AQ36" s="25"/>
      <c r="AR36" s="25"/>
      <c r="AS36" s="25"/>
      <c r="AT36" s="25"/>
      <c r="AU36" s="25"/>
      <c r="AW36" s="25"/>
      <c r="AX36" s="25"/>
      <c r="AY36" s="25"/>
      <c r="AZ36" s="25"/>
      <c r="BA36" s="25"/>
      <c r="BB36" s="25"/>
      <c r="BF36" s="25"/>
      <c r="BG36" s="25"/>
      <c r="BH36" s="25"/>
      <c r="BI36" s="25"/>
      <c r="BJ36" s="25"/>
      <c r="BK36" s="25"/>
      <c r="BM36" s="25"/>
      <c r="BN36" s="25"/>
      <c r="BO36" s="25"/>
      <c r="BP36" s="25"/>
      <c r="BQ36" s="25"/>
      <c r="BR36" s="25"/>
      <c r="BU36" s="25"/>
      <c r="BV36" s="25"/>
      <c r="BW36" s="25"/>
      <c r="BX36" s="25"/>
      <c r="BY36" s="25"/>
      <c r="BZ36" s="25"/>
      <c r="CB36" s="25"/>
      <c r="CC36" s="25"/>
      <c r="CD36" s="25"/>
      <c r="CE36" s="25"/>
      <c r="CF36" s="25"/>
      <c r="CG36" s="25"/>
    </row>
    <row r="37" spans="1:88" ht="14" customHeight="1">
      <c r="A37" s="85" t="s">
        <v>170</v>
      </c>
      <c r="B37" s="216">
        <v>666.66666666666663</v>
      </c>
      <c r="C37" s="216">
        <v>0</v>
      </c>
      <c r="D37" s="38">
        <f>SUM(B37,C37)</f>
        <v>666.66666666666663</v>
      </c>
      <c r="E37" s="233">
        <v>0.8</v>
      </c>
      <c r="F37" s="26">
        <v>1.18</v>
      </c>
      <c r="G37" s="26">
        <v>1.65</v>
      </c>
      <c r="H37" s="24">
        <f t="shared" ref="H37:H49" si="51">(E37*F37)</f>
        <v>0.94399999999999995</v>
      </c>
      <c r="I37" s="39">
        <f t="shared" ref="I37:I49" si="52">D37*H37</f>
        <v>629.33333333333326</v>
      </c>
      <c r="J37" s="38">
        <f t="shared" ref="J37:J49" si="53">J91*I$83</f>
        <v>629.33333333333326</v>
      </c>
      <c r="K37" s="40">
        <f t="shared" ref="K37:K49" si="54">(B37/B$65)</f>
        <v>1.1950965189826142E-2</v>
      </c>
      <c r="L37" s="22">
        <f t="shared" ref="L37:L49" si="55">(K37*H37)</f>
        <v>1.1281711139195877E-2</v>
      </c>
      <c r="M37" s="24">
        <f t="shared" ref="M37:M49" si="56">J37/B$65</f>
        <v>1.1281711139195879E-2</v>
      </c>
      <c r="N37" s="2"/>
      <c r="O37" s="2"/>
      <c r="Q37" s="59"/>
      <c r="R37" s="252"/>
      <c r="S37" s="252"/>
      <c r="T37" s="29"/>
      <c r="U37" s="56"/>
      <c r="V37" s="56"/>
      <c r="W37" s="115"/>
      <c r="X37" s="118"/>
      <c r="Y37" s="110"/>
      <c r="Z37" s="122">
        <f>IF($J37=0,0,AA37/($J37))</f>
        <v>0</v>
      </c>
      <c r="AA37" s="147">
        <f>IF(SUM(AA$6:AA$29)+(SUM(AA$39:AA$64,-AA$70)/AA$83)&lt;1,IF(SUM(AA$6:AA$29)+(SUM(AA$39:AA$64,$J$37:$J$38,-AA$70)/AA$83)&lt;1,$J37,(AA$83-(SUM(AA$6:AA$29)*AA$83)-SUM(AA$39:AA$64,-AA$70))*($J37/SUM($J$37:$J$38))),0)</f>
        <v>0</v>
      </c>
      <c r="AB37" s="122">
        <f>IF($J37=0,0,AC37/($J37))</f>
        <v>0</v>
      </c>
      <c r="AC37" s="147">
        <f>IF(SUM(AC$6:AC$29)+(SUM(AC$39:AC$64,-AC$70)/AC$83)&lt;1,IF(SUM(AC$6:AC$29)+((SUM(AC$39:AC$64,$J$37:$J$38,-AC$70)-SUM($AA$37:$AA$38))/AC$83)&lt;1,$J37-$AA37,(AC$83-(SUM(AC$6:AC$29)*AC$83)-SUM(AC$39:AC$64,-AC$70))*($J37/SUM($J$37:$J$38))),0)</f>
        <v>0</v>
      </c>
      <c r="AD37" s="122">
        <f>IF($J37=0,0,AE37/($J37))</f>
        <v>0</v>
      </c>
      <c r="AE37" s="147">
        <f>IF(SUM(AE$6:AE$29)+(SUM(AE$39:AE$64,-AE$70)/AE$83)&lt;1,IF(SUM(AE$6:AE$29)+((SUM(AE$39:AE$64,$J$37:$J$38,-AE$70)-SUM($AA$37:$AA$38)-SUM($AC$37:$AC$38))/AE$83)&lt;1,$J37-$AA37-$AC37,(AE$83-(SUM(AE$6:AE$29)*AE$83)-SUM(AE$39:AE$64,-AE$70))*($J37/SUM($J$37:$J$38))),0)</f>
        <v>0</v>
      </c>
      <c r="AF37" s="122">
        <f t="shared" ref="AF37:AF64" si="57">1-SUM(Z37,AB37,AD37)</f>
        <v>1</v>
      </c>
      <c r="AG37" s="147">
        <f>$J37*AF37</f>
        <v>629.33333333333326</v>
      </c>
      <c r="AH37" s="123">
        <f>SUM(Z37,AB37,AD37,AF37)</f>
        <v>1</v>
      </c>
      <c r="AI37" s="112">
        <f>SUM(AA37,AC37,AE37,AG37)</f>
        <v>629.33333333333326</v>
      </c>
      <c r="AJ37" s="148">
        <f>(AA37+AC37)</f>
        <v>0</v>
      </c>
      <c r="AK37" s="147">
        <f>(AE37+AG37)</f>
        <v>629.33333333333326</v>
      </c>
      <c r="AP37" s="25"/>
      <c r="AQ37" s="25"/>
      <c r="AR37" s="25"/>
      <c r="AS37" s="25"/>
      <c r="AT37" s="25"/>
      <c r="AU37" s="25"/>
      <c r="AW37" s="25"/>
      <c r="AX37" s="25"/>
      <c r="AY37" s="25"/>
      <c r="AZ37" s="25"/>
      <c r="BA37" s="25"/>
      <c r="BB37" s="25"/>
      <c r="BF37" s="25"/>
      <c r="BG37" s="25"/>
      <c r="BH37" s="25"/>
      <c r="BI37" s="25"/>
      <c r="BJ37" s="25"/>
      <c r="BK37" s="25"/>
      <c r="BM37" s="25"/>
      <c r="BN37" s="25"/>
      <c r="BO37" s="25"/>
      <c r="BP37" s="25"/>
      <c r="BQ37" s="25"/>
      <c r="BR37" s="25"/>
      <c r="BU37" s="25"/>
      <c r="BV37" s="25"/>
      <c r="BW37" s="25"/>
      <c r="BX37" s="25"/>
      <c r="BY37" s="25"/>
      <c r="BZ37" s="25"/>
      <c r="CB37" s="25"/>
      <c r="CC37" s="25"/>
      <c r="CD37" s="25"/>
      <c r="CE37" s="25"/>
      <c r="CF37" s="25"/>
      <c r="CG37" s="25"/>
    </row>
    <row r="38" spans="1:88" ht="14" customHeight="1">
      <c r="A38" s="85" t="s">
        <v>171</v>
      </c>
      <c r="B38" s="216">
        <v>1979.1666666666667</v>
      </c>
      <c r="C38" s="216">
        <v>0</v>
      </c>
      <c r="D38" s="38">
        <f t="shared" ref="D38:D47" si="58">SUM(B38,C38)</f>
        <v>1979.1666666666667</v>
      </c>
      <c r="E38" s="26">
        <v>0.8</v>
      </c>
      <c r="F38" s="26">
        <v>1.18</v>
      </c>
      <c r="G38" s="22">
        <f t="shared" ref="G38:G64" si="59">(G$37)</f>
        <v>1.65</v>
      </c>
      <c r="H38" s="24">
        <f t="shared" si="51"/>
        <v>0.94399999999999995</v>
      </c>
      <c r="I38" s="39">
        <f t="shared" si="52"/>
        <v>1868.3333333333333</v>
      </c>
      <c r="J38" s="38">
        <f t="shared" si="53"/>
        <v>1868.3333333333333</v>
      </c>
      <c r="K38" s="40">
        <f t="shared" si="54"/>
        <v>3.5479427907296364E-2</v>
      </c>
      <c r="L38" s="22">
        <f t="shared" si="55"/>
        <v>3.3492579944487767E-2</v>
      </c>
      <c r="M38" s="24">
        <f t="shared" si="56"/>
        <v>3.3492579944487767E-2</v>
      </c>
      <c r="N38" s="2"/>
      <c r="O38" s="2"/>
      <c r="P38" s="2"/>
      <c r="Q38" s="59"/>
      <c r="R38" s="252"/>
      <c r="S38" s="252"/>
      <c r="T38" s="29"/>
      <c r="U38" s="56"/>
      <c r="V38" s="56"/>
      <c r="W38" s="115"/>
      <c r="X38" s="118"/>
      <c r="Y38" s="110"/>
      <c r="Z38" s="122">
        <f>IF($J38=0,0,AA38/($J38))</f>
        <v>0</v>
      </c>
      <c r="AA38" s="147">
        <f>IF(SUM(AA$6:AA$29)+(SUM(AA$39:AA$64,-AA$70)/AA$83)&lt;1,IF(SUM(AA$6:AA$29)+(SUM(AA$39:AA$64,$J$37:$J$38,-AA$70)/AA$83)&lt;1,$J38,(AA$83-(SUM(AA$6:AA$29)*AA$83)-SUM(AA$39:AA$64,-AA$70))*($J38/SUM($J$37:$J$38))),0)</f>
        <v>0</v>
      </c>
      <c r="AB38" s="122">
        <f>IF($J38=0,0,AC38/($J38))</f>
        <v>0</v>
      </c>
      <c r="AC38" s="147">
        <f>IF(SUM(AC$6:AC$29)+(SUM(AC$40:AC$64,-AC$70)/AC$83)&lt;1,IF(SUM(AC$6:AC$29)+((SUM(AC$40:AC$64,$J$37:$J$41,-AC$70)-SUM($AA$37:$AA$39))/AC$83)&lt;1,$J38-$AA38,(AC$83-(SUM(AC$6:AC$29)*AC$83)-SUM(AC$40:AC$64,-AC$70))*($J38/SUM($J$37:$J$41))),0)</f>
        <v>0</v>
      </c>
      <c r="AD38" s="122">
        <f>IF($J38=0,0,AE38/($J38))</f>
        <v>0</v>
      </c>
      <c r="AE38" s="147">
        <f>IF(SUM(AE$6:AE$29)+(SUM(AE$40:AE$64,-AE$70)/AE$83)&lt;1,IF(SUM(AE$6:AE$29)+((SUM(AE$40:AE$64,$J$37:$J$41,-AE$70)-SUM($AA$37:$AA$39)-SUM($AC$37:$AC$39))/AE$83)&lt;1,$J38-$AA38-$AC38,(AE$83-(SUM(AE$6:AE$29)*AE$83)-SUM(AE$40:AE$64,-AE$70))*($J38/SUM($J$37:$J$41))),0)</f>
        <v>0</v>
      </c>
      <c r="AF38" s="122">
        <f t="shared" si="57"/>
        <v>1</v>
      </c>
      <c r="AG38" s="147">
        <f t="shared" ref="AG38:AG64" si="60">$J38*AF38</f>
        <v>1868.3333333333333</v>
      </c>
      <c r="AH38" s="123">
        <f t="shared" ref="AH38:AI58" si="61">SUM(Z38,AB38,AD38,AF38)</f>
        <v>1</v>
      </c>
      <c r="AI38" s="112">
        <f t="shared" si="61"/>
        <v>1868.3333333333333</v>
      </c>
      <c r="AJ38" s="148">
        <f t="shared" ref="AJ38:AJ64" si="62">(AA38+AC38)</f>
        <v>0</v>
      </c>
      <c r="AK38" s="147">
        <f t="shared" ref="AK38:AK64" si="63">(AE38+AG38)</f>
        <v>1868.3333333333333</v>
      </c>
      <c r="AP38" s="25"/>
      <c r="AQ38" s="25"/>
      <c r="AR38" s="25"/>
      <c r="AS38" s="25"/>
      <c r="AT38" s="25"/>
      <c r="AU38" s="25"/>
      <c r="AW38" s="25"/>
      <c r="AX38" s="25"/>
      <c r="AY38" s="25"/>
      <c r="AZ38" s="25"/>
      <c r="BA38" s="25"/>
      <c r="BB38" s="25"/>
      <c r="BF38" s="25"/>
      <c r="BG38" s="25"/>
      <c r="BH38" s="25"/>
      <c r="BI38" s="25"/>
      <c r="BJ38" s="25"/>
      <c r="BK38" s="25"/>
      <c r="BM38" s="25"/>
      <c r="BN38" s="25"/>
      <c r="BO38" s="25"/>
      <c r="BP38" s="25"/>
      <c r="BQ38" s="25"/>
      <c r="BR38" s="25"/>
      <c r="BU38" s="25"/>
      <c r="BV38" s="25"/>
      <c r="BW38" s="25"/>
      <c r="BX38" s="25"/>
      <c r="BY38" s="25"/>
      <c r="BZ38" s="25"/>
      <c r="CB38" s="25"/>
      <c r="CC38" s="25"/>
      <c r="CD38" s="25"/>
      <c r="CE38" s="25"/>
      <c r="CF38" s="25"/>
      <c r="CG38" s="25"/>
    </row>
    <row r="39" spans="1:88" ht="14" customHeight="1">
      <c r="A39" s="85" t="s">
        <v>172</v>
      </c>
      <c r="B39" s="216">
        <v>1276.6666666666667</v>
      </c>
      <c r="C39" s="216">
        <v>-825</v>
      </c>
      <c r="D39" s="38">
        <f t="shared" si="58"/>
        <v>451.66666666666674</v>
      </c>
      <c r="E39" s="26">
        <v>0.8</v>
      </c>
      <c r="F39" s="26">
        <v>1.18</v>
      </c>
      <c r="G39" s="22">
        <f t="shared" si="59"/>
        <v>1.65</v>
      </c>
      <c r="H39" s="24">
        <f t="shared" si="51"/>
        <v>0.94399999999999995</v>
      </c>
      <c r="I39" s="39">
        <f t="shared" si="52"/>
        <v>426.37333333333339</v>
      </c>
      <c r="J39" s="38">
        <f t="shared" si="53"/>
        <v>426.37333333333339</v>
      </c>
      <c r="K39" s="40">
        <f t="shared" si="54"/>
        <v>2.2886098338517066E-2</v>
      </c>
      <c r="L39" s="22">
        <f t="shared" si="55"/>
        <v>2.160447683156011E-2</v>
      </c>
      <c r="M39" s="24">
        <f t="shared" si="56"/>
        <v>7.6433592968052095E-3</v>
      </c>
      <c r="N39" s="2"/>
      <c r="O39" s="2"/>
      <c r="P39" s="2"/>
      <c r="Q39" s="59"/>
      <c r="R39" s="252"/>
      <c r="S39" s="252"/>
      <c r="T39" s="29"/>
      <c r="U39" s="56"/>
      <c r="V39" s="56"/>
      <c r="W39" s="115"/>
      <c r="X39" s="118">
        <v>1</v>
      </c>
      <c r="Y39" s="110"/>
      <c r="Z39" s="122">
        <f>Z8</f>
        <v>0</v>
      </c>
      <c r="AA39" s="147">
        <f t="shared" ref="AA39:AA64" si="64">$J39*Z39</f>
        <v>0</v>
      </c>
      <c r="AB39" s="122">
        <f>AB8</f>
        <v>0</v>
      </c>
      <c r="AC39" s="147">
        <f t="shared" ref="AC39:AC64" si="65">$J39*AB39</f>
        <v>0</v>
      </c>
      <c r="AD39" s="122">
        <f>AD8</f>
        <v>0</v>
      </c>
      <c r="AE39" s="147">
        <f t="shared" ref="AE39:AE64" si="66">$J39*AD39</f>
        <v>0</v>
      </c>
      <c r="AF39" s="122">
        <f t="shared" si="57"/>
        <v>1</v>
      </c>
      <c r="AG39" s="147">
        <f t="shared" si="60"/>
        <v>426.37333333333339</v>
      </c>
      <c r="AH39" s="123">
        <f t="shared" si="61"/>
        <v>1</v>
      </c>
      <c r="AI39" s="112">
        <f t="shared" si="61"/>
        <v>426.37333333333339</v>
      </c>
      <c r="AJ39" s="148">
        <f t="shared" si="62"/>
        <v>0</v>
      </c>
      <c r="AK39" s="147">
        <f t="shared" si="63"/>
        <v>426.37333333333339</v>
      </c>
      <c r="AP39" s="25"/>
      <c r="AQ39" s="25"/>
      <c r="AR39" s="25"/>
      <c r="AS39" s="25"/>
      <c r="AT39" s="25"/>
      <c r="AU39" s="25"/>
      <c r="AW39" s="25"/>
      <c r="AX39" s="25"/>
      <c r="AY39" s="25"/>
      <c r="AZ39" s="25"/>
      <c r="BA39" s="25"/>
      <c r="BB39" s="25"/>
      <c r="BF39" s="25"/>
      <c r="BG39" s="25"/>
      <c r="BH39" s="25"/>
      <c r="BI39" s="25"/>
      <c r="BJ39" s="25"/>
      <c r="BK39" s="25"/>
      <c r="BM39" s="25"/>
      <c r="BN39" s="25"/>
      <c r="BO39" s="25"/>
      <c r="BP39" s="25"/>
      <c r="BQ39" s="25"/>
      <c r="BR39" s="25"/>
      <c r="BU39" s="25"/>
      <c r="BV39" s="25"/>
      <c r="BW39" s="25"/>
      <c r="BX39" s="25"/>
      <c r="BY39" s="25"/>
      <c r="BZ39" s="25"/>
      <c r="CB39" s="25"/>
      <c r="CC39" s="25"/>
      <c r="CD39" s="25"/>
      <c r="CE39" s="25"/>
      <c r="CF39" s="25"/>
      <c r="CG39" s="25"/>
    </row>
    <row r="40" spans="1:88" ht="14" customHeight="1">
      <c r="A40" s="85" t="s">
        <v>173</v>
      </c>
      <c r="B40" s="216">
        <v>7.333333333333333</v>
      </c>
      <c r="C40" s="216">
        <v>0</v>
      </c>
      <c r="D40" s="38">
        <f t="shared" si="58"/>
        <v>7.333333333333333</v>
      </c>
      <c r="E40" s="26">
        <v>1</v>
      </c>
      <c r="F40" s="26">
        <v>1.18</v>
      </c>
      <c r="G40" s="22">
        <f t="shared" si="59"/>
        <v>1.65</v>
      </c>
      <c r="H40" s="24">
        <f t="shared" si="51"/>
        <v>1.18</v>
      </c>
      <c r="I40" s="39">
        <f t="shared" si="52"/>
        <v>8.6533333333333324</v>
      </c>
      <c r="J40" s="38">
        <f t="shared" si="53"/>
        <v>8.6533333333333324</v>
      </c>
      <c r="K40" s="40">
        <f t="shared" si="54"/>
        <v>1.3146061708808757E-4</v>
      </c>
      <c r="L40" s="22">
        <f t="shared" si="55"/>
        <v>1.5512352816394331E-4</v>
      </c>
      <c r="M40" s="24">
        <f t="shared" si="56"/>
        <v>1.5512352816394331E-4</v>
      </c>
      <c r="N40" s="2"/>
      <c r="O40" s="2"/>
      <c r="P40" s="2"/>
      <c r="Q40" s="59"/>
      <c r="R40" s="252"/>
      <c r="S40" s="252"/>
      <c r="T40" s="29"/>
      <c r="U40" s="56"/>
      <c r="V40" s="56"/>
      <c r="W40" s="115"/>
      <c r="X40" s="118">
        <v>1</v>
      </c>
      <c r="Y40" s="110"/>
      <c r="Z40" s="122">
        <f>Z9</f>
        <v>0</v>
      </c>
      <c r="AA40" s="147">
        <f t="shared" si="64"/>
        <v>0</v>
      </c>
      <c r="AB40" s="122">
        <f>AB9</f>
        <v>0</v>
      </c>
      <c r="AC40" s="147">
        <f t="shared" si="65"/>
        <v>0</v>
      </c>
      <c r="AD40" s="122">
        <f>AD9</f>
        <v>0</v>
      </c>
      <c r="AE40" s="147">
        <f t="shared" si="66"/>
        <v>0</v>
      </c>
      <c r="AF40" s="122">
        <f t="shared" si="57"/>
        <v>1</v>
      </c>
      <c r="AG40" s="147">
        <f t="shared" si="60"/>
        <v>8.6533333333333324</v>
      </c>
      <c r="AH40" s="123">
        <f t="shared" si="61"/>
        <v>1</v>
      </c>
      <c r="AI40" s="112">
        <f t="shared" si="61"/>
        <v>8.6533333333333324</v>
      </c>
      <c r="AJ40" s="148">
        <f t="shared" si="62"/>
        <v>0</v>
      </c>
      <c r="AK40" s="147">
        <f t="shared" si="63"/>
        <v>8.6533333333333324</v>
      </c>
      <c r="AP40" s="25"/>
      <c r="AQ40" s="25"/>
      <c r="AR40" s="25"/>
      <c r="AS40" s="25"/>
      <c r="AT40" s="25"/>
      <c r="AU40" s="25"/>
      <c r="AW40" s="25"/>
      <c r="AX40" s="25"/>
      <c r="AY40" s="25"/>
      <c r="AZ40" s="25"/>
      <c r="BA40" s="25"/>
      <c r="BB40" s="25"/>
      <c r="BF40" s="25"/>
      <c r="BG40" s="25"/>
      <c r="BH40" s="25"/>
      <c r="BI40" s="25"/>
      <c r="BJ40" s="25"/>
      <c r="BK40" s="25"/>
      <c r="BM40" s="25"/>
      <c r="BN40" s="25"/>
      <c r="BO40" s="25"/>
      <c r="BP40" s="25"/>
      <c r="BQ40" s="25"/>
      <c r="BR40" s="25"/>
      <c r="BU40" s="25"/>
      <c r="BV40" s="25"/>
      <c r="BW40" s="25"/>
      <c r="BX40" s="25"/>
      <c r="BY40" s="25"/>
      <c r="BZ40" s="25"/>
      <c r="CB40" s="25"/>
      <c r="CC40" s="25"/>
      <c r="CD40" s="25"/>
      <c r="CE40" s="25"/>
      <c r="CF40" s="25"/>
      <c r="CG40" s="25"/>
    </row>
    <row r="41" spans="1:88" ht="14" customHeight="1">
      <c r="A41" s="85" t="s">
        <v>174</v>
      </c>
      <c r="B41" s="216">
        <v>0</v>
      </c>
      <c r="C41" s="216">
        <v>0</v>
      </c>
      <c r="D41" s="38">
        <f t="shared" si="58"/>
        <v>0</v>
      </c>
      <c r="E41" s="75">
        <f>E9</f>
        <v>1</v>
      </c>
      <c r="F41" s="26">
        <v>1.4</v>
      </c>
      <c r="G41" s="22">
        <f t="shared" si="59"/>
        <v>1.65</v>
      </c>
      <c r="H41" s="24">
        <f t="shared" si="51"/>
        <v>1.4</v>
      </c>
      <c r="I41" s="39">
        <f t="shared" si="52"/>
        <v>0</v>
      </c>
      <c r="J41" s="38">
        <f t="shared" si="53"/>
        <v>0</v>
      </c>
      <c r="K41" s="40">
        <f t="shared" si="54"/>
        <v>0</v>
      </c>
      <c r="L41" s="22">
        <f t="shared" si="55"/>
        <v>0</v>
      </c>
      <c r="M41" s="24">
        <f t="shared" si="56"/>
        <v>0</v>
      </c>
      <c r="N41" s="2"/>
      <c r="O41" s="2"/>
      <c r="P41" s="2"/>
      <c r="Q41" s="59"/>
      <c r="R41" s="252"/>
      <c r="S41" s="252"/>
      <c r="T41" s="253"/>
      <c r="U41" s="56"/>
      <c r="V41" s="56"/>
      <c r="W41" s="115"/>
      <c r="X41" s="118">
        <v>1</v>
      </c>
      <c r="Y41" s="110"/>
      <c r="Z41" s="122">
        <f>Z11</f>
        <v>0</v>
      </c>
      <c r="AA41" s="147">
        <f t="shared" si="64"/>
        <v>0</v>
      </c>
      <c r="AB41" s="122">
        <f>AB11</f>
        <v>0</v>
      </c>
      <c r="AC41" s="147">
        <f t="shared" si="65"/>
        <v>0</v>
      </c>
      <c r="AD41" s="122">
        <f>AD11</f>
        <v>0</v>
      </c>
      <c r="AE41" s="147">
        <f t="shared" si="66"/>
        <v>0</v>
      </c>
      <c r="AF41" s="122">
        <f t="shared" si="57"/>
        <v>1</v>
      </c>
      <c r="AG41" s="147">
        <f t="shared" si="60"/>
        <v>0</v>
      </c>
      <c r="AH41" s="123">
        <f t="shared" si="61"/>
        <v>1</v>
      </c>
      <c r="AI41" s="112">
        <f t="shared" si="61"/>
        <v>0</v>
      </c>
      <c r="AJ41" s="148">
        <f t="shared" si="62"/>
        <v>0</v>
      </c>
      <c r="AK41" s="147">
        <f t="shared" si="63"/>
        <v>0</v>
      </c>
      <c r="AP41" s="25"/>
      <c r="AQ41" s="25"/>
      <c r="AR41" s="25"/>
      <c r="AS41" s="25"/>
      <c r="AT41" s="25"/>
      <c r="AU41" s="25"/>
      <c r="AW41" s="25"/>
      <c r="AX41" s="25"/>
      <c r="AY41" s="25"/>
      <c r="AZ41" s="25"/>
      <c r="BA41" s="25"/>
      <c r="BB41" s="25"/>
      <c r="BF41" s="25"/>
      <c r="BG41" s="25"/>
      <c r="BH41" s="25"/>
      <c r="BI41" s="25"/>
      <c r="BJ41" s="25"/>
      <c r="BK41" s="25"/>
      <c r="BM41" s="25"/>
      <c r="BN41" s="25"/>
      <c r="BO41" s="25"/>
      <c r="BP41" s="25"/>
      <c r="BQ41" s="25"/>
      <c r="BR41" s="25"/>
      <c r="BU41" s="25"/>
      <c r="BV41" s="25"/>
      <c r="BW41" s="25"/>
      <c r="BX41" s="25"/>
      <c r="BY41" s="25"/>
      <c r="BZ41" s="25"/>
      <c r="CB41" s="25"/>
      <c r="CC41" s="25"/>
      <c r="CD41" s="25"/>
      <c r="CE41" s="25"/>
      <c r="CF41" s="25"/>
      <c r="CG41" s="25"/>
    </row>
    <row r="42" spans="1:88" ht="14" customHeight="1">
      <c r="A42" s="85" t="s">
        <v>151</v>
      </c>
      <c r="B42" s="216">
        <v>100</v>
      </c>
      <c r="C42" s="216">
        <v>-100</v>
      </c>
      <c r="D42" s="38">
        <f t="shared" si="58"/>
        <v>0</v>
      </c>
      <c r="E42" s="75">
        <f>E11</f>
        <v>1.0900000000000001</v>
      </c>
      <c r="F42" s="26">
        <v>1.4</v>
      </c>
      <c r="G42" s="22">
        <f t="shared" si="59"/>
        <v>1.65</v>
      </c>
      <c r="H42" s="24">
        <f t="shared" si="51"/>
        <v>1.526</v>
      </c>
      <c r="I42" s="39">
        <f t="shared" si="52"/>
        <v>0</v>
      </c>
      <c r="J42" s="38">
        <f t="shared" si="53"/>
        <v>0</v>
      </c>
      <c r="K42" s="40">
        <f t="shared" si="54"/>
        <v>1.7926447784739215E-3</v>
      </c>
      <c r="L42" s="22">
        <f t="shared" si="55"/>
        <v>2.7355759319512042E-3</v>
      </c>
      <c r="M42" s="24">
        <f t="shared" si="56"/>
        <v>0</v>
      </c>
      <c r="N42" s="2"/>
      <c r="O42" s="2"/>
      <c r="P42" s="56"/>
      <c r="Q42" s="41"/>
      <c r="R42" s="41"/>
      <c r="S42" s="254"/>
      <c r="T42" s="254"/>
      <c r="U42" s="56"/>
      <c r="V42" s="56"/>
      <c r="W42" s="115"/>
      <c r="X42" s="118"/>
      <c r="Y42" s="110"/>
      <c r="Z42" s="116">
        <v>0.25</v>
      </c>
      <c r="AA42" s="147">
        <f t="shared" si="64"/>
        <v>0</v>
      </c>
      <c r="AB42" s="116">
        <v>0</v>
      </c>
      <c r="AC42" s="147">
        <f t="shared" si="65"/>
        <v>0</v>
      </c>
      <c r="AD42" s="116">
        <v>0.5</v>
      </c>
      <c r="AE42" s="147">
        <f t="shared" si="66"/>
        <v>0</v>
      </c>
      <c r="AF42" s="122">
        <f t="shared" si="57"/>
        <v>0.25</v>
      </c>
      <c r="AG42" s="147">
        <f t="shared" si="60"/>
        <v>0</v>
      </c>
      <c r="AH42" s="123">
        <f t="shared" si="61"/>
        <v>1</v>
      </c>
      <c r="AI42" s="112">
        <f t="shared" si="61"/>
        <v>0</v>
      </c>
      <c r="AJ42" s="148">
        <f t="shared" si="62"/>
        <v>0</v>
      </c>
      <c r="AK42" s="147">
        <f t="shared" si="63"/>
        <v>0</v>
      </c>
      <c r="AP42" s="25"/>
      <c r="AQ42" s="25"/>
      <c r="AR42" s="25"/>
      <c r="AS42" s="25"/>
      <c r="AT42" s="25"/>
      <c r="AU42" s="25"/>
      <c r="AW42" s="25"/>
      <c r="AX42" s="25"/>
      <c r="AY42" s="25"/>
      <c r="AZ42" s="25"/>
      <c r="BA42" s="25"/>
      <c r="BB42" s="25"/>
      <c r="BF42" s="25"/>
      <c r="BG42" s="25"/>
      <c r="BH42" s="25"/>
      <c r="BI42" s="25"/>
      <c r="BJ42" s="25"/>
      <c r="BK42" s="25"/>
      <c r="BM42" s="25"/>
      <c r="BN42" s="25"/>
      <c r="BO42" s="25"/>
      <c r="BP42" s="25"/>
      <c r="BQ42" s="25"/>
      <c r="BR42" s="25"/>
      <c r="BU42" s="25"/>
      <c r="BV42" s="25"/>
      <c r="BW42" s="25"/>
      <c r="BX42" s="25"/>
      <c r="BY42" s="25"/>
      <c r="BZ42" s="25"/>
      <c r="CB42" s="25"/>
      <c r="CC42" s="25"/>
      <c r="CD42" s="25"/>
      <c r="CE42" s="25"/>
      <c r="CF42" s="25"/>
      <c r="CG42" s="25"/>
    </row>
    <row r="43" spans="1:88" ht="14" customHeight="1">
      <c r="A43" s="85" t="s">
        <v>152</v>
      </c>
      <c r="B43" s="216">
        <v>266.66666666666669</v>
      </c>
      <c r="C43" s="216">
        <v>-266.66666666666669</v>
      </c>
      <c r="D43" s="38">
        <f t="shared" si="58"/>
        <v>0</v>
      </c>
      <c r="E43" s="75">
        <f>E12</f>
        <v>1.0900000000000001</v>
      </c>
      <c r="F43" s="26">
        <v>1.4</v>
      </c>
      <c r="G43" s="22">
        <f t="shared" si="59"/>
        <v>1.65</v>
      </c>
      <c r="H43" s="24">
        <f t="shared" si="51"/>
        <v>1.526</v>
      </c>
      <c r="I43" s="39">
        <f t="shared" si="52"/>
        <v>0</v>
      </c>
      <c r="J43" s="38">
        <f t="shared" si="53"/>
        <v>0</v>
      </c>
      <c r="K43" s="40">
        <f t="shared" si="54"/>
        <v>4.7803860759304574E-3</v>
      </c>
      <c r="L43" s="22">
        <f t="shared" si="55"/>
        <v>7.2948691518698785E-3</v>
      </c>
      <c r="M43" s="24">
        <f t="shared" si="56"/>
        <v>0</v>
      </c>
      <c r="N43" s="2"/>
      <c r="O43" s="2"/>
      <c r="P43" s="59"/>
      <c r="Q43" s="41"/>
      <c r="R43" s="41"/>
      <c r="S43" s="221"/>
      <c r="T43" s="221"/>
      <c r="U43" s="56"/>
      <c r="V43" s="56"/>
      <c r="W43" s="115"/>
      <c r="X43" s="118"/>
      <c r="Y43" s="110"/>
      <c r="Z43" s="116">
        <v>0.25</v>
      </c>
      <c r="AA43" s="147">
        <f t="shared" si="64"/>
        <v>0</v>
      </c>
      <c r="AB43" s="116">
        <v>0.25</v>
      </c>
      <c r="AC43" s="147">
        <f t="shared" si="65"/>
        <v>0</v>
      </c>
      <c r="AD43" s="116">
        <v>0.25</v>
      </c>
      <c r="AE43" s="147">
        <f t="shared" si="66"/>
        <v>0</v>
      </c>
      <c r="AF43" s="122">
        <f t="shared" si="57"/>
        <v>0.25</v>
      </c>
      <c r="AG43" s="147">
        <f t="shared" si="60"/>
        <v>0</v>
      </c>
      <c r="AH43" s="123">
        <f t="shared" si="61"/>
        <v>1</v>
      </c>
      <c r="AI43" s="112">
        <f t="shared" si="61"/>
        <v>0</v>
      </c>
      <c r="AJ43" s="148">
        <f t="shared" si="62"/>
        <v>0</v>
      </c>
      <c r="AK43" s="147">
        <f t="shared" si="63"/>
        <v>0</v>
      </c>
      <c r="AP43" s="25"/>
      <c r="AQ43" s="25"/>
      <c r="AR43" s="25"/>
      <c r="AS43" s="25"/>
      <c r="AT43" s="25"/>
      <c r="AU43" s="25"/>
      <c r="AW43" s="25"/>
      <c r="AX43" s="25"/>
      <c r="AY43" s="25"/>
      <c r="AZ43" s="25"/>
      <c r="BA43" s="25"/>
      <c r="BB43" s="25"/>
      <c r="BF43" s="25"/>
      <c r="BG43" s="25"/>
      <c r="BH43" s="25"/>
      <c r="BI43" s="25"/>
      <c r="BJ43" s="25"/>
      <c r="BK43" s="25"/>
      <c r="BM43" s="25"/>
      <c r="BN43" s="25"/>
      <c r="BO43" s="25"/>
      <c r="BP43" s="25"/>
      <c r="BQ43" s="25"/>
      <c r="BR43" s="25"/>
      <c r="BU43" s="25"/>
      <c r="BV43" s="25"/>
      <c r="BW43" s="25"/>
      <c r="BX43" s="25"/>
      <c r="BY43" s="25"/>
      <c r="BZ43" s="25"/>
      <c r="CB43" s="25"/>
      <c r="CC43" s="25"/>
      <c r="CD43" s="25"/>
      <c r="CE43" s="25"/>
      <c r="CF43" s="25"/>
      <c r="CG43" s="25"/>
    </row>
    <row r="44" spans="1:88" ht="14" customHeight="1">
      <c r="A44" s="85" t="s">
        <v>153</v>
      </c>
      <c r="B44" s="216">
        <v>0</v>
      </c>
      <c r="C44" s="216">
        <v>0</v>
      </c>
      <c r="D44" s="38">
        <f t="shared" si="58"/>
        <v>0</v>
      </c>
      <c r="E44" s="75">
        <f>E13</f>
        <v>1</v>
      </c>
      <c r="F44" s="26">
        <v>1.4</v>
      </c>
      <c r="G44" s="22">
        <f t="shared" si="59"/>
        <v>1.65</v>
      </c>
      <c r="H44" s="24">
        <f t="shared" si="51"/>
        <v>1.4</v>
      </c>
      <c r="I44" s="39">
        <f t="shared" si="52"/>
        <v>0</v>
      </c>
      <c r="J44" s="38">
        <f t="shared" si="53"/>
        <v>0</v>
      </c>
      <c r="K44" s="40">
        <f t="shared" si="54"/>
        <v>0</v>
      </c>
      <c r="L44" s="22">
        <f t="shared" si="55"/>
        <v>0</v>
      </c>
      <c r="M44" s="24">
        <f t="shared" si="56"/>
        <v>0</v>
      </c>
      <c r="N44" s="2"/>
      <c r="O44" s="2"/>
      <c r="P44" s="2"/>
      <c r="Q44" s="255"/>
      <c r="R44" s="41"/>
      <c r="S44" s="41"/>
      <c r="T44" s="253"/>
      <c r="U44" s="56"/>
      <c r="V44" s="56"/>
      <c r="W44" s="117"/>
      <c r="X44" s="118"/>
      <c r="Y44" s="110"/>
      <c r="Z44" s="116">
        <v>0.25</v>
      </c>
      <c r="AA44" s="147">
        <f t="shared" si="64"/>
        <v>0</v>
      </c>
      <c r="AB44" s="116">
        <v>0.25</v>
      </c>
      <c r="AC44" s="147">
        <f t="shared" si="65"/>
        <v>0</v>
      </c>
      <c r="AD44" s="116">
        <v>0.25</v>
      </c>
      <c r="AE44" s="147">
        <f t="shared" si="66"/>
        <v>0</v>
      </c>
      <c r="AF44" s="122">
        <f t="shared" si="57"/>
        <v>0.25</v>
      </c>
      <c r="AG44" s="147">
        <f t="shared" si="60"/>
        <v>0</v>
      </c>
      <c r="AH44" s="123">
        <f t="shared" si="61"/>
        <v>1</v>
      </c>
      <c r="AI44" s="112">
        <f t="shared" si="61"/>
        <v>0</v>
      </c>
      <c r="AJ44" s="148">
        <f t="shared" si="62"/>
        <v>0</v>
      </c>
      <c r="AK44" s="147">
        <f t="shared" si="63"/>
        <v>0</v>
      </c>
      <c r="AP44" s="25"/>
      <c r="AQ44" s="25"/>
      <c r="AR44" s="25"/>
      <c r="AS44" s="25"/>
      <c r="AT44" s="25"/>
      <c r="AU44" s="25"/>
      <c r="AW44" s="25"/>
      <c r="AX44" s="25"/>
      <c r="AY44" s="25"/>
      <c r="AZ44" s="25"/>
      <c r="BA44" s="25"/>
      <c r="BB44" s="25"/>
      <c r="BF44" s="25"/>
      <c r="BG44" s="25"/>
      <c r="BH44" s="25"/>
      <c r="BI44" s="25"/>
      <c r="BJ44" s="25"/>
      <c r="BK44" s="25"/>
      <c r="BM44" s="25"/>
      <c r="BN44" s="25"/>
      <c r="BO44" s="25"/>
      <c r="BP44" s="25"/>
      <c r="BQ44" s="25"/>
      <c r="BR44" s="25"/>
      <c r="BU44" s="25"/>
      <c r="BV44" s="25"/>
      <c r="BW44" s="25"/>
      <c r="BX44" s="25"/>
      <c r="BY44" s="25"/>
      <c r="BZ44" s="25"/>
      <c r="CB44" s="25"/>
      <c r="CC44" s="25"/>
      <c r="CD44" s="25"/>
      <c r="CE44" s="25"/>
      <c r="CF44" s="25"/>
      <c r="CG44" s="25"/>
    </row>
    <row r="45" spans="1:88" ht="14" customHeight="1">
      <c r="A45" s="85" t="s">
        <v>155</v>
      </c>
      <c r="B45" s="216">
        <v>0</v>
      </c>
      <c r="C45" s="216">
        <v>0</v>
      </c>
      <c r="D45" s="38">
        <f t="shared" si="58"/>
        <v>0</v>
      </c>
      <c r="E45" s="75">
        <f>E15</f>
        <v>1</v>
      </c>
      <c r="F45" s="26">
        <v>1.4</v>
      </c>
      <c r="G45" s="22">
        <f t="shared" si="59"/>
        <v>1.65</v>
      </c>
      <c r="H45" s="24">
        <f t="shared" si="51"/>
        <v>1.4</v>
      </c>
      <c r="I45" s="39">
        <f t="shared" si="52"/>
        <v>0</v>
      </c>
      <c r="J45" s="38">
        <f t="shared" si="53"/>
        <v>0</v>
      </c>
      <c r="K45" s="40">
        <f t="shared" si="54"/>
        <v>0</v>
      </c>
      <c r="L45" s="22">
        <f t="shared" si="55"/>
        <v>0</v>
      </c>
      <c r="M45" s="24">
        <f t="shared" si="56"/>
        <v>0</v>
      </c>
      <c r="N45" s="2"/>
      <c r="O45" s="2"/>
      <c r="P45" s="56"/>
      <c r="Q45" s="255"/>
      <c r="S45" s="41"/>
      <c r="U45" s="56"/>
      <c r="V45" s="56"/>
      <c r="W45" s="110"/>
      <c r="X45" s="118"/>
      <c r="Y45" s="110"/>
      <c r="Z45" s="116">
        <v>0.25</v>
      </c>
      <c r="AA45" s="147">
        <f t="shared" si="64"/>
        <v>0</v>
      </c>
      <c r="AB45" s="116">
        <v>0.25</v>
      </c>
      <c r="AC45" s="147">
        <f t="shared" si="65"/>
        <v>0</v>
      </c>
      <c r="AD45" s="116">
        <v>0.25</v>
      </c>
      <c r="AE45" s="147">
        <f t="shared" si="66"/>
        <v>0</v>
      </c>
      <c r="AF45" s="122">
        <f t="shared" si="57"/>
        <v>0.25</v>
      </c>
      <c r="AG45" s="147">
        <f t="shared" si="60"/>
        <v>0</v>
      </c>
      <c r="AH45" s="123">
        <f t="shared" si="61"/>
        <v>1</v>
      </c>
      <c r="AI45" s="112">
        <f t="shared" si="61"/>
        <v>0</v>
      </c>
      <c r="AJ45" s="148">
        <f t="shared" si="62"/>
        <v>0</v>
      </c>
      <c r="AK45" s="147">
        <f t="shared" si="63"/>
        <v>0</v>
      </c>
      <c r="AP45" s="25"/>
      <c r="AQ45" s="25"/>
      <c r="AR45" s="25"/>
      <c r="AS45" s="25"/>
      <c r="AT45" s="25"/>
      <c r="AU45" s="25"/>
      <c r="AW45" s="25"/>
      <c r="AX45" s="25"/>
      <c r="AY45" s="25"/>
      <c r="AZ45" s="25"/>
      <c r="BA45" s="25"/>
      <c r="BB45" s="25"/>
      <c r="BF45" s="25"/>
      <c r="BG45" s="25"/>
      <c r="BH45" s="25"/>
      <c r="BI45" s="25"/>
      <c r="BJ45" s="25"/>
      <c r="BK45" s="25"/>
      <c r="BM45" s="25"/>
      <c r="BN45" s="25"/>
      <c r="BO45" s="25"/>
      <c r="BP45" s="25"/>
      <c r="BQ45" s="25"/>
      <c r="BR45" s="25"/>
      <c r="BU45" s="25"/>
      <c r="BV45" s="25"/>
      <c r="BW45" s="25"/>
      <c r="BX45" s="25"/>
      <c r="BY45" s="25"/>
      <c r="BZ45" s="25"/>
      <c r="CB45" s="25"/>
      <c r="CC45" s="25"/>
      <c r="CD45" s="25"/>
      <c r="CE45" s="25"/>
      <c r="CF45" s="25"/>
      <c r="CG45" s="25"/>
    </row>
    <row r="46" spans="1:88" ht="14" customHeight="1">
      <c r="A46" s="85" t="s">
        <v>156</v>
      </c>
      <c r="B46" s="216">
        <v>333.33333333333331</v>
      </c>
      <c r="C46" s="216">
        <v>-333.33333333333331</v>
      </c>
      <c r="D46" s="38">
        <f t="shared" si="58"/>
        <v>0</v>
      </c>
      <c r="E46" s="75">
        <f>E16</f>
        <v>1</v>
      </c>
      <c r="F46" s="26">
        <v>1.4</v>
      </c>
      <c r="G46" s="22">
        <f t="shared" si="59"/>
        <v>1.65</v>
      </c>
      <c r="H46" s="24">
        <f t="shared" si="51"/>
        <v>1.4</v>
      </c>
      <c r="I46" s="39">
        <f t="shared" si="52"/>
        <v>0</v>
      </c>
      <c r="J46" s="38">
        <f t="shared" si="53"/>
        <v>0</v>
      </c>
      <c r="K46" s="40">
        <f t="shared" si="54"/>
        <v>5.9754825949130709E-3</v>
      </c>
      <c r="L46" s="22">
        <f t="shared" si="55"/>
        <v>8.3656756328782979E-3</v>
      </c>
      <c r="M46" s="24">
        <f t="shared" si="56"/>
        <v>0</v>
      </c>
      <c r="N46" s="2"/>
      <c r="O46" s="2"/>
      <c r="P46" s="2"/>
      <c r="Q46" s="255"/>
      <c r="S46" s="41"/>
      <c r="U46" s="56"/>
      <c r="V46" s="56"/>
      <c r="W46" s="110"/>
      <c r="X46" s="118"/>
      <c r="Y46" s="110"/>
      <c r="Z46" s="116">
        <v>0.25</v>
      </c>
      <c r="AA46" s="147">
        <f t="shared" si="64"/>
        <v>0</v>
      </c>
      <c r="AB46" s="116">
        <v>0.25</v>
      </c>
      <c r="AC46" s="147">
        <f t="shared" si="65"/>
        <v>0</v>
      </c>
      <c r="AD46" s="116">
        <v>0.25</v>
      </c>
      <c r="AE46" s="147">
        <f t="shared" si="66"/>
        <v>0</v>
      </c>
      <c r="AF46" s="122">
        <f t="shared" si="57"/>
        <v>0.25</v>
      </c>
      <c r="AG46" s="147">
        <f t="shared" si="60"/>
        <v>0</v>
      </c>
      <c r="AH46" s="123">
        <f t="shared" si="61"/>
        <v>1</v>
      </c>
      <c r="AI46" s="112">
        <f t="shared" si="61"/>
        <v>0</v>
      </c>
      <c r="AJ46" s="148">
        <f t="shared" si="62"/>
        <v>0</v>
      </c>
      <c r="AK46" s="147">
        <f t="shared" si="63"/>
        <v>0</v>
      </c>
      <c r="AP46" s="25"/>
      <c r="AQ46" s="25"/>
      <c r="AR46" s="25"/>
      <c r="AS46" s="25"/>
      <c r="AT46" s="25"/>
      <c r="AU46" s="25"/>
      <c r="AW46" s="25"/>
      <c r="AX46" s="25"/>
      <c r="AY46" s="25"/>
      <c r="AZ46" s="25"/>
      <c r="BA46" s="25"/>
      <c r="BB46" s="25"/>
      <c r="BF46" s="25"/>
      <c r="BG46" s="25"/>
      <c r="BH46" s="25"/>
      <c r="BI46" s="25"/>
      <c r="BJ46" s="25"/>
      <c r="BK46" s="25"/>
      <c r="BM46" s="25"/>
      <c r="BN46" s="25"/>
      <c r="BO46" s="25"/>
      <c r="BP46" s="25"/>
      <c r="BQ46" s="25"/>
      <c r="BR46" s="25"/>
      <c r="BU46" s="25"/>
      <c r="BV46" s="25"/>
      <c r="BW46" s="25"/>
      <c r="BX46" s="25"/>
      <c r="BY46" s="25"/>
      <c r="BZ46" s="25"/>
      <c r="CB46" s="25"/>
      <c r="CC46" s="25"/>
      <c r="CD46" s="25"/>
      <c r="CE46" s="25"/>
      <c r="CF46" s="25"/>
      <c r="CG46" s="25"/>
    </row>
    <row r="47" spans="1:88" ht="14" customHeight="1">
      <c r="A47" s="85" t="s">
        <v>158</v>
      </c>
      <c r="B47" s="216">
        <v>300</v>
      </c>
      <c r="C47" s="216">
        <v>-300</v>
      </c>
      <c r="D47" s="38">
        <f t="shared" si="58"/>
        <v>0</v>
      </c>
      <c r="E47" s="75">
        <f>E18</f>
        <v>1</v>
      </c>
      <c r="F47" s="26">
        <v>1.4</v>
      </c>
      <c r="G47" s="22">
        <f t="shared" si="59"/>
        <v>1.65</v>
      </c>
      <c r="H47" s="24">
        <f t="shared" si="51"/>
        <v>1.4</v>
      </c>
      <c r="I47" s="39">
        <f t="shared" si="52"/>
        <v>0</v>
      </c>
      <c r="J47" s="38">
        <f t="shared" si="53"/>
        <v>0</v>
      </c>
      <c r="K47" s="40">
        <f t="shared" si="54"/>
        <v>5.3779343354217642E-3</v>
      </c>
      <c r="L47" s="22">
        <f t="shared" si="55"/>
        <v>7.5291080695904693E-3</v>
      </c>
      <c r="M47" s="24">
        <f t="shared" si="56"/>
        <v>0</v>
      </c>
      <c r="N47" s="2"/>
      <c r="O47" s="2"/>
      <c r="P47" s="59"/>
      <c r="R47" s="243"/>
      <c r="U47" s="56"/>
      <c r="V47" s="56"/>
      <c r="W47" s="110"/>
      <c r="X47" s="118"/>
      <c r="Y47" s="110"/>
      <c r="Z47" s="116">
        <v>0.25</v>
      </c>
      <c r="AA47" s="147">
        <f t="shared" si="64"/>
        <v>0</v>
      </c>
      <c r="AB47" s="116">
        <v>0.25</v>
      </c>
      <c r="AC47" s="147">
        <f t="shared" si="65"/>
        <v>0</v>
      </c>
      <c r="AD47" s="116">
        <v>0.25</v>
      </c>
      <c r="AE47" s="147">
        <f t="shared" si="66"/>
        <v>0</v>
      </c>
      <c r="AF47" s="122">
        <f t="shared" si="57"/>
        <v>0.25</v>
      </c>
      <c r="AG47" s="147">
        <f t="shared" si="60"/>
        <v>0</v>
      </c>
      <c r="AH47" s="123">
        <f t="shared" si="61"/>
        <v>1</v>
      </c>
      <c r="AI47" s="112">
        <f t="shared" si="61"/>
        <v>0</v>
      </c>
      <c r="AJ47" s="148">
        <f t="shared" si="62"/>
        <v>0</v>
      </c>
      <c r="AK47" s="147">
        <f t="shared" si="63"/>
        <v>0</v>
      </c>
      <c r="AP47" s="25"/>
      <c r="AQ47" s="25"/>
      <c r="AR47" s="25"/>
      <c r="AS47" s="25"/>
      <c r="AT47" s="25"/>
      <c r="AU47" s="25"/>
      <c r="AW47" s="25"/>
      <c r="AX47" s="25"/>
      <c r="AY47" s="25"/>
      <c r="AZ47" s="25"/>
      <c r="BA47" s="25"/>
      <c r="BB47" s="25"/>
      <c r="BF47" s="25"/>
      <c r="BG47" s="25"/>
      <c r="BH47" s="25"/>
      <c r="BI47" s="25"/>
      <c r="BJ47" s="25"/>
      <c r="BK47" s="25"/>
      <c r="BM47" s="25"/>
      <c r="BN47" s="25"/>
      <c r="BO47" s="25"/>
      <c r="BP47" s="25"/>
      <c r="BQ47" s="25"/>
      <c r="BR47" s="25"/>
      <c r="BU47" s="25"/>
      <c r="BV47" s="25"/>
      <c r="BW47" s="25"/>
      <c r="BX47" s="25"/>
      <c r="BY47" s="25"/>
      <c r="BZ47" s="25"/>
      <c r="CB47" s="25"/>
      <c r="CC47" s="25"/>
      <c r="CD47" s="25"/>
      <c r="CE47" s="25"/>
      <c r="CF47" s="25"/>
      <c r="CG47" s="25"/>
    </row>
    <row r="48" spans="1:88" ht="14" customHeight="1">
      <c r="A48" s="85" t="s">
        <v>159</v>
      </c>
      <c r="B48" s="216">
        <v>58.333333333333336</v>
      </c>
      <c r="C48" s="216">
        <v>-58.333333333333336</v>
      </c>
      <c r="D48" s="38">
        <f>SUM(B48,C48)</f>
        <v>0</v>
      </c>
      <c r="E48" s="75">
        <f>E19</f>
        <v>1</v>
      </c>
      <c r="F48" s="26">
        <v>1.4</v>
      </c>
      <c r="G48" s="22">
        <f t="shared" si="59"/>
        <v>1.65</v>
      </c>
      <c r="H48" s="24">
        <f t="shared" si="51"/>
        <v>1.4</v>
      </c>
      <c r="I48" s="39">
        <f t="shared" si="52"/>
        <v>0</v>
      </c>
      <c r="J48" s="38">
        <f t="shared" si="53"/>
        <v>0</v>
      </c>
      <c r="K48" s="40">
        <f t="shared" si="54"/>
        <v>1.0457094541097877E-3</v>
      </c>
      <c r="L48" s="22">
        <f t="shared" si="55"/>
        <v>1.4639932357537026E-3</v>
      </c>
      <c r="M48" s="24">
        <f t="shared" si="56"/>
        <v>0</v>
      </c>
      <c r="N48" s="2"/>
      <c r="O48" s="2"/>
      <c r="P48" s="59"/>
      <c r="Q48" s="255"/>
      <c r="R48" s="252"/>
      <c r="S48" s="41"/>
      <c r="T48" s="29"/>
      <c r="U48" s="56"/>
      <c r="V48" s="56"/>
      <c r="W48" s="110"/>
      <c r="X48" s="118"/>
      <c r="Y48" s="110"/>
      <c r="Z48" s="116">
        <v>0.25</v>
      </c>
      <c r="AA48" s="147">
        <f t="shared" si="64"/>
        <v>0</v>
      </c>
      <c r="AB48" s="116">
        <v>0.25</v>
      </c>
      <c r="AC48" s="147">
        <f t="shared" si="65"/>
        <v>0</v>
      </c>
      <c r="AD48" s="116">
        <v>0.25</v>
      </c>
      <c r="AE48" s="147">
        <f t="shared" si="66"/>
        <v>0</v>
      </c>
      <c r="AF48" s="122">
        <f t="shared" si="57"/>
        <v>0.25</v>
      </c>
      <c r="AG48" s="147">
        <f t="shared" si="60"/>
        <v>0</v>
      </c>
      <c r="AH48" s="123">
        <f t="shared" si="61"/>
        <v>1</v>
      </c>
      <c r="AI48" s="112">
        <f t="shared" si="61"/>
        <v>0</v>
      </c>
      <c r="AJ48" s="148">
        <f t="shared" si="62"/>
        <v>0</v>
      </c>
      <c r="AK48" s="147">
        <f t="shared" si="63"/>
        <v>0</v>
      </c>
      <c r="AP48" s="25"/>
      <c r="AQ48" s="25"/>
      <c r="AR48" s="25"/>
      <c r="AS48" s="25"/>
      <c r="AT48" s="25"/>
      <c r="AU48" s="25"/>
      <c r="AW48" s="25"/>
      <c r="AX48" s="25"/>
      <c r="AY48" s="25"/>
      <c r="AZ48" s="25"/>
      <c r="BA48" s="25"/>
      <c r="BB48" s="25"/>
      <c r="BF48" s="25"/>
      <c r="BG48" s="25"/>
      <c r="BH48" s="25"/>
      <c r="BI48" s="25"/>
      <c r="BJ48" s="25"/>
      <c r="BK48" s="25"/>
      <c r="BM48" s="25"/>
      <c r="BN48" s="25"/>
      <c r="BO48" s="25"/>
      <c r="BP48" s="25"/>
      <c r="BQ48" s="25"/>
      <c r="BR48" s="25"/>
      <c r="BU48" s="25"/>
      <c r="BV48" s="25"/>
      <c r="BW48" s="25"/>
      <c r="BX48" s="25"/>
      <c r="BY48" s="25"/>
      <c r="BZ48" s="25"/>
      <c r="CB48" s="25"/>
      <c r="CC48" s="25"/>
      <c r="CD48" s="25"/>
      <c r="CE48" s="25"/>
      <c r="CF48" s="25"/>
      <c r="CG48" s="25"/>
    </row>
    <row r="49" spans="1:85" ht="14" customHeight="1">
      <c r="A49" s="85" t="s">
        <v>175</v>
      </c>
      <c r="B49" s="216">
        <v>333.33333333333331</v>
      </c>
      <c r="C49" s="216">
        <v>-333.33333333333331</v>
      </c>
      <c r="D49" s="38">
        <f t="shared" ref="D49:D64" si="67">SUM(B49,C49)</f>
        <v>0</v>
      </c>
      <c r="E49" s="26">
        <v>1</v>
      </c>
      <c r="F49" s="26">
        <v>1.4</v>
      </c>
      <c r="G49" s="22">
        <f t="shared" si="59"/>
        <v>1.65</v>
      </c>
      <c r="H49" s="24">
        <f t="shared" si="51"/>
        <v>1.4</v>
      </c>
      <c r="I49" s="39">
        <f t="shared" si="52"/>
        <v>0</v>
      </c>
      <c r="J49" s="38">
        <f t="shared" si="53"/>
        <v>0</v>
      </c>
      <c r="K49" s="40">
        <f t="shared" si="54"/>
        <v>5.9754825949130709E-3</v>
      </c>
      <c r="L49" s="22">
        <f t="shared" si="55"/>
        <v>8.3656756328782979E-3</v>
      </c>
      <c r="M49" s="24">
        <f t="shared" si="56"/>
        <v>0</v>
      </c>
      <c r="N49" s="2"/>
      <c r="O49" s="2"/>
      <c r="P49" s="56"/>
      <c r="Q49" s="255"/>
      <c r="R49" s="252"/>
      <c r="S49" s="41"/>
      <c r="T49" s="29"/>
      <c r="U49" s="56"/>
      <c r="V49" s="56"/>
      <c r="W49" s="110"/>
      <c r="X49" s="118"/>
      <c r="Y49" s="110"/>
      <c r="Z49" s="116">
        <v>0.25</v>
      </c>
      <c r="AA49" s="147">
        <f t="shared" si="64"/>
        <v>0</v>
      </c>
      <c r="AB49" s="116">
        <v>0.25</v>
      </c>
      <c r="AC49" s="147">
        <f t="shared" si="65"/>
        <v>0</v>
      </c>
      <c r="AD49" s="116">
        <v>0.25</v>
      </c>
      <c r="AE49" s="147">
        <f t="shared" si="66"/>
        <v>0</v>
      </c>
      <c r="AF49" s="122">
        <f t="shared" si="57"/>
        <v>0.25</v>
      </c>
      <c r="AG49" s="147">
        <f t="shared" si="60"/>
        <v>0</v>
      </c>
      <c r="AH49" s="123">
        <f t="shared" si="61"/>
        <v>1</v>
      </c>
      <c r="AI49" s="112">
        <f t="shared" si="61"/>
        <v>0</v>
      </c>
      <c r="AJ49" s="148">
        <f t="shared" si="62"/>
        <v>0</v>
      </c>
      <c r="AK49" s="147">
        <f t="shared" si="63"/>
        <v>0</v>
      </c>
      <c r="AP49" s="25"/>
      <c r="AQ49" s="25"/>
      <c r="AR49" s="25"/>
      <c r="AS49" s="25"/>
      <c r="AT49" s="25"/>
      <c r="AU49" s="25"/>
      <c r="AW49" s="25"/>
      <c r="AX49" s="25"/>
      <c r="AY49" s="25"/>
      <c r="AZ49" s="25"/>
      <c r="BA49" s="25"/>
      <c r="BB49" s="25"/>
      <c r="BF49" s="25"/>
      <c r="BG49" s="25"/>
      <c r="BH49" s="25"/>
      <c r="BI49" s="25"/>
      <c r="BJ49" s="25"/>
      <c r="BK49" s="25"/>
      <c r="BM49" s="25"/>
      <c r="BN49" s="25"/>
      <c r="BO49" s="25"/>
      <c r="BP49" s="25"/>
      <c r="BQ49" s="25"/>
      <c r="BR49" s="25"/>
      <c r="BU49" s="25"/>
      <c r="BV49" s="25"/>
      <c r="BW49" s="25"/>
      <c r="BX49" s="25"/>
      <c r="BY49" s="25"/>
      <c r="BZ49" s="25"/>
      <c r="CB49" s="25"/>
      <c r="CC49" s="25"/>
      <c r="CD49" s="25"/>
      <c r="CE49" s="25"/>
      <c r="CF49" s="25"/>
      <c r="CG49" s="25"/>
    </row>
    <row r="50" spans="1:85" ht="14" customHeight="1">
      <c r="A50" s="85" t="s">
        <v>176</v>
      </c>
      <c r="B50" s="216">
        <v>0</v>
      </c>
      <c r="C50" s="216">
        <v>0</v>
      </c>
      <c r="D50" s="38">
        <f t="shared" si="67"/>
        <v>0</v>
      </c>
      <c r="E50" s="26">
        <v>1</v>
      </c>
      <c r="F50" s="26">
        <v>1.4</v>
      </c>
      <c r="G50" s="22">
        <f t="shared" si="59"/>
        <v>1.65</v>
      </c>
      <c r="H50" s="24">
        <f t="shared" ref="H50:H64" si="68">(E50*F50)</f>
        <v>1.4</v>
      </c>
      <c r="I50" s="39">
        <f t="shared" ref="I50:I64" si="69">D50*H50</f>
        <v>0</v>
      </c>
      <c r="J50" s="38">
        <f t="shared" ref="J50:J64" si="70">J104*I$83</f>
        <v>0</v>
      </c>
      <c r="K50" s="40">
        <f t="shared" ref="K50:K64" si="71">(B50/B$65)</f>
        <v>0</v>
      </c>
      <c r="L50" s="22">
        <f t="shared" ref="L50:L64" si="72">(K50*H50)</f>
        <v>0</v>
      </c>
      <c r="M50" s="24">
        <f t="shared" ref="M50:M64" si="73">J50/B$65</f>
        <v>0</v>
      </c>
      <c r="N50" s="2"/>
      <c r="P50" s="64"/>
      <c r="Q50" s="255"/>
      <c r="R50" s="252"/>
      <c r="S50" s="41"/>
      <c r="T50" s="29"/>
      <c r="U50" s="56"/>
      <c r="V50" s="56"/>
      <c r="W50" s="110"/>
      <c r="X50" s="118"/>
      <c r="Y50" s="110"/>
      <c r="Z50" s="116"/>
      <c r="AA50" s="147"/>
      <c r="AB50" s="116"/>
      <c r="AC50" s="147"/>
      <c r="AD50" s="116"/>
      <c r="AE50" s="147"/>
      <c r="AF50" s="122"/>
      <c r="AG50" s="147"/>
      <c r="AH50" s="123"/>
      <c r="AI50" s="112"/>
      <c r="AJ50" s="148"/>
      <c r="AK50" s="147"/>
      <c r="AP50" s="25"/>
      <c r="AQ50" s="25"/>
      <c r="AR50" s="25"/>
      <c r="AS50" s="25"/>
      <c r="AT50" s="25"/>
      <c r="AU50" s="25"/>
      <c r="AW50" s="25"/>
      <c r="AX50" s="25"/>
      <c r="AY50" s="25"/>
      <c r="AZ50" s="25"/>
      <c r="BA50" s="25"/>
      <c r="BB50" s="25"/>
      <c r="BF50" s="25"/>
      <c r="BG50" s="25"/>
      <c r="BH50" s="25"/>
      <c r="BI50" s="25"/>
      <c r="BJ50" s="25"/>
      <c r="BK50" s="25"/>
      <c r="BM50" s="25"/>
      <c r="BN50" s="25"/>
      <c r="BO50" s="25"/>
      <c r="BP50" s="25"/>
      <c r="BQ50" s="25"/>
      <c r="BR50" s="25"/>
      <c r="BU50" s="25"/>
      <c r="BV50" s="25"/>
      <c r="BW50" s="25"/>
      <c r="BX50" s="25"/>
      <c r="BY50" s="25"/>
      <c r="BZ50" s="25"/>
      <c r="CB50" s="25"/>
      <c r="CC50" s="25"/>
      <c r="CD50" s="25"/>
      <c r="CE50" s="25"/>
      <c r="CF50" s="25"/>
      <c r="CG50" s="25"/>
    </row>
    <row r="51" spans="1:85" ht="14" customHeight="1">
      <c r="A51" s="85" t="s">
        <v>157</v>
      </c>
      <c r="B51" s="216">
        <v>133.33333333333334</v>
      </c>
      <c r="C51" s="216">
        <v>-133.33333333333334</v>
      </c>
      <c r="D51" s="38">
        <f t="shared" si="67"/>
        <v>0</v>
      </c>
      <c r="E51" s="75">
        <f>E17</f>
        <v>1</v>
      </c>
      <c r="F51" s="26">
        <v>1.4</v>
      </c>
      <c r="G51" s="22">
        <f t="shared" si="59"/>
        <v>1.65</v>
      </c>
      <c r="H51" s="24">
        <f t="shared" si="68"/>
        <v>1.4</v>
      </c>
      <c r="I51" s="39">
        <f t="shared" si="69"/>
        <v>0</v>
      </c>
      <c r="J51" s="38">
        <f t="shared" si="70"/>
        <v>0</v>
      </c>
      <c r="K51" s="40">
        <f t="shared" si="71"/>
        <v>2.3901930379652287E-3</v>
      </c>
      <c r="L51" s="22">
        <f t="shared" si="72"/>
        <v>3.3462702531513199E-3</v>
      </c>
      <c r="M51" s="24">
        <f t="shared" si="73"/>
        <v>0</v>
      </c>
      <c r="N51" s="2"/>
      <c r="O51" s="2"/>
      <c r="P51" s="59"/>
      <c r="Q51" s="255"/>
      <c r="R51" s="252"/>
      <c r="S51" s="41"/>
      <c r="T51" s="29"/>
      <c r="U51" s="56"/>
      <c r="V51" s="56"/>
      <c r="W51" s="110"/>
      <c r="X51" s="118"/>
      <c r="Y51" s="110"/>
      <c r="Z51" s="116"/>
      <c r="AA51" s="147"/>
      <c r="AB51" s="116"/>
      <c r="AC51" s="147"/>
      <c r="AD51" s="116"/>
      <c r="AE51" s="147"/>
      <c r="AF51" s="122"/>
      <c r="AG51" s="147"/>
      <c r="AH51" s="123"/>
      <c r="AI51" s="112"/>
      <c r="AJ51" s="148"/>
      <c r="AK51" s="147"/>
      <c r="AP51" s="25"/>
      <c r="AQ51" s="25"/>
      <c r="AR51" s="25"/>
      <c r="AS51" s="25"/>
      <c r="AT51" s="25"/>
      <c r="AU51" s="25"/>
      <c r="AW51" s="25"/>
      <c r="AX51" s="25"/>
      <c r="AY51" s="25"/>
      <c r="AZ51" s="25"/>
      <c r="BA51" s="25"/>
      <c r="BB51" s="25"/>
      <c r="BF51" s="25"/>
      <c r="BG51" s="25"/>
      <c r="BH51" s="25"/>
      <c r="BI51" s="25"/>
      <c r="BJ51" s="25"/>
      <c r="BK51" s="25"/>
      <c r="BM51" s="25"/>
      <c r="BN51" s="25"/>
      <c r="BO51" s="25"/>
      <c r="BP51" s="25"/>
      <c r="BQ51" s="25"/>
      <c r="BR51" s="25"/>
      <c r="BU51" s="25"/>
      <c r="BV51" s="25"/>
      <c r="BW51" s="25"/>
      <c r="BX51" s="25"/>
      <c r="BY51" s="25"/>
      <c r="BZ51" s="25"/>
      <c r="CB51" s="25"/>
      <c r="CC51" s="25"/>
      <c r="CD51" s="25"/>
      <c r="CE51" s="25"/>
      <c r="CF51" s="25"/>
      <c r="CG51" s="25"/>
    </row>
    <row r="52" spans="1:85" ht="14" customHeight="1">
      <c r="A52" s="85" t="s">
        <v>177</v>
      </c>
      <c r="B52" s="216">
        <v>416.66666666666669</v>
      </c>
      <c r="C52" s="216">
        <v>645.83333333333337</v>
      </c>
      <c r="D52" s="38">
        <f t="shared" si="67"/>
        <v>1062.5</v>
      </c>
      <c r="E52" s="26">
        <v>1</v>
      </c>
      <c r="F52" s="26">
        <v>1.18</v>
      </c>
      <c r="G52" s="22">
        <f t="shared" si="59"/>
        <v>1.65</v>
      </c>
      <c r="H52" s="24">
        <f t="shared" si="68"/>
        <v>1.18</v>
      </c>
      <c r="I52" s="39">
        <f t="shared" si="69"/>
        <v>1253.75</v>
      </c>
      <c r="J52" s="38">
        <f t="shared" si="70"/>
        <v>1253.75</v>
      </c>
      <c r="K52" s="40">
        <f t="shared" si="71"/>
        <v>7.4693532436413395E-3</v>
      </c>
      <c r="L52" s="22">
        <f t="shared" si="72"/>
        <v>8.8138368274967797E-3</v>
      </c>
      <c r="M52" s="24">
        <f t="shared" si="73"/>
        <v>2.247528391011679E-2</v>
      </c>
      <c r="N52" s="2"/>
      <c r="O52" s="2"/>
      <c r="P52" s="59"/>
      <c r="Q52" s="41"/>
      <c r="R52" s="242"/>
      <c r="S52" s="56"/>
      <c r="T52" s="56"/>
      <c r="U52" s="56"/>
      <c r="V52" s="56"/>
      <c r="W52" s="110"/>
      <c r="X52" s="118"/>
      <c r="Y52" s="110"/>
      <c r="Z52" s="116"/>
      <c r="AA52" s="147"/>
      <c r="AB52" s="116"/>
      <c r="AC52" s="147"/>
      <c r="AD52" s="116"/>
      <c r="AE52" s="147"/>
      <c r="AF52" s="122"/>
      <c r="AG52" s="147"/>
      <c r="AH52" s="123"/>
      <c r="AI52" s="112"/>
      <c r="AJ52" s="148"/>
      <c r="AK52" s="147"/>
      <c r="AP52" s="25"/>
      <c r="AQ52" s="25"/>
      <c r="AR52" s="25"/>
      <c r="AS52" s="25"/>
      <c r="AT52" s="25"/>
      <c r="AU52" s="25"/>
      <c r="AW52" s="25"/>
      <c r="AX52" s="25"/>
      <c r="AY52" s="25"/>
      <c r="AZ52" s="25"/>
      <c r="BA52" s="25"/>
      <c r="BB52" s="25"/>
      <c r="BF52" s="25"/>
      <c r="BG52" s="25"/>
      <c r="BH52" s="25"/>
      <c r="BI52" s="25"/>
      <c r="BJ52" s="25"/>
      <c r="BK52" s="25"/>
      <c r="BM52" s="25"/>
      <c r="BN52" s="25"/>
      <c r="BO52" s="25"/>
      <c r="BP52" s="25"/>
      <c r="BQ52" s="25"/>
      <c r="BR52" s="25"/>
      <c r="BU52" s="25"/>
      <c r="BV52" s="25"/>
      <c r="BW52" s="25"/>
      <c r="BX52" s="25"/>
      <c r="BY52" s="25"/>
      <c r="BZ52" s="25"/>
      <c r="CB52" s="25"/>
      <c r="CC52" s="25"/>
      <c r="CD52" s="25"/>
      <c r="CE52" s="25"/>
      <c r="CF52" s="25"/>
      <c r="CG52" s="25"/>
    </row>
    <row r="53" spans="1:85" ht="14" customHeight="1">
      <c r="A53" s="85" t="s">
        <v>161</v>
      </c>
      <c r="B53" s="216">
        <v>360</v>
      </c>
      <c r="C53" s="216">
        <v>90</v>
      </c>
      <c r="D53" s="38">
        <f t="shared" si="67"/>
        <v>450</v>
      </c>
      <c r="E53" s="26">
        <v>1</v>
      </c>
      <c r="F53" s="26">
        <v>1.18</v>
      </c>
      <c r="G53" s="22">
        <f t="shared" si="59"/>
        <v>1.65</v>
      </c>
      <c r="H53" s="24">
        <f t="shared" si="68"/>
        <v>1.18</v>
      </c>
      <c r="I53" s="39">
        <f t="shared" si="69"/>
        <v>531</v>
      </c>
      <c r="J53" s="38">
        <f t="shared" si="70"/>
        <v>531</v>
      </c>
      <c r="K53" s="40">
        <f t="shared" si="71"/>
        <v>6.4535212025061172E-3</v>
      </c>
      <c r="L53" s="22">
        <f t="shared" si="72"/>
        <v>7.6151550189572179E-3</v>
      </c>
      <c r="M53" s="24">
        <f t="shared" si="73"/>
        <v>9.5189437736965237E-3</v>
      </c>
      <c r="N53" s="2"/>
      <c r="O53" s="2"/>
      <c r="P53" s="2"/>
      <c r="Q53" s="41"/>
      <c r="R53" s="56"/>
      <c r="S53" s="56"/>
      <c r="T53" s="56"/>
      <c r="U53" s="56"/>
      <c r="V53" s="56"/>
      <c r="W53" s="110"/>
      <c r="X53" s="118"/>
      <c r="Y53" s="110"/>
      <c r="Z53" s="116"/>
      <c r="AA53" s="147"/>
      <c r="AB53" s="116"/>
      <c r="AC53" s="147"/>
      <c r="AD53" s="116"/>
      <c r="AE53" s="147"/>
      <c r="AF53" s="122"/>
      <c r="AG53" s="147"/>
      <c r="AH53" s="123"/>
      <c r="AI53" s="112"/>
      <c r="AJ53" s="148"/>
      <c r="AK53" s="147"/>
      <c r="AP53" s="25"/>
      <c r="AQ53" s="25"/>
      <c r="AR53" s="25"/>
      <c r="AS53" s="25"/>
      <c r="AT53" s="25"/>
      <c r="AU53" s="25"/>
      <c r="AW53" s="25"/>
      <c r="AX53" s="25"/>
      <c r="AY53" s="25"/>
      <c r="AZ53" s="25"/>
      <c r="BA53" s="25"/>
      <c r="BB53" s="25"/>
      <c r="BF53" s="25"/>
      <c r="BG53" s="25"/>
      <c r="BH53" s="25"/>
      <c r="BI53" s="25"/>
      <c r="BJ53" s="25"/>
      <c r="BK53" s="25"/>
      <c r="BM53" s="25"/>
      <c r="BN53" s="25"/>
      <c r="BO53" s="25"/>
      <c r="BP53" s="25"/>
      <c r="BQ53" s="25"/>
      <c r="BR53" s="25"/>
      <c r="BU53" s="25"/>
      <c r="BV53" s="25"/>
      <c r="BW53" s="25"/>
      <c r="BX53" s="25"/>
      <c r="BY53" s="25"/>
      <c r="BZ53" s="25"/>
      <c r="CB53" s="25"/>
      <c r="CC53" s="25"/>
      <c r="CD53" s="25"/>
      <c r="CE53" s="25"/>
      <c r="CF53" s="25"/>
      <c r="CG53" s="25"/>
    </row>
    <row r="54" spans="1:85" ht="14" customHeight="1">
      <c r="A54" s="85" t="s">
        <v>178</v>
      </c>
      <c r="B54" s="216">
        <v>1821.6666666666667</v>
      </c>
      <c r="C54" s="216">
        <v>0</v>
      </c>
      <c r="D54" s="38">
        <f t="shared" si="67"/>
        <v>1821.6666666666667</v>
      </c>
      <c r="E54" s="26">
        <v>1</v>
      </c>
      <c r="F54" s="26">
        <v>1.1100000000000001</v>
      </c>
      <c r="G54" s="22">
        <f t="shared" si="59"/>
        <v>1.65</v>
      </c>
      <c r="H54" s="24">
        <f t="shared" si="68"/>
        <v>1.1100000000000001</v>
      </c>
      <c r="I54" s="39">
        <f t="shared" si="69"/>
        <v>2022.0500000000002</v>
      </c>
      <c r="J54" s="38">
        <f t="shared" si="70"/>
        <v>2022.0500000000002</v>
      </c>
      <c r="K54" s="40">
        <f t="shared" si="71"/>
        <v>3.2656012381199938E-2</v>
      </c>
      <c r="L54" s="22">
        <f t="shared" si="72"/>
        <v>3.6248173743131933E-2</v>
      </c>
      <c r="M54" s="24">
        <f t="shared" si="73"/>
        <v>3.6248173743131933E-2</v>
      </c>
      <c r="N54" s="2"/>
      <c r="O54" s="2"/>
      <c r="P54" s="2"/>
      <c r="Q54" s="56"/>
      <c r="R54" s="56"/>
      <c r="S54" s="56"/>
      <c r="T54" s="56"/>
      <c r="U54" s="56"/>
      <c r="V54" s="56"/>
      <c r="W54" s="110"/>
      <c r="X54" s="118"/>
      <c r="Y54" s="110"/>
      <c r="Z54" s="116"/>
      <c r="AA54" s="147"/>
      <c r="AB54" s="116"/>
      <c r="AC54" s="147"/>
      <c r="AD54" s="116"/>
      <c r="AE54" s="147"/>
      <c r="AF54" s="122"/>
      <c r="AG54" s="147"/>
      <c r="AH54" s="123"/>
      <c r="AI54" s="112"/>
      <c r="AJ54" s="148"/>
      <c r="AK54" s="147"/>
      <c r="AP54" s="25"/>
      <c r="AQ54" s="25"/>
      <c r="AR54" s="25"/>
      <c r="AS54" s="25"/>
      <c r="AT54" s="25"/>
      <c r="AU54" s="25"/>
      <c r="AW54" s="25"/>
      <c r="AX54" s="25"/>
      <c r="AY54" s="25"/>
      <c r="AZ54" s="25"/>
      <c r="BA54" s="25"/>
      <c r="BB54" s="25"/>
      <c r="BF54" s="25"/>
      <c r="BG54" s="25"/>
      <c r="BH54" s="25"/>
      <c r="BI54" s="25"/>
      <c r="BJ54" s="25"/>
      <c r="BK54" s="25"/>
      <c r="BM54" s="25"/>
      <c r="BN54" s="25"/>
      <c r="BO54" s="25"/>
      <c r="BP54" s="25"/>
      <c r="BQ54" s="25"/>
      <c r="BR54" s="25"/>
      <c r="BU54" s="25"/>
      <c r="BV54" s="25"/>
      <c r="BW54" s="25"/>
      <c r="BX54" s="25"/>
      <c r="BY54" s="25"/>
      <c r="BZ54" s="25"/>
      <c r="CB54" s="25"/>
      <c r="CC54" s="25"/>
      <c r="CD54" s="25"/>
      <c r="CE54" s="25"/>
      <c r="CF54" s="25"/>
      <c r="CG54" s="25"/>
    </row>
    <row r="55" spans="1:85" ht="14" customHeight="1">
      <c r="A55" s="85" t="s">
        <v>179</v>
      </c>
      <c r="B55" s="216">
        <v>2193.3333333333335</v>
      </c>
      <c r="C55" s="216">
        <v>0</v>
      </c>
      <c r="D55" s="38">
        <f t="shared" si="67"/>
        <v>2193.3333333333335</v>
      </c>
      <c r="E55" s="26">
        <v>1</v>
      </c>
      <c r="F55" s="26">
        <v>1.1100000000000001</v>
      </c>
      <c r="G55" s="22">
        <f t="shared" si="59"/>
        <v>1.65</v>
      </c>
      <c r="H55" s="24">
        <f t="shared" si="68"/>
        <v>1.1100000000000001</v>
      </c>
      <c r="I55" s="39">
        <f t="shared" si="69"/>
        <v>2434.6000000000004</v>
      </c>
      <c r="J55" s="38">
        <f t="shared" si="70"/>
        <v>2434.6000000000008</v>
      </c>
      <c r="K55" s="40">
        <f t="shared" si="71"/>
        <v>3.9318675474528011E-2</v>
      </c>
      <c r="L55" s="22">
        <f t="shared" si="72"/>
        <v>4.3643729776726099E-2</v>
      </c>
      <c r="M55" s="24">
        <f t="shared" si="73"/>
        <v>4.3643729776726106E-2</v>
      </c>
      <c r="N55" s="2"/>
      <c r="O55" s="2"/>
      <c r="P55" s="2"/>
      <c r="Q55" s="56"/>
      <c r="R55" s="41"/>
      <c r="S55" s="56"/>
      <c r="T55" s="56"/>
      <c r="U55" s="56"/>
      <c r="V55" s="56"/>
      <c r="W55" s="110"/>
      <c r="X55" s="118"/>
      <c r="Y55" s="110"/>
      <c r="Z55" s="116">
        <v>0.25</v>
      </c>
      <c r="AA55" s="147">
        <f t="shared" si="64"/>
        <v>608.6500000000002</v>
      </c>
      <c r="AB55" s="116">
        <v>0.25</v>
      </c>
      <c r="AC55" s="147">
        <f t="shared" si="65"/>
        <v>608.6500000000002</v>
      </c>
      <c r="AD55" s="116">
        <v>0.25</v>
      </c>
      <c r="AE55" s="147">
        <f t="shared" si="66"/>
        <v>608.6500000000002</v>
      </c>
      <c r="AF55" s="122">
        <f t="shared" si="57"/>
        <v>0.25</v>
      </c>
      <c r="AG55" s="147">
        <f t="shared" si="60"/>
        <v>608.6500000000002</v>
      </c>
      <c r="AH55" s="123">
        <f t="shared" si="61"/>
        <v>1</v>
      </c>
      <c r="AI55" s="112">
        <f t="shared" si="61"/>
        <v>2434.6000000000008</v>
      </c>
      <c r="AJ55" s="148">
        <f t="shared" si="62"/>
        <v>1217.3000000000004</v>
      </c>
      <c r="AK55" s="147">
        <f t="shared" si="63"/>
        <v>1217.3000000000004</v>
      </c>
      <c r="AP55" s="25"/>
      <c r="AQ55" s="25"/>
      <c r="AR55" s="25"/>
      <c r="AS55" s="25"/>
      <c r="AT55" s="25"/>
      <c r="AU55" s="25"/>
      <c r="AW55" s="25"/>
      <c r="AX55" s="25"/>
      <c r="AY55" s="25"/>
      <c r="AZ55" s="25"/>
      <c r="BA55" s="25"/>
      <c r="BB55" s="25"/>
      <c r="BF55" s="25"/>
      <c r="BG55" s="25"/>
      <c r="BH55" s="25"/>
      <c r="BI55" s="25"/>
      <c r="BJ55" s="25"/>
      <c r="BK55" s="25"/>
      <c r="BM55" s="25"/>
      <c r="BN55" s="25"/>
      <c r="BO55" s="25"/>
      <c r="BP55" s="25"/>
      <c r="BQ55" s="25"/>
      <c r="BR55" s="25"/>
      <c r="BU55" s="25"/>
      <c r="BV55" s="25"/>
      <c r="BW55" s="25"/>
      <c r="BX55" s="25"/>
      <c r="BY55" s="25"/>
      <c r="BZ55" s="25"/>
      <c r="CB55" s="25"/>
      <c r="CC55" s="25"/>
      <c r="CD55" s="25"/>
      <c r="CE55" s="25"/>
      <c r="CF55" s="25"/>
      <c r="CG55" s="25"/>
    </row>
    <row r="56" spans="1:85" ht="14" customHeight="1">
      <c r="A56" s="85" t="s">
        <v>180</v>
      </c>
      <c r="B56" s="216">
        <v>4986.666666666667</v>
      </c>
      <c r="C56" s="216">
        <v>-166.66666666666666</v>
      </c>
      <c r="D56" s="38">
        <f t="shared" si="67"/>
        <v>4820</v>
      </c>
      <c r="E56" s="26">
        <v>1</v>
      </c>
      <c r="F56" s="26">
        <v>1.1100000000000001</v>
      </c>
      <c r="G56" s="22">
        <f t="shared" si="59"/>
        <v>1.65</v>
      </c>
      <c r="H56" s="24">
        <f t="shared" si="68"/>
        <v>1.1100000000000001</v>
      </c>
      <c r="I56" s="39">
        <f t="shared" si="69"/>
        <v>5350.2000000000007</v>
      </c>
      <c r="J56" s="38">
        <f t="shared" si="70"/>
        <v>5350.2000000000007</v>
      </c>
      <c r="K56" s="40">
        <f t="shared" si="71"/>
        <v>8.9393219619899558E-2</v>
      </c>
      <c r="L56" s="22">
        <f t="shared" si="72"/>
        <v>9.922647377808852E-2</v>
      </c>
      <c r="M56" s="24">
        <f t="shared" si="73"/>
        <v>9.5910080937911757E-2</v>
      </c>
      <c r="N56" s="2"/>
      <c r="O56" s="2"/>
      <c r="P56" s="2"/>
      <c r="Q56" s="56"/>
      <c r="R56" s="56"/>
      <c r="S56" s="56"/>
      <c r="T56" s="56"/>
      <c r="U56" s="56"/>
      <c r="V56" s="56"/>
      <c r="W56" s="110"/>
      <c r="X56" s="118"/>
      <c r="Y56" s="110"/>
      <c r="Z56" s="116">
        <v>0.25</v>
      </c>
      <c r="AA56" s="147">
        <f t="shared" si="64"/>
        <v>1337.5500000000002</v>
      </c>
      <c r="AB56" s="116">
        <v>0.25</v>
      </c>
      <c r="AC56" s="147">
        <f t="shared" si="65"/>
        <v>1337.5500000000002</v>
      </c>
      <c r="AD56" s="116">
        <v>0.25</v>
      </c>
      <c r="AE56" s="147">
        <f t="shared" si="66"/>
        <v>1337.5500000000002</v>
      </c>
      <c r="AF56" s="122">
        <f t="shared" si="57"/>
        <v>0.25</v>
      </c>
      <c r="AG56" s="147">
        <f t="shared" si="60"/>
        <v>1337.5500000000002</v>
      </c>
      <c r="AH56" s="123">
        <f t="shared" si="61"/>
        <v>1</v>
      </c>
      <c r="AI56" s="112">
        <f t="shared" si="61"/>
        <v>5350.2000000000007</v>
      </c>
      <c r="AJ56" s="148">
        <f t="shared" si="62"/>
        <v>2675.1000000000004</v>
      </c>
      <c r="AK56" s="147">
        <f t="shared" si="63"/>
        <v>2675.1000000000004</v>
      </c>
      <c r="AP56" s="25"/>
      <c r="AQ56" s="25"/>
      <c r="AR56" s="25"/>
      <c r="AS56" s="25"/>
      <c r="AT56" s="25"/>
      <c r="AU56" s="25"/>
      <c r="AW56" s="25"/>
      <c r="AX56" s="25"/>
      <c r="AY56" s="25"/>
      <c r="AZ56" s="25"/>
      <c r="BA56" s="25"/>
      <c r="BB56" s="25"/>
      <c r="BF56" s="25"/>
      <c r="BG56" s="25"/>
      <c r="BH56" s="25"/>
      <c r="BI56" s="25"/>
      <c r="BJ56" s="25"/>
      <c r="BK56" s="25"/>
      <c r="BM56" s="25"/>
      <c r="BN56" s="25"/>
      <c r="BO56" s="25"/>
      <c r="BP56" s="25"/>
      <c r="BQ56" s="25"/>
      <c r="BR56" s="25"/>
      <c r="BU56" s="25"/>
      <c r="BV56" s="25"/>
      <c r="BW56" s="25"/>
      <c r="BX56" s="25"/>
      <c r="BY56" s="25"/>
      <c r="BZ56" s="25"/>
      <c r="CB56" s="25"/>
      <c r="CC56" s="25"/>
      <c r="CD56" s="25"/>
      <c r="CE56" s="25"/>
      <c r="CF56" s="25"/>
      <c r="CG56" s="25"/>
    </row>
    <row r="57" spans="1:85" ht="14" customHeight="1">
      <c r="A57" s="85" t="s">
        <v>181</v>
      </c>
      <c r="B57" s="216">
        <v>8800</v>
      </c>
      <c r="C57" s="216">
        <v>0</v>
      </c>
      <c r="D57" s="38">
        <f t="shared" si="67"/>
        <v>8800</v>
      </c>
      <c r="E57" s="26">
        <v>0.8</v>
      </c>
      <c r="F57" s="26">
        <v>1.18</v>
      </c>
      <c r="G57" s="22">
        <f t="shared" si="59"/>
        <v>1.65</v>
      </c>
      <c r="H57" s="24">
        <f t="shared" si="68"/>
        <v>0.94399999999999995</v>
      </c>
      <c r="I57" s="39">
        <f t="shared" si="69"/>
        <v>8307.1999999999989</v>
      </c>
      <c r="J57" s="38">
        <f t="shared" si="70"/>
        <v>8307.1999999999989</v>
      </c>
      <c r="K57" s="40">
        <f t="shared" si="71"/>
        <v>0.15775274050570509</v>
      </c>
      <c r="L57" s="22">
        <f t="shared" si="72"/>
        <v>0.14891858703738559</v>
      </c>
      <c r="M57" s="24">
        <f t="shared" si="73"/>
        <v>0.14891858703738559</v>
      </c>
      <c r="N57" s="2"/>
      <c r="O57" s="2"/>
      <c r="P57" s="2"/>
      <c r="Q57" s="2"/>
      <c r="R57" s="218"/>
      <c r="S57" s="68"/>
      <c r="T57" s="2"/>
      <c r="U57" s="56"/>
      <c r="V57" s="56"/>
      <c r="W57" s="110"/>
      <c r="X57" s="118"/>
      <c r="Y57" s="110"/>
      <c r="Z57" s="116">
        <v>0.25</v>
      </c>
      <c r="AA57" s="147">
        <f t="shared" si="64"/>
        <v>2076.7999999999997</v>
      </c>
      <c r="AB57" s="116">
        <v>0.25</v>
      </c>
      <c r="AC57" s="147">
        <f t="shared" si="65"/>
        <v>2076.7999999999997</v>
      </c>
      <c r="AD57" s="116">
        <v>0.25</v>
      </c>
      <c r="AE57" s="147">
        <f t="shared" si="66"/>
        <v>2076.7999999999997</v>
      </c>
      <c r="AF57" s="122">
        <f t="shared" si="57"/>
        <v>0.25</v>
      </c>
      <c r="AG57" s="147">
        <f t="shared" si="60"/>
        <v>2076.7999999999997</v>
      </c>
      <c r="AH57" s="123">
        <f t="shared" si="61"/>
        <v>1</v>
      </c>
      <c r="AI57" s="112">
        <f t="shared" si="61"/>
        <v>8307.1999999999989</v>
      </c>
      <c r="AJ57" s="148">
        <f t="shared" si="62"/>
        <v>4153.5999999999995</v>
      </c>
      <c r="AK57" s="147">
        <f t="shared" si="63"/>
        <v>4153.5999999999995</v>
      </c>
      <c r="AP57" s="25"/>
      <c r="AQ57" s="25"/>
      <c r="AR57" s="25"/>
      <c r="AS57" s="25"/>
      <c r="AT57" s="25"/>
      <c r="AU57" s="25"/>
      <c r="AW57" s="25"/>
      <c r="AX57" s="25"/>
      <c r="AY57" s="25"/>
      <c r="AZ57" s="25"/>
      <c r="BA57" s="25"/>
      <c r="BB57" s="25"/>
      <c r="BF57" s="25"/>
      <c r="BG57" s="25"/>
      <c r="BH57" s="25"/>
      <c r="BI57" s="25"/>
      <c r="BJ57" s="25"/>
      <c r="BK57" s="25"/>
      <c r="BM57" s="25"/>
      <c r="BN57" s="25"/>
      <c r="BO57" s="25"/>
      <c r="BP57" s="25"/>
      <c r="BQ57" s="25"/>
      <c r="BR57" s="25"/>
      <c r="BU57" s="25"/>
      <c r="BV57" s="25"/>
      <c r="BW57" s="25"/>
      <c r="BX57" s="25"/>
      <c r="BY57" s="25"/>
      <c r="BZ57" s="25"/>
      <c r="CB57" s="25"/>
      <c r="CC57" s="25"/>
      <c r="CD57" s="25"/>
      <c r="CE57" s="25"/>
      <c r="CF57" s="25"/>
      <c r="CG57" s="25"/>
    </row>
    <row r="58" spans="1:85" ht="14" customHeight="1">
      <c r="A58" s="85" t="s">
        <v>182</v>
      </c>
      <c r="B58" s="216">
        <v>0</v>
      </c>
      <c r="C58" s="216">
        <v>0</v>
      </c>
      <c r="D58" s="38">
        <f t="shared" si="67"/>
        <v>0</v>
      </c>
      <c r="E58" s="26">
        <v>0.8</v>
      </c>
      <c r="F58" s="26">
        <v>1.18</v>
      </c>
      <c r="G58" s="22">
        <f t="shared" si="59"/>
        <v>1.65</v>
      </c>
      <c r="H58" s="24">
        <f t="shared" si="68"/>
        <v>0.94399999999999995</v>
      </c>
      <c r="I58" s="39">
        <f t="shared" si="69"/>
        <v>0</v>
      </c>
      <c r="J58" s="38">
        <f t="shared" si="70"/>
        <v>0</v>
      </c>
      <c r="K58" s="40">
        <f t="shared" si="71"/>
        <v>0</v>
      </c>
      <c r="L58" s="22">
        <f t="shared" si="72"/>
        <v>0</v>
      </c>
      <c r="M58" s="24">
        <f t="shared" si="73"/>
        <v>0</v>
      </c>
      <c r="N58" s="2"/>
      <c r="O58" s="2"/>
      <c r="P58" s="2"/>
      <c r="Q58" s="56"/>
      <c r="R58" s="56"/>
      <c r="S58" s="56"/>
      <c r="T58" s="56"/>
      <c r="U58" s="56"/>
      <c r="V58" s="56"/>
      <c r="W58" s="110"/>
      <c r="X58" s="118"/>
      <c r="Y58" s="110"/>
      <c r="Z58" s="116">
        <v>0.25</v>
      </c>
      <c r="AA58" s="147">
        <f t="shared" si="64"/>
        <v>0</v>
      </c>
      <c r="AB58" s="116">
        <v>0.25</v>
      </c>
      <c r="AC58" s="147">
        <f t="shared" si="65"/>
        <v>0</v>
      </c>
      <c r="AD58" s="116">
        <v>0.25</v>
      </c>
      <c r="AE58" s="147">
        <f t="shared" si="66"/>
        <v>0</v>
      </c>
      <c r="AF58" s="122">
        <f t="shared" si="57"/>
        <v>0.25</v>
      </c>
      <c r="AG58" s="147">
        <f t="shared" si="60"/>
        <v>0</v>
      </c>
      <c r="AH58" s="123">
        <f t="shared" si="61"/>
        <v>1</v>
      </c>
      <c r="AI58" s="112">
        <f t="shared" si="61"/>
        <v>0</v>
      </c>
      <c r="AJ58" s="148">
        <f t="shared" si="62"/>
        <v>0</v>
      </c>
      <c r="AK58" s="147">
        <f t="shared" si="63"/>
        <v>0</v>
      </c>
      <c r="AP58" s="25"/>
      <c r="AQ58" s="25"/>
      <c r="AR58" s="25"/>
      <c r="AS58" s="25"/>
      <c r="AT58" s="25"/>
      <c r="AU58" s="25"/>
      <c r="AW58" s="25"/>
      <c r="AX58" s="25"/>
      <c r="AY58" s="25"/>
      <c r="AZ58" s="25"/>
      <c r="BA58" s="25"/>
      <c r="BB58" s="25"/>
      <c r="BF58" s="25"/>
      <c r="BG58" s="25"/>
      <c r="BH58" s="25"/>
      <c r="BI58" s="25"/>
      <c r="BJ58" s="25"/>
      <c r="BK58" s="25"/>
      <c r="BM58" s="25"/>
      <c r="BN58" s="25"/>
      <c r="BO58" s="25"/>
      <c r="BP58" s="25"/>
      <c r="BQ58" s="25"/>
      <c r="BR58" s="25"/>
      <c r="BU58" s="25"/>
      <c r="BV58" s="25"/>
      <c r="BW58" s="25"/>
      <c r="BX58" s="25"/>
      <c r="BY58" s="25"/>
      <c r="BZ58" s="25"/>
      <c r="CB58" s="25"/>
      <c r="CC58" s="25"/>
      <c r="CD58" s="25"/>
      <c r="CE58" s="25"/>
      <c r="CF58" s="25"/>
      <c r="CG58" s="25"/>
    </row>
    <row r="59" spans="1:85" ht="14" customHeight="1">
      <c r="A59" s="85" t="s">
        <v>183</v>
      </c>
      <c r="B59" s="216">
        <v>4236.666666666667</v>
      </c>
      <c r="C59" s="216">
        <v>847.33333333333337</v>
      </c>
      <c r="D59" s="38">
        <f t="shared" si="67"/>
        <v>5084</v>
      </c>
      <c r="E59" s="26">
        <v>0.8</v>
      </c>
      <c r="F59" s="26">
        <v>1</v>
      </c>
      <c r="G59" s="22">
        <f t="shared" si="59"/>
        <v>1.65</v>
      </c>
      <c r="H59" s="24">
        <f t="shared" si="68"/>
        <v>0.8</v>
      </c>
      <c r="I59" s="39">
        <f t="shared" si="69"/>
        <v>4067.2000000000003</v>
      </c>
      <c r="J59" s="38">
        <f t="shared" si="70"/>
        <v>4067.2</v>
      </c>
      <c r="K59" s="40">
        <f t="shared" si="71"/>
        <v>7.594838378134515E-2</v>
      </c>
      <c r="L59" s="22">
        <f t="shared" si="72"/>
        <v>6.0758707025076124E-2</v>
      </c>
      <c r="M59" s="24">
        <f t="shared" si="73"/>
        <v>7.2910448430091326E-2</v>
      </c>
      <c r="N59" s="2"/>
      <c r="O59" s="2"/>
      <c r="P59" s="2"/>
      <c r="Q59" s="56"/>
      <c r="R59" s="56"/>
      <c r="S59" s="56"/>
      <c r="T59" s="56"/>
      <c r="U59" s="56"/>
      <c r="V59" s="56"/>
      <c r="W59" s="110"/>
      <c r="X59" s="118"/>
      <c r="Y59" s="110"/>
      <c r="Z59" s="116">
        <v>0.25</v>
      </c>
      <c r="AA59" s="147">
        <f t="shared" si="64"/>
        <v>1016.8</v>
      </c>
      <c r="AB59" s="116">
        <v>0.25</v>
      </c>
      <c r="AC59" s="147">
        <f t="shared" si="65"/>
        <v>1016.8</v>
      </c>
      <c r="AD59" s="116">
        <v>0.25</v>
      </c>
      <c r="AE59" s="147">
        <f t="shared" si="66"/>
        <v>1016.8</v>
      </c>
      <c r="AF59" s="122">
        <f t="shared" si="57"/>
        <v>0.25</v>
      </c>
      <c r="AG59" s="147">
        <f t="shared" si="60"/>
        <v>1016.8</v>
      </c>
      <c r="AH59" s="123">
        <f t="shared" ref="AH59:AI64" si="74">SUM(Z59,AB59,AD59,AF59)</f>
        <v>1</v>
      </c>
      <c r="AI59" s="112">
        <f t="shared" si="74"/>
        <v>4067.2</v>
      </c>
      <c r="AJ59" s="148">
        <f t="shared" si="62"/>
        <v>2033.6</v>
      </c>
      <c r="AK59" s="147">
        <f t="shared" si="63"/>
        <v>2033.6</v>
      </c>
      <c r="AP59" s="25"/>
      <c r="AQ59" s="25"/>
      <c r="AR59" s="25"/>
      <c r="AS59" s="25"/>
      <c r="AT59" s="25"/>
      <c r="AU59" s="25"/>
      <c r="AW59" s="25"/>
      <c r="AX59" s="25"/>
      <c r="AY59" s="25"/>
      <c r="AZ59" s="25"/>
      <c r="BA59" s="25"/>
      <c r="BB59" s="25"/>
      <c r="BF59" s="25"/>
      <c r="BG59" s="25"/>
      <c r="BH59" s="25"/>
      <c r="BI59" s="25"/>
      <c r="BJ59" s="25"/>
      <c r="BK59" s="25"/>
      <c r="BM59" s="25"/>
      <c r="BN59" s="25"/>
      <c r="BO59" s="25"/>
      <c r="BP59" s="25"/>
      <c r="BQ59" s="25"/>
      <c r="BR59" s="25"/>
      <c r="BU59" s="25"/>
      <c r="BV59" s="25"/>
      <c r="BW59" s="25"/>
      <c r="BX59" s="25"/>
      <c r="BY59" s="25"/>
      <c r="BZ59" s="25"/>
      <c r="CB59" s="25"/>
      <c r="CC59" s="25"/>
      <c r="CD59" s="25"/>
      <c r="CE59" s="25"/>
      <c r="CF59" s="25"/>
      <c r="CG59" s="25"/>
    </row>
    <row r="60" spans="1:85" ht="14" customHeight="1">
      <c r="A60" s="85" t="s">
        <v>184</v>
      </c>
      <c r="B60" s="216">
        <v>960</v>
      </c>
      <c r="C60" s="216">
        <v>0</v>
      </c>
      <c r="D60" s="38">
        <f t="shared" si="67"/>
        <v>960</v>
      </c>
      <c r="E60" s="26">
        <v>0.8</v>
      </c>
      <c r="F60" s="26">
        <v>1.18</v>
      </c>
      <c r="G60" s="22">
        <f t="shared" si="59"/>
        <v>1.65</v>
      </c>
      <c r="H60" s="24">
        <f t="shared" si="68"/>
        <v>0.94399999999999995</v>
      </c>
      <c r="I60" s="39">
        <f t="shared" si="69"/>
        <v>906.24</v>
      </c>
      <c r="J60" s="38">
        <f t="shared" si="70"/>
        <v>906.2399999999999</v>
      </c>
      <c r="K60" s="40">
        <f t="shared" si="71"/>
        <v>1.7209389873349648E-2</v>
      </c>
      <c r="L60" s="22">
        <f t="shared" si="72"/>
        <v>1.6245664040442066E-2</v>
      </c>
      <c r="M60" s="24">
        <f t="shared" si="73"/>
        <v>1.6245664040442063E-2</v>
      </c>
      <c r="N60" s="2"/>
      <c r="O60" s="2"/>
      <c r="P60" s="2"/>
      <c r="Q60" s="56"/>
      <c r="R60" s="56"/>
      <c r="S60" s="56"/>
      <c r="T60" s="56"/>
      <c r="U60" s="56"/>
      <c r="V60" s="56"/>
      <c r="W60" s="110"/>
      <c r="X60" s="118"/>
      <c r="Y60" s="110"/>
      <c r="Z60" s="116">
        <v>0.25</v>
      </c>
      <c r="AA60" s="147">
        <f t="shared" si="64"/>
        <v>226.55999999999997</v>
      </c>
      <c r="AB60" s="116">
        <v>0.25</v>
      </c>
      <c r="AC60" s="147">
        <f t="shared" si="65"/>
        <v>226.55999999999997</v>
      </c>
      <c r="AD60" s="116">
        <v>0.25</v>
      </c>
      <c r="AE60" s="147">
        <f t="shared" si="66"/>
        <v>226.55999999999997</v>
      </c>
      <c r="AF60" s="122">
        <f t="shared" si="57"/>
        <v>0.25</v>
      </c>
      <c r="AG60" s="147">
        <f t="shared" si="60"/>
        <v>226.55999999999997</v>
      </c>
      <c r="AH60" s="123">
        <f t="shared" si="74"/>
        <v>1</v>
      </c>
      <c r="AI60" s="112">
        <f t="shared" si="74"/>
        <v>906.2399999999999</v>
      </c>
      <c r="AJ60" s="148">
        <f t="shared" si="62"/>
        <v>453.11999999999995</v>
      </c>
      <c r="AK60" s="147">
        <f t="shared" si="63"/>
        <v>453.11999999999995</v>
      </c>
      <c r="AP60" s="25"/>
      <c r="AQ60" s="25"/>
      <c r="AR60" s="25"/>
      <c r="AS60" s="25"/>
      <c r="AT60" s="25"/>
      <c r="AU60" s="25"/>
      <c r="AW60" s="25"/>
      <c r="AX60" s="25"/>
      <c r="AY60" s="25"/>
      <c r="AZ60" s="25"/>
      <c r="BA60" s="25"/>
      <c r="BB60" s="25"/>
      <c r="BF60" s="25"/>
      <c r="BG60" s="25"/>
      <c r="BH60" s="25"/>
      <c r="BI60" s="25"/>
      <c r="BJ60" s="25"/>
      <c r="BK60" s="25"/>
      <c r="BM60" s="25"/>
      <c r="BN60" s="25"/>
      <c r="BO60" s="25"/>
      <c r="BP60" s="25"/>
      <c r="BQ60" s="25"/>
      <c r="BR60" s="25"/>
      <c r="BU60" s="25"/>
      <c r="BV60" s="25"/>
      <c r="BW60" s="25"/>
      <c r="BX60" s="25"/>
      <c r="BY60" s="25"/>
      <c r="BZ60" s="25"/>
      <c r="CB60" s="25"/>
      <c r="CC60" s="25"/>
      <c r="CD60" s="25"/>
      <c r="CE60" s="25"/>
      <c r="CF60" s="25"/>
      <c r="CG60" s="25"/>
    </row>
    <row r="61" spans="1:85" ht="14" customHeight="1">
      <c r="A61" s="85" t="s">
        <v>185</v>
      </c>
      <c r="B61" s="216">
        <v>21720</v>
      </c>
      <c r="C61" s="216">
        <v>0</v>
      </c>
      <c r="D61" s="38">
        <f t="shared" si="67"/>
        <v>21720</v>
      </c>
      <c r="E61" s="26">
        <v>0</v>
      </c>
      <c r="F61" s="26">
        <v>1.18</v>
      </c>
      <c r="G61" s="22">
        <f t="shared" si="59"/>
        <v>1.65</v>
      </c>
      <c r="H61" s="24">
        <f t="shared" si="68"/>
        <v>0</v>
      </c>
      <c r="I61" s="39">
        <f t="shared" si="69"/>
        <v>0</v>
      </c>
      <c r="J61" s="38">
        <f t="shared" si="70"/>
        <v>0</v>
      </c>
      <c r="K61" s="40">
        <f t="shared" si="71"/>
        <v>0.38936244588453572</v>
      </c>
      <c r="L61" s="22">
        <f t="shared" si="72"/>
        <v>0</v>
      </c>
      <c r="M61" s="24">
        <f t="shared" si="73"/>
        <v>0</v>
      </c>
      <c r="N61" s="2"/>
      <c r="O61" s="2"/>
      <c r="P61" s="2"/>
      <c r="Q61" s="56"/>
      <c r="R61" s="56"/>
      <c r="S61" s="56"/>
      <c r="T61" s="56"/>
      <c r="U61" s="56"/>
      <c r="V61" s="56"/>
      <c r="W61" s="110"/>
      <c r="X61" s="118"/>
      <c r="Y61" s="110"/>
      <c r="Z61" s="116">
        <v>0.25</v>
      </c>
      <c r="AA61" s="147">
        <f t="shared" si="64"/>
        <v>0</v>
      </c>
      <c r="AB61" s="116">
        <v>0.25</v>
      </c>
      <c r="AC61" s="147">
        <f t="shared" si="65"/>
        <v>0</v>
      </c>
      <c r="AD61" s="116">
        <v>0.25</v>
      </c>
      <c r="AE61" s="147">
        <f t="shared" si="66"/>
        <v>0</v>
      </c>
      <c r="AF61" s="122">
        <f t="shared" si="57"/>
        <v>0.25</v>
      </c>
      <c r="AG61" s="147">
        <f t="shared" si="60"/>
        <v>0</v>
      </c>
      <c r="AH61" s="123">
        <f t="shared" si="74"/>
        <v>1</v>
      </c>
      <c r="AI61" s="112">
        <f t="shared" si="74"/>
        <v>0</v>
      </c>
      <c r="AJ61" s="148">
        <f t="shared" si="62"/>
        <v>0</v>
      </c>
      <c r="AK61" s="147">
        <f t="shared" si="63"/>
        <v>0</v>
      </c>
      <c r="AP61" s="25"/>
      <c r="AQ61" s="25"/>
      <c r="AR61" s="25"/>
      <c r="AS61" s="25"/>
      <c r="AT61" s="25"/>
      <c r="AU61" s="25"/>
      <c r="AW61" s="25"/>
      <c r="AX61" s="25"/>
      <c r="AY61" s="25"/>
      <c r="AZ61" s="25"/>
      <c r="BA61" s="25"/>
      <c r="BB61" s="25"/>
      <c r="BF61" s="25"/>
      <c r="BG61" s="25"/>
      <c r="BH61" s="25"/>
      <c r="BI61" s="25"/>
      <c r="BJ61" s="25"/>
      <c r="BK61" s="25"/>
      <c r="BM61" s="25"/>
      <c r="BN61" s="25"/>
      <c r="BO61" s="25"/>
      <c r="BP61" s="25"/>
      <c r="BQ61" s="25"/>
      <c r="BR61" s="25"/>
      <c r="BU61" s="25"/>
      <c r="BV61" s="25"/>
      <c r="BW61" s="25"/>
      <c r="BX61" s="25"/>
      <c r="BY61" s="25"/>
      <c r="BZ61" s="25"/>
      <c r="CB61" s="25"/>
      <c r="CC61" s="25"/>
      <c r="CD61" s="25"/>
      <c r="CE61" s="25"/>
      <c r="CF61" s="25"/>
      <c r="CG61" s="25"/>
    </row>
    <row r="62" spans="1:85" ht="14" customHeight="1">
      <c r="A62" s="85" t="s">
        <v>186</v>
      </c>
      <c r="B62" s="216">
        <v>2733.6666666666665</v>
      </c>
      <c r="C62" s="216">
        <v>0</v>
      </c>
      <c r="D62" s="38">
        <f t="shared" si="67"/>
        <v>2733.6666666666665</v>
      </c>
      <c r="E62" s="26">
        <v>1</v>
      </c>
      <c r="F62" s="26">
        <v>1.18</v>
      </c>
      <c r="G62" s="22">
        <f t="shared" si="59"/>
        <v>1.65</v>
      </c>
      <c r="H62" s="24">
        <f t="shared" si="68"/>
        <v>1.18</v>
      </c>
      <c r="I62" s="39">
        <f t="shared" si="69"/>
        <v>3225.7266666666665</v>
      </c>
      <c r="J62" s="38">
        <f t="shared" si="70"/>
        <v>3225.7266666666665</v>
      </c>
      <c r="K62" s="40">
        <f t="shared" si="71"/>
        <v>4.9004932760882101E-2</v>
      </c>
      <c r="L62" s="22">
        <f t="shared" si="72"/>
        <v>5.7825820657840879E-2</v>
      </c>
      <c r="M62" s="24">
        <f t="shared" si="73"/>
        <v>5.7825820657840872E-2</v>
      </c>
      <c r="N62" s="2"/>
      <c r="O62" s="2"/>
      <c r="P62" s="2"/>
      <c r="Q62" s="56"/>
      <c r="R62" s="56"/>
      <c r="S62" s="56"/>
      <c r="T62" s="56"/>
      <c r="U62" s="56"/>
      <c r="V62" s="56"/>
      <c r="W62" s="110"/>
      <c r="X62" s="118"/>
      <c r="Y62" s="110"/>
      <c r="Z62" s="116">
        <v>0.25</v>
      </c>
      <c r="AA62" s="147">
        <f t="shared" si="64"/>
        <v>806.43166666666662</v>
      </c>
      <c r="AB62" s="116">
        <v>0.25</v>
      </c>
      <c r="AC62" s="147">
        <f t="shared" si="65"/>
        <v>806.43166666666662</v>
      </c>
      <c r="AD62" s="116">
        <v>0.25</v>
      </c>
      <c r="AE62" s="147">
        <f t="shared" si="66"/>
        <v>806.43166666666662</v>
      </c>
      <c r="AF62" s="122">
        <f t="shared" si="57"/>
        <v>0.25</v>
      </c>
      <c r="AG62" s="147">
        <f t="shared" si="60"/>
        <v>806.43166666666662</v>
      </c>
      <c r="AH62" s="123">
        <f t="shared" si="74"/>
        <v>1</v>
      </c>
      <c r="AI62" s="112">
        <f t="shared" si="74"/>
        <v>3225.7266666666665</v>
      </c>
      <c r="AJ62" s="148">
        <f t="shared" si="62"/>
        <v>1612.8633333333332</v>
      </c>
      <c r="AK62" s="147">
        <f t="shared" si="63"/>
        <v>1612.8633333333332</v>
      </c>
      <c r="AP62" s="25"/>
      <c r="AQ62" s="25"/>
      <c r="AR62" s="25"/>
      <c r="AS62" s="25"/>
      <c r="AT62" s="25"/>
      <c r="AU62" s="25"/>
      <c r="AW62" s="25"/>
      <c r="AX62" s="25"/>
      <c r="AY62" s="25"/>
      <c r="AZ62" s="25"/>
      <c r="BA62" s="25"/>
      <c r="BB62" s="25"/>
      <c r="BF62" s="25"/>
      <c r="BG62" s="25"/>
      <c r="BH62" s="25"/>
      <c r="BI62" s="25"/>
      <c r="BJ62" s="25"/>
      <c r="BK62" s="25"/>
      <c r="BM62" s="25"/>
      <c r="BN62" s="25"/>
      <c r="BO62" s="25"/>
      <c r="BP62" s="25"/>
      <c r="BQ62" s="25"/>
      <c r="BR62" s="25"/>
      <c r="BU62" s="25"/>
      <c r="BV62" s="25"/>
      <c r="BW62" s="25"/>
      <c r="BX62" s="25"/>
      <c r="BY62" s="25"/>
      <c r="BZ62" s="25"/>
      <c r="CB62" s="25"/>
      <c r="CC62" s="25"/>
      <c r="CD62" s="25"/>
      <c r="CE62" s="25"/>
      <c r="CF62" s="25"/>
      <c r="CG62" s="25"/>
    </row>
    <row r="63" spans="1:85" ht="14" customHeight="1">
      <c r="A63" s="85" t="s">
        <v>187</v>
      </c>
      <c r="B63" s="216">
        <v>0</v>
      </c>
      <c r="C63" s="216">
        <v>0</v>
      </c>
      <c r="D63" s="38">
        <f t="shared" si="67"/>
        <v>0</v>
      </c>
      <c r="E63" s="26">
        <v>1</v>
      </c>
      <c r="F63" s="26">
        <v>1</v>
      </c>
      <c r="G63" s="22">
        <f t="shared" si="59"/>
        <v>1.65</v>
      </c>
      <c r="H63" s="24">
        <f t="shared" si="68"/>
        <v>1</v>
      </c>
      <c r="I63" s="39">
        <f t="shared" si="69"/>
        <v>0</v>
      </c>
      <c r="J63" s="38">
        <f t="shared" si="70"/>
        <v>0</v>
      </c>
      <c r="K63" s="40">
        <f t="shared" si="71"/>
        <v>0</v>
      </c>
      <c r="L63" s="22">
        <f t="shared" si="72"/>
        <v>0</v>
      </c>
      <c r="M63" s="24">
        <f t="shared" si="73"/>
        <v>0</v>
      </c>
      <c r="N63" s="2"/>
      <c r="O63" s="2"/>
      <c r="P63" s="2"/>
      <c r="Q63" s="56"/>
      <c r="R63" s="56"/>
      <c r="S63" s="56"/>
      <c r="T63" s="56"/>
      <c r="U63" s="56"/>
      <c r="V63" s="56"/>
      <c r="W63" s="110"/>
      <c r="X63" s="118"/>
      <c r="Y63" s="110"/>
      <c r="Z63" s="116">
        <v>0.25</v>
      </c>
      <c r="AA63" s="147">
        <f t="shared" si="64"/>
        <v>0</v>
      </c>
      <c r="AB63" s="116">
        <v>0.25</v>
      </c>
      <c r="AC63" s="147">
        <f t="shared" si="65"/>
        <v>0</v>
      </c>
      <c r="AD63" s="116">
        <v>0.25</v>
      </c>
      <c r="AE63" s="147">
        <f t="shared" si="66"/>
        <v>0</v>
      </c>
      <c r="AF63" s="122">
        <f t="shared" si="57"/>
        <v>0.25</v>
      </c>
      <c r="AG63" s="147">
        <f t="shared" si="60"/>
        <v>0</v>
      </c>
      <c r="AH63" s="123">
        <f t="shared" si="74"/>
        <v>1</v>
      </c>
      <c r="AI63" s="112">
        <f t="shared" si="74"/>
        <v>0</v>
      </c>
      <c r="AJ63" s="148">
        <f t="shared" si="62"/>
        <v>0</v>
      </c>
      <c r="AK63" s="147">
        <f t="shared" si="63"/>
        <v>0</v>
      </c>
      <c r="AP63" s="25"/>
      <c r="AQ63" s="25"/>
      <c r="AR63" s="25"/>
      <c r="AS63" s="25"/>
      <c r="AT63" s="25"/>
      <c r="AU63" s="25"/>
      <c r="AW63" s="25"/>
      <c r="AX63" s="25"/>
      <c r="AY63" s="25"/>
      <c r="AZ63" s="25"/>
      <c r="BA63" s="25"/>
      <c r="BB63" s="25"/>
      <c r="BF63" s="25"/>
      <c r="BG63" s="25"/>
      <c r="BH63" s="25"/>
      <c r="BI63" s="25"/>
      <c r="BJ63" s="25"/>
      <c r="BK63" s="25"/>
      <c r="BM63" s="25"/>
      <c r="BN63" s="25"/>
      <c r="BO63" s="25"/>
      <c r="BP63" s="25"/>
      <c r="BQ63" s="25"/>
      <c r="BR63" s="25"/>
      <c r="BU63" s="25"/>
      <c r="BV63" s="25"/>
      <c r="BW63" s="25"/>
      <c r="BX63" s="25"/>
      <c r="BY63" s="25"/>
      <c r="BZ63" s="25"/>
      <c r="CB63" s="25"/>
      <c r="CC63" s="25"/>
      <c r="CD63" s="25"/>
      <c r="CE63" s="25"/>
      <c r="CF63" s="25"/>
      <c r="CG63" s="25"/>
    </row>
    <row r="64" spans="1:85" ht="14" customHeight="1">
      <c r="A64" s="85" t="s">
        <v>188</v>
      </c>
      <c r="B64" s="216">
        <v>2100</v>
      </c>
      <c r="C64" s="216">
        <v>0</v>
      </c>
      <c r="D64" s="38">
        <f t="shared" si="67"/>
        <v>2100</v>
      </c>
      <c r="E64" s="26">
        <v>1</v>
      </c>
      <c r="F64" s="26">
        <v>1.1100000000000001</v>
      </c>
      <c r="G64" s="22">
        <f t="shared" si="59"/>
        <v>1.65</v>
      </c>
      <c r="H64" s="24">
        <f t="shared" si="68"/>
        <v>1.1100000000000001</v>
      </c>
      <c r="I64" s="39">
        <f t="shared" si="69"/>
        <v>2331</v>
      </c>
      <c r="J64" s="38">
        <f t="shared" si="70"/>
        <v>2331</v>
      </c>
      <c r="K64" s="40">
        <f t="shared" si="71"/>
        <v>3.7645540347952353E-2</v>
      </c>
      <c r="L64" s="22">
        <f t="shared" si="72"/>
        <v>4.1786549786227117E-2</v>
      </c>
      <c r="M64" s="24">
        <f t="shared" si="73"/>
        <v>4.178654978622711E-2</v>
      </c>
      <c r="N64" s="2"/>
      <c r="O64" s="2"/>
      <c r="P64" s="2"/>
      <c r="Q64" s="56"/>
      <c r="R64" s="56"/>
      <c r="S64" s="56"/>
      <c r="T64" s="56"/>
      <c r="U64" s="56"/>
      <c r="V64" s="56"/>
      <c r="W64" s="110"/>
      <c r="X64" s="118"/>
      <c r="Y64" s="110"/>
      <c r="Z64" s="116">
        <v>0.25</v>
      </c>
      <c r="AA64" s="149">
        <f t="shared" si="64"/>
        <v>582.75</v>
      </c>
      <c r="AB64" s="116">
        <v>0.25</v>
      </c>
      <c r="AC64" s="149">
        <f t="shared" si="65"/>
        <v>582.75</v>
      </c>
      <c r="AD64" s="116">
        <v>0.25</v>
      </c>
      <c r="AE64" s="149">
        <f t="shared" si="66"/>
        <v>582.75</v>
      </c>
      <c r="AF64" s="150">
        <f t="shared" si="57"/>
        <v>0.25</v>
      </c>
      <c r="AG64" s="149">
        <f t="shared" si="60"/>
        <v>582.75</v>
      </c>
      <c r="AH64" s="123">
        <f t="shared" si="74"/>
        <v>1</v>
      </c>
      <c r="AI64" s="112">
        <f t="shared" si="74"/>
        <v>2331</v>
      </c>
      <c r="AJ64" s="151">
        <f t="shared" si="62"/>
        <v>1165.5</v>
      </c>
      <c r="AK64" s="149">
        <f t="shared" si="63"/>
        <v>1165.5</v>
      </c>
      <c r="AP64" s="25"/>
      <c r="AQ64" s="25"/>
      <c r="AR64" s="25"/>
      <c r="AS64" s="25"/>
      <c r="AT64" s="25"/>
      <c r="AU64" s="25"/>
      <c r="AW64" s="25"/>
      <c r="AX64" s="25"/>
      <c r="AY64" s="25"/>
      <c r="AZ64" s="25"/>
      <c r="BA64" s="25"/>
      <c r="BB64" s="25"/>
      <c r="BF64" s="25"/>
      <c r="BG64" s="25"/>
      <c r="BH64" s="25"/>
      <c r="BI64" s="25"/>
      <c r="BJ64" s="25"/>
      <c r="BK64" s="25"/>
      <c r="BM64" s="25"/>
      <c r="BN64" s="25"/>
      <c r="BO64" s="25"/>
      <c r="BP64" s="25"/>
      <c r="BQ64" s="25"/>
      <c r="BR64" s="25"/>
      <c r="BU64" s="25"/>
      <c r="BV64" s="25"/>
      <c r="BW64" s="25"/>
      <c r="BX64" s="25"/>
      <c r="BY64" s="25"/>
      <c r="BZ64" s="25"/>
      <c r="CB64" s="25"/>
      <c r="CC64" s="25"/>
      <c r="CD64" s="25"/>
      <c r="CE64" s="25"/>
      <c r="CF64" s="25"/>
      <c r="CG64" s="25"/>
    </row>
    <row r="65" spans="1:88" ht="14" customHeight="1">
      <c r="A65" s="41" t="s">
        <v>32</v>
      </c>
      <c r="B65" s="41">
        <f>SUM(B37:B64)</f>
        <v>55783.5</v>
      </c>
      <c r="C65" s="41">
        <f>SUM(C37:C64)</f>
        <v>-933.49999999999989</v>
      </c>
      <c r="D65" s="42">
        <f>SUM(D37:D64)</f>
        <v>54850</v>
      </c>
      <c r="E65" s="32"/>
      <c r="F65" s="32"/>
      <c r="G65" s="32"/>
      <c r="H65" s="31"/>
      <c r="I65" s="39">
        <f>SUM(I37:I64)</f>
        <v>33361.660000000003</v>
      </c>
      <c r="J65" s="39">
        <f>SUM(J37:J64)</f>
        <v>33361.660000000003</v>
      </c>
      <c r="K65" s="40">
        <f>SUM(K37:K64)</f>
        <v>0.99999999999999989</v>
      </c>
      <c r="L65" s="22">
        <f>SUM(L37:L64)</f>
        <v>0.62671775704285315</v>
      </c>
      <c r="M65" s="24">
        <f>SUM(M37:M64)</f>
        <v>0.59805605600222289</v>
      </c>
      <c r="N65" s="2"/>
      <c r="O65" s="2"/>
      <c r="P65" s="2"/>
      <c r="Q65" s="56"/>
      <c r="R65" s="56"/>
      <c r="S65" s="56"/>
      <c r="T65" s="56"/>
      <c r="U65" s="56"/>
      <c r="V65" s="56"/>
      <c r="W65" s="110"/>
      <c r="X65" s="152"/>
      <c r="Y65" s="110"/>
      <c r="Z65" s="137"/>
      <c r="AA65" s="153">
        <f>SUM(AA37:AA64)</f>
        <v>6655.541666666667</v>
      </c>
      <c r="AB65" s="137"/>
      <c r="AC65" s="153">
        <f>SUM(AC37:AC64)</f>
        <v>6655.541666666667</v>
      </c>
      <c r="AD65" s="137"/>
      <c r="AE65" s="153">
        <f>SUM(AE37:AE64)</f>
        <v>6655.541666666667</v>
      </c>
      <c r="AF65" s="137"/>
      <c r="AG65" s="153">
        <f>SUM(AG37:AG64)</f>
        <v>9588.2350000000006</v>
      </c>
      <c r="AH65" s="137"/>
      <c r="AI65" s="153">
        <f>SUM(AI37:AI64)</f>
        <v>29554.860000000004</v>
      </c>
      <c r="AJ65" s="153">
        <f>SUM(AJ37:AJ64)</f>
        <v>13311.083333333334</v>
      </c>
      <c r="AK65" s="153">
        <f>SUM(AK37:AK64)</f>
        <v>16243.776666666667</v>
      </c>
      <c r="AP65" s="25"/>
      <c r="AQ65" s="25"/>
      <c r="AR65" s="25"/>
      <c r="AS65" s="25"/>
      <c r="AT65" s="25"/>
      <c r="AU65" s="25"/>
      <c r="AW65" s="25"/>
      <c r="AX65" s="25"/>
      <c r="AY65" s="25"/>
      <c r="AZ65" s="25"/>
      <c r="BA65" s="25"/>
      <c r="BB65" s="25"/>
      <c r="BF65" s="25"/>
      <c r="BG65" s="25"/>
      <c r="BH65" s="25"/>
      <c r="BI65" s="25"/>
      <c r="BJ65" s="25"/>
      <c r="BK65" s="25"/>
      <c r="BM65" s="25"/>
      <c r="BN65" s="25"/>
      <c r="BO65" s="25"/>
      <c r="BP65" s="25"/>
      <c r="BQ65" s="25"/>
      <c r="BR65" s="25"/>
      <c r="BU65" s="25"/>
      <c r="BV65" s="25"/>
      <c r="BW65" s="25"/>
      <c r="BX65" s="25"/>
      <c r="BY65" s="25"/>
      <c r="BZ65" s="25"/>
      <c r="CB65" s="25"/>
      <c r="CC65" s="25"/>
      <c r="CD65" s="25"/>
      <c r="CE65" s="25"/>
      <c r="CF65" s="25"/>
      <c r="CG65" s="25"/>
    </row>
    <row r="66" spans="1:88" ht="13.5" customHeight="1">
      <c r="A66" s="43"/>
      <c r="B66" s="43"/>
      <c r="C66" s="43"/>
      <c r="D66" s="44"/>
      <c r="E66" s="14"/>
      <c r="F66" s="14"/>
      <c r="G66" s="14"/>
      <c r="H66" s="44"/>
      <c r="I66" s="14"/>
      <c r="J66" s="44"/>
      <c r="K66" s="45"/>
      <c r="L66" s="11"/>
      <c r="M66" s="10"/>
      <c r="N66" s="2"/>
      <c r="O66" s="2"/>
      <c r="P66" s="2"/>
      <c r="Q66" s="56"/>
      <c r="R66" s="56"/>
      <c r="S66" s="56"/>
      <c r="T66" s="56"/>
      <c r="U66" s="56"/>
      <c r="V66" s="56"/>
      <c r="W66" s="110"/>
      <c r="X66" s="118"/>
      <c r="Y66" s="110"/>
      <c r="Z66" s="143"/>
      <c r="AA66" s="154"/>
      <c r="AB66" s="143"/>
      <c r="AC66" s="154"/>
      <c r="AD66" s="143"/>
      <c r="AE66" s="154"/>
      <c r="AF66" s="143"/>
      <c r="AG66" s="154"/>
      <c r="AH66" s="143"/>
      <c r="AI66" s="154"/>
      <c r="AJ66" s="143"/>
      <c r="AK66" s="144"/>
      <c r="AP66" s="25"/>
      <c r="AQ66" s="25"/>
      <c r="AR66" s="25"/>
      <c r="AS66" s="25"/>
      <c r="AT66" s="25"/>
      <c r="AU66" s="25"/>
      <c r="AW66" s="25"/>
      <c r="AX66" s="25"/>
      <c r="AY66" s="25"/>
      <c r="AZ66" s="25"/>
      <c r="BA66" s="25"/>
      <c r="BB66" s="25"/>
      <c r="BF66" s="25"/>
      <c r="BG66" s="25"/>
      <c r="BH66" s="25"/>
      <c r="BI66" s="25"/>
      <c r="BJ66" s="25"/>
      <c r="BK66" s="25"/>
      <c r="BM66" s="25"/>
      <c r="BN66" s="25"/>
      <c r="BO66" s="25"/>
      <c r="BP66" s="25"/>
      <c r="BQ66" s="25"/>
      <c r="BR66" s="25"/>
      <c r="BU66" s="25"/>
      <c r="BV66" s="25"/>
      <c r="BW66" s="25"/>
      <c r="BX66" s="25"/>
      <c r="BY66" s="25"/>
      <c r="BZ66" s="25"/>
      <c r="CB66" s="25"/>
      <c r="CC66" s="25"/>
      <c r="CD66" s="25"/>
      <c r="CE66" s="25"/>
      <c r="CF66" s="25"/>
      <c r="CG66" s="25"/>
    </row>
    <row r="67" spans="1:88" ht="15.75" customHeight="1">
      <c r="A67" s="15" t="s">
        <v>33</v>
      </c>
      <c r="B67" s="46"/>
      <c r="C67" s="46"/>
      <c r="D67" s="38"/>
      <c r="E67" s="32"/>
      <c r="F67" s="32"/>
      <c r="G67" s="32"/>
      <c r="H67" s="31"/>
      <c r="I67" s="47"/>
      <c r="J67" s="48"/>
      <c r="K67" s="34" t="s">
        <v>34</v>
      </c>
      <c r="L67" s="2"/>
      <c r="M67" s="31"/>
      <c r="N67" s="2"/>
      <c r="O67" s="2"/>
      <c r="P67" s="2"/>
      <c r="Q67" s="56"/>
      <c r="R67" s="56"/>
      <c r="S67" s="56"/>
      <c r="T67" s="56"/>
      <c r="U67" s="56"/>
      <c r="V67" s="56"/>
      <c r="W67" s="110"/>
      <c r="X67" s="118"/>
      <c r="Y67" s="110"/>
      <c r="Z67" s="145"/>
      <c r="AA67" s="147"/>
      <c r="AB67" s="145"/>
      <c r="AC67" s="147"/>
      <c r="AD67" s="145"/>
      <c r="AE67" s="147"/>
      <c r="AF67" s="145"/>
      <c r="AG67" s="147"/>
      <c r="AH67" s="145"/>
      <c r="AI67" s="147"/>
      <c r="AJ67" s="145"/>
      <c r="AK67" s="146"/>
      <c r="AP67" s="25"/>
      <c r="AQ67" s="25"/>
      <c r="AR67" s="25"/>
      <c r="AS67" s="25"/>
      <c r="AT67" s="25"/>
      <c r="AU67" s="25"/>
      <c r="AW67" s="25"/>
      <c r="AX67" s="25"/>
      <c r="AY67" s="25"/>
      <c r="AZ67" s="25"/>
      <c r="BA67" s="25"/>
      <c r="BB67" s="25"/>
      <c r="BF67" s="25"/>
      <c r="BG67" s="25"/>
      <c r="BH67" s="25"/>
      <c r="BI67" s="25"/>
      <c r="BJ67" s="25"/>
      <c r="BK67" s="25"/>
      <c r="BM67" s="25"/>
      <c r="BN67" s="25"/>
      <c r="BO67" s="25"/>
      <c r="BP67" s="25"/>
      <c r="BQ67" s="25"/>
      <c r="BR67" s="25"/>
      <c r="BU67" s="25"/>
      <c r="BV67" s="25"/>
      <c r="BW67" s="25"/>
      <c r="BX67" s="25"/>
      <c r="BY67" s="25"/>
      <c r="BZ67" s="25"/>
      <c r="CB67" s="25"/>
      <c r="CC67" s="25"/>
      <c r="CD67" s="25"/>
      <c r="CE67" s="25"/>
      <c r="CF67" s="25"/>
      <c r="CG67" s="25"/>
    </row>
    <row r="68" spans="1:88" ht="14" customHeight="1">
      <c r="A68" s="49"/>
      <c r="B68" s="46" t="s">
        <v>7</v>
      </c>
      <c r="C68" s="46"/>
      <c r="D68" s="50"/>
      <c r="E68" s="19" t="s">
        <v>10</v>
      </c>
      <c r="F68" s="2" t="s">
        <v>28</v>
      </c>
      <c r="G68" s="2"/>
      <c r="H68" s="16" t="s">
        <v>12</v>
      </c>
      <c r="I68" s="19" t="s">
        <v>13</v>
      </c>
      <c r="J68" s="16" t="s">
        <v>14</v>
      </c>
      <c r="K68" s="37" t="s">
        <v>7</v>
      </c>
      <c r="L68" s="19" t="s">
        <v>15</v>
      </c>
      <c r="M68" s="16" t="s">
        <v>14</v>
      </c>
      <c r="N68" s="2"/>
      <c r="O68" s="2"/>
      <c r="P68" s="2"/>
      <c r="Q68" s="56"/>
      <c r="R68" s="56"/>
      <c r="S68" s="56"/>
      <c r="T68" s="56"/>
      <c r="U68" s="56"/>
      <c r="V68" s="56"/>
      <c r="W68" s="112"/>
      <c r="X68" s="118"/>
      <c r="Y68" s="110"/>
      <c r="Z68" s="145"/>
      <c r="AA68" s="147"/>
      <c r="AB68" s="145"/>
      <c r="AC68" s="147"/>
      <c r="AD68" s="145"/>
      <c r="AE68" s="147"/>
      <c r="AF68" s="145"/>
      <c r="AG68" s="147"/>
      <c r="AH68" s="145"/>
      <c r="AI68" s="147"/>
      <c r="AJ68" s="145"/>
      <c r="AK68" s="146"/>
      <c r="AP68" s="25"/>
      <c r="AQ68" s="25"/>
      <c r="AR68" s="25"/>
      <c r="AS68" s="25"/>
      <c r="AT68" s="25"/>
      <c r="AU68" s="25"/>
      <c r="AW68" s="25"/>
      <c r="AX68" s="25"/>
      <c r="AY68" s="25"/>
      <c r="AZ68" s="25"/>
      <c r="BA68" s="25"/>
      <c r="BB68" s="25"/>
      <c r="BF68" s="25"/>
      <c r="BG68" s="25"/>
      <c r="BH68" s="25"/>
      <c r="BI68" s="25"/>
      <c r="BJ68" s="25"/>
      <c r="BK68" s="25"/>
      <c r="BM68" s="25"/>
      <c r="BN68" s="25"/>
      <c r="BO68" s="25"/>
      <c r="BP68" s="25"/>
      <c r="BQ68" s="25"/>
      <c r="BR68" s="25"/>
      <c r="BU68" s="25"/>
      <c r="BV68" s="25"/>
      <c r="BW68" s="25"/>
      <c r="BX68" s="25"/>
      <c r="BY68" s="25"/>
      <c r="BZ68" s="25"/>
      <c r="CB68" s="25"/>
      <c r="CC68" s="25"/>
      <c r="CD68" s="25"/>
      <c r="CE68" s="25"/>
      <c r="CF68" s="25"/>
      <c r="CG68" s="25"/>
    </row>
    <row r="69" spans="1:88" ht="14" customHeight="1">
      <c r="A69" s="46" t="s">
        <v>30</v>
      </c>
      <c r="B69" s="46" t="s">
        <v>35</v>
      </c>
      <c r="C69" s="46"/>
      <c r="D69" s="38"/>
      <c r="E69" s="19" t="s">
        <v>18</v>
      </c>
      <c r="F69" s="2" t="s">
        <v>31</v>
      </c>
      <c r="G69" s="2"/>
      <c r="H69" s="16" t="s">
        <v>18</v>
      </c>
      <c r="I69" s="19" t="s">
        <v>35</v>
      </c>
      <c r="J69" s="16" t="s">
        <v>35</v>
      </c>
      <c r="K69" s="37" t="s">
        <v>35</v>
      </c>
      <c r="L69" s="19" t="s">
        <v>19</v>
      </c>
      <c r="M69" s="16" t="s">
        <v>35</v>
      </c>
      <c r="N69" s="2"/>
      <c r="O69" s="2"/>
      <c r="P69" s="2"/>
      <c r="Q69" s="56"/>
      <c r="R69" s="56"/>
      <c r="S69" s="56"/>
      <c r="T69" s="56"/>
      <c r="U69" s="56"/>
      <c r="V69" s="56"/>
      <c r="W69" s="110"/>
      <c r="X69" s="118"/>
      <c r="Y69" s="110"/>
      <c r="Z69" s="145"/>
      <c r="AA69" s="147"/>
      <c r="AB69" s="145"/>
      <c r="AC69" s="147"/>
      <c r="AD69" s="145"/>
      <c r="AE69" s="147"/>
      <c r="AF69" s="145"/>
      <c r="AG69" s="147"/>
      <c r="AH69" s="145"/>
      <c r="AI69" s="147"/>
      <c r="AJ69" s="145"/>
      <c r="AK69" s="146"/>
      <c r="AP69" s="25"/>
      <c r="AQ69" s="25"/>
      <c r="AR69" s="25"/>
      <c r="AS69" s="25"/>
      <c r="AT69" s="25"/>
      <c r="AU69" s="25"/>
      <c r="AW69" s="25"/>
      <c r="AX69" s="25"/>
      <c r="AY69" s="25"/>
      <c r="AZ69" s="25"/>
      <c r="BA69" s="25"/>
      <c r="BB69" s="25"/>
      <c r="BF69" s="25"/>
      <c r="BG69" s="25"/>
      <c r="BH69" s="25"/>
      <c r="BI69" s="25"/>
      <c r="BJ69" s="25"/>
      <c r="BK69" s="25"/>
      <c r="BM69" s="25"/>
      <c r="BN69" s="25"/>
      <c r="BO69" s="25"/>
      <c r="BP69" s="25"/>
      <c r="BQ69" s="25"/>
      <c r="BR69" s="25"/>
      <c r="BU69" s="25"/>
      <c r="BV69" s="25"/>
      <c r="BW69" s="25"/>
      <c r="BX69" s="25"/>
      <c r="BY69" s="25"/>
      <c r="BZ69" s="25"/>
      <c r="CB69" s="25"/>
      <c r="CC69" s="25"/>
      <c r="CD69" s="25"/>
      <c r="CE69" s="25"/>
      <c r="CF69" s="25"/>
      <c r="CG69" s="25"/>
    </row>
    <row r="70" spans="1:88" ht="14" customHeight="1">
      <c r="A70" s="110" t="s">
        <v>131</v>
      </c>
      <c r="B70" s="104">
        <f>17072.0182228949*8/7</f>
        <v>19510.877969022746</v>
      </c>
      <c r="C70" s="46"/>
      <c r="D70" s="38"/>
      <c r="E70" s="26">
        <v>1</v>
      </c>
      <c r="F70" s="26">
        <v>1.4</v>
      </c>
      <c r="G70" s="22"/>
      <c r="H70" s="24">
        <f>(E70*F70)</f>
        <v>1.4</v>
      </c>
      <c r="I70" s="39">
        <f>I124*I$83</f>
        <v>27315.229156631842</v>
      </c>
      <c r="J70" s="51">
        <f t="shared" ref="J70:J77" si="75">J124*I$83</f>
        <v>27315.229156631842</v>
      </c>
      <c r="K70" s="40">
        <f>B70/B$76</f>
        <v>0.34976073514610495</v>
      </c>
      <c r="L70" s="22">
        <f t="shared" ref="L70:L75" si="76">(L124*G$37*F$9/F$7)/B$130</f>
        <v>0.48966502920454691</v>
      </c>
      <c r="M70" s="24">
        <f>J70/B$76</f>
        <v>0.48966502920454691</v>
      </c>
      <c r="N70" s="2"/>
      <c r="O70" s="2"/>
      <c r="P70" s="2"/>
      <c r="Q70" s="56"/>
      <c r="R70" s="56"/>
      <c r="S70" s="56"/>
      <c r="T70" s="56"/>
      <c r="U70" s="56"/>
      <c r="V70" s="56"/>
      <c r="W70" s="110"/>
      <c r="X70" s="118"/>
      <c r="Y70" s="110"/>
      <c r="Z70" s="116">
        <v>0.25</v>
      </c>
      <c r="AA70" s="147">
        <f>$J70*Z70</f>
        <v>6828.8072891579604</v>
      </c>
      <c r="AB70" s="116">
        <v>0.25</v>
      </c>
      <c r="AC70" s="147">
        <f>$J70*AB70</f>
        <v>6828.8072891579604</v>
      </c>
      <c r="AD70" s="116">
        <v>0.25</v>
      </c>
      <c r="AE70" s="147">
        <f>$J70*AD70</f>
        <v>6828.8072891579604</v>
      </c>
      <c r="AF70" s="122">
        <f>1-SUM(Z70,AB70,AD70)</f>
        <v>0.25</v>
      </c>
      <c r="AG70" s="147">
        <f>$J70*AF70</f>
        <v>6828.8072891579604</v>
      </c>
      <c r="AH70" s="155">
        <f>SUM(Z70,AB70,AD70,AF70)</f>
        <v>1</v>
      </c>
      <c r="AI70" s="147">
        <f>SUM(AA70,AC70,AE70,AG70)</f>
        <v>27315.229156631842</v>
      </c>
      <c r="AJ70" s="148">
        <f>(AA70+AC70)</f>
        <v>13657.614578315921</v>
      </c>
      <c r="AK70" s="147">
        <f>(AE70+AG70)</f>
        <v>13657.614578315921</v>
      </c>
      <c r="AP70" s="25"/>
      <c r="AQ70" s="25"/>
      <c r="AR70" s="25"/>
      <c r="AS70" s="25"/>
      <c r="AT70" s="25"/>
      <c r="AU70" s="25"/>
      <c r="AW70" s="25"/>
      <c r="AX70" s="25"/>
      <c r="AY70" s="25"/>
      <c r="AZ70" s="25"/>
      <c r="BA70" s="25"/>
      <c r="BB70" s="25"/>
      <c r="BF70" s="25"/>
      <c r="BG70" s="25"/>
      <c r="BH70" s="25"/>
      <c r="BI70" s="25"/>
      <c r="BJ70" s="25"/>
      <c r="BK70" s="25"/>
      <c r="BM70" s="25"/>
      <c r="BN70" s="25"/>
      <c r="BO70" s="25"/>
      <c r="BP70" s="25"/>
      <c r="BQ70" s="25"/>
      <c r="BR70" s="25"/>
      <c r="BU70" s="25"/>
      <c r="BV70" s="25"/>
      <c r="BW70" s="25"/>
      <c r="BX70" s="25"/>
      <c r="BY70" s="25"/>
      <c r="BZ70" s="25"/>
      <c r="CB70" s="25"/>
      <c r="CC70" s="25"/>
      <c r="CD70" s="25"/>
      <c r="CE70" s="25"/>
      <c r="CF70" s="25"/>
      <c r="CG70" s="25"/>
    </row>
    <row r="71" spans="1:88" ht="14" customHeight="1">
      <c r="A71" s="110" t="s">
        <v>132</v>
      </c>
      <c r="B71" s="104">
        <f>14413.7777777778*8/7</f>
        <v>16472.888888888912</v>
      </c>
      <c r="C71" s="46"/>
      <c r="D71" s="38"/>
      <c r="E71" s="26">
        <v>1</v>
      </c>
      <c r="F71" s="26">
        <v>1.18</v>
      </c>
      <c r="G71" s="22"/>
      <c r="H71" s="24">
        <f t="shared" ref="H71:H72" si="77">(E71*F71)</f>
        <v>1.18</v>
      </c>
      <c r="I71" s="39">
        <f>I125*I$83</f>
        <v>6046.4308433681572</v>
      </c>
      <c r="J71" s="51">
        <f t="shared" si="75"/>
        <v>6046.4308433681572</v>
      </c>
      <c r="K71" s="40">
        <f t="shared" ref="K71:K72" si="78">B71/B$76</f>
        <v>0.29530038253047786</v>
      </c>
      <c r="L71" s="22">
        <f t="shared" si="76"/>
        <v>0.13705272783830633</v>
      </c>
      <c r="M71" s="24">
        <f t="shared" ref="M71:M72" si="79">J71/B$76</f>
        <v>0.10839102679767597</v>
      </c>
      <c r="N71" s="2"/>
      <c r="O71" s="2"/>
      <c r="P71" s="2"/>
      <c r="Q71" s="56"/>
      <c r="R71" s="56"/>
      <c r="S71" s="56"/>
      <c r="T71" s="56"/>
      <c r="U71" s="56"/>
      <c r="V71" s="56"/>
      <c r="W71" s="110"/>
      <c r="X71" s="118"/>
      <c r="Y71" s="110"/>
      <c r="Z71" s="116"/>
      <c r="AA71" s="147"/>
      <c r="AB71" s="116"/>
      <c r="AC71" s="147"/>
      <c r="AD71" s="116"/>
      <c r="AE71" s="147"/>
      <c r="AF71" s="122"/>
      <c r="AG71" s="147"/>
      <c r="AH71" s="155"/>
      <c r="AI71" s="147"/>
      <c r="AJ71" s="148"/>
      <c r="AK71" s="147"/>
      <c r="AP71" s="25"/>
      <c r="AQ71" s="25"/>
      <c r="AR71" s="25"/>
      <c r="AS71" s="25"/>
      <c r="AT71" s="25"/>
      <c r="AU71" s="25"/>
      <c r="AW71" s="25"/>
      <c r="AX71" s="25"/>
      <c r="AY71" s="25"/>
      <c r="AZ71" s="25"/>
      <c r="BA71" s="25"/>
      <c r="BB71" s="25"/>
      <c r="BF71" s="25"/>
      <c r="BG71" s="25"/>
      <c r="BH71" s="25"/>
      <c r="BI71" s="25"/>
      <c r="BJ71" s="25"/>
      <c r="BK71" s="25"/>
      <c r="BM71" s="25"/>
      <c r="BN71" s="25"/>
      <c r="BO71" s="25"/>
      <c r="BP71" s="25"/>
      <c r="BQ71" s="25"/>
      <c r="BR71" s="25"/>
      <c r="BU71" s="25"/>
      <c r="BV71" s="25"/>
      <c r="BW71" s="25"/>
      <c r="BX71" s="25"/>
      <c r="BY71" s="25"/>
      <c r="BZ71" s="25"/>
      <c r="CB71" s="25"/>
      <c r="CC71" s="25"/>
      <c r="CD71" s="25"/>
      <c r="CE71" s="25"/>
      <c r="CF71" s="25"/>
      <c r="CG71" s="25"/>
    </row>
    <row r="72" spans="1:88" ht="14" customHeight="1">
      <c r="A72" s="110" t="s">
        <v>133</v>
      </c>
      <c r="B72" s="104">
        <f>25432*8/7</f>
        <v>29065.142857142859</v>
      </c>
      <c r="C72" s="46"/>
      <c r="D72" s="38"/>
      <c r="E72" s="26">
        <v>1</v>
      </c>
      <c r="F72" s="26">
        <v>1.18</v>
      </c>
      <c r="G72" s="22"/>
      <c r="H72" s="24">
        <f t="shared" si="77"/>
        <v>1.18</v>
      </c>
      <c r="I72" s="39">
        <f>I126*I$83</f>
        <v>0</v>
      </c>
      <c r="J72" s="51">
        <f t="shared" si="75"/>
        <v>0</v>
      </c>
      <c r="K72" s="40">
        <f t="shared" si="78"/>
        <v>0.52103476578455743</v>
      </c>
      <c r="L72" s="22">
        <f t="shared" si="76"/>
        <v>0</v>
      </c>
      <c r="M72" s="24">
        <f t="shared" si="79"/>
        <v>0</v>
      </c>
      <c r="N72" s="2"/>
      <c r="O72" s="2"/>
      <c r="P72" s="2"/>
      <c r="Q72" s="56"/>
      <c r="R72" s="56"/>
      <c r="S72" s="56"/>
      <c r="T72" s="56"/>
      <c r="U72" s="56"/>
      <c r="V72" s="56"/>
      <c r="W72" s="110"/>
      <c r="X72" s="118"/>
      <c r="Y72" s="110"/>
      <c r="Z72" s="116"/>
      <c r="AA72" s="147"/>
      <c r="AB72" s="116"/>
      <c r="AC72" s="147"/>
      <c r="AD72" s="116"/>
      <c r="AE72" s="147"/>
      <c r="AF72" s="122"/>
      <c r="AG72" s="147"/>
      <c r="AH72" s="155"/>
      <c r="AI72" s="147"/>
      <c r="AJ72" s="148"/>
      <c r="AK72" s="147"/>
      <c r="AP72" s="25"/>
      <c r="AQ72" s="25"/>
      <c r="AR72" s="25"/>
      <c r="AS72" s="25"/>
      <c r="AT72" s="25"/>
      <c r="AU72" s="25"/>
      <c r="AW72" s="25"/>
      <c r="AX72" s="25"/>
      <c r="AY72" s="25"/>
      <c r="AZ72" s="25"/>
      <c r="BA72" s="25"/>
      <c r="BB72" s="25"/>
      <c r="BF72" s="25"/>
      <c r="BG72" s="25"/>
      <c r="BH72" s="25"/>
      <c r="BI72" s="25"/>
      <c r="BJ72" s="25"/>
      <c r="BK72" s="25"/>
      <c r="BM72" s="25"/>
      <c r="BN72" s="25"/>
      <c r="BO72" s="25"/>
      <c r="BP72" s="25"/>
      <c r="BQ72" s="25"/>
      <c r="BR72" s="25"/>
      <c r="BU72" s="25"/>
      <c r="BV72" s="25"/>
      <c r="BW72" s="25"/>
      <c r="BX72" s="25"/>
      <c r="BY72" s="25"/>
      <c r="BZ72" s="25"/>
      <c r="CB72" s="25"/>
      <c r="CC72" s="25"/>
      <c r="CD72" s="25"/>
      <c r="CE72" s="25"/>
      <c r="CF72" s="25"/>
      <c r="CG72" s="25"/>
    </row>
    <row r="73" spans="1:88" ht="13.5" customHeight="1">
      <c r="A73" s="110" t="s">
        <v>134</v>
      </c>
      <c r="B73" s="104">
        <v>4348.666666666667</v>
      </c>
      <c r="C73" s="46"/>
      <c r="D73" s="38"/>
      <c r="E73" s="26">
        <v>1</v>
      </c>
      <c r="F73" s="26">
        <v>1.18</v>
      </c>
      <c r="G73" s="22"/>
      <c r="H73" s="24">
        <f>(E73*F73)</f>
        <v>1.18</v>
      </c>
      <c r="I73" s="39">
        <f>I127*I$83</f>
        <v>0</v>
      </c>
      <c r="J73" s="51">
        <f t="shared" si="75"/>
        <v>0</v>
      </c>
      <c r="K73" s="40">
        <f>B73/B$76</f>
        <v>7.7956145933235937E-2</v>
      </c>
      <c r="L73" s="22">
        <f t="shared" si="76"/>
        <v>0</v>
      </c>
      <c r="M73" s="24">
        <f>J73/B$76</f>
        <v>0</v>
      </c>
      <c r="O73" s="2"/>
      <c r="P73" s="2"/>
      <c r="Q73" s="56"/>
      <c r="R73" s="56"/>
      <c r="S73" s="56"/>
      <c r="T73" s="56"/>
      <c r="U73" s="56"/>
      <c r="V73" s="56"/>
      <c r="W73" s="110"/>
      <c r="X73" s="118"/>
      <c r="Y73" s="110"/>
      <c r="Z73" s="116">
        <v>0.09</v>
      </c>
      <c r="AA73" s="147">
        <f>$H$73*$B$73*Z73</f>
        <v>461.82840000000004</v>
      </c>
      <c r="AB73" s="116">
        <v>0.09</v>
      </c>
      <c r="AC73" s="147">
        <f>$H$73*$B$73*AB73</f>
        <v>461.82840000000004</v>
      </c>
      <c r="AD73" s="116">
        <v>0.23</v>
      </c>
      <c r="AE73" s="147">
        <f>$H$73*$B$73*AD73</f>
        <v>1180.2281333333335</v>
      </c>
      <c r="AF73" s="122">
        <f>1-SUM(Z73,AB73,AD73)</f>
        <v>0.59</v>
      </c>
      <c r="AG73" s="147">
        <f>$H$73*$B$73*AF73</f>
        <v>3027.5417333333335</v>
      </c>
      <c r="AH73" s="155">
        <f>SUM(Z73,AB73,AD73,AF73)</f>
        <v>1</v>
      </c>
      <c r="AI73" s="147">
        <f>SUM(AA73,AC73,AE73,AG73)</f>
        <v>5131.4266666666672</v>
      </c>
      <c r="AJ73" s="148">
        <f>(AA73+AC73)</f>
        <v>923.65680000000009</v>
      </c>
      <c r="AK73" s="147">
        <f>(AE73+AG73)</f>
        <v>4207.7698666666674</v>
      </c>
      <c r="AP73" s="25"/>
      <c r="AQ73" s="25"/>
      <c r="AR73" s="25"/>
      <c r="AS73" s="25"/>
      <c r="AT73" s="25"/>
      <c r="AU73" s="25"/>
      <c r="AW73" s="25"/>
      <c r="AX73" s="25"/>
      <c r="AY73" s="25"/>
      <c r="AZ73" s="25"/>
      <c r="BA73" s="25"/>
      <c r="BB73" s="25"/>
      <c r="BF73" s="25"/>
      <c r="BG73" s="25"/>
      <c r="BH73" s="25"/>
      <c r="BI73" s="25"/>
      <c r="BJ73" s="25"/>
      <c r="BK73" s="25"/>
      <c r="BM73" s="25"/>
      <c r="BN73" s="25"/>
      <c r="BO73" s="25"/>
      <c r="BP73" s="25"/>
      <c r="BQ73" s="25"/>
      <c r="BR73" s="25"/>
      <c r="BU73" s="25"/>
      <c r="BV73" s="25"/>
      <c r="BW73" s="25"/>
      <c r="BX73" s="25"/>
      <c r="BY73" s="25"/>
      <c r="BZ73" s="25"/>
      <c r="CB73" s="25"/>
      <c r="CC73" s="25"/>
      <c r="CD73" s="25"/>
      <c r="CE73" s="25"/>
      <c r="CF73" s="25"/>
      <c r="CG73" s="25"/>
    </row>
    <row r="74" spans="1:88" ht="14" customHeight="1">
      <c r="A74" s="1" t="s">
        <v>135</v>
      </c>
      <c r="B74" s="52">
        <f>B30*B83</f>
        <v>5100.6595905797012</v>
      </c>
      <c r="C74" s="46"/>
      <c r="D74" s="38"/>
      <c r="E74" s="32"/>
      <c r="F74" s="32"/>
      <c r="G74" s="32"/>
      <c r="H74" s="31"/>
      <c r="I74" s="39">
        <f>I128*I$83</f>
        <v>6046.4308433681572</v>
      </c>
      <c r="J74" s="51">
        <f t="shared" si="75"/>
        <v>1928.6030062252516</v>
      </c>
      <c r="K74" s="40">
        <f>B74/B$76</f>
        <v>9.1436707818256316E-2</v>
      </c>
      <c r="L74" s="22">
        <f t="shared" si="76"/>
        <v>1.9272367739684264E-2</v>
      </c>
      <c r="M74" s="24">
        <f>J74/B$76</f>
        <v>3.4573001088588053E-2</v>
      </c>
      <c r="O74" s="2"/>
      <c r="P74" s="2"/>
      <c r="Q74" s="56"/>
      <c r="R74" s="56"/>
      <c r="S74" s="56"/>
      <c r="T74" s="56"/>
      <c r="U74" s="56"/>
      <c r="V74" s="56"/>
      <c r="W74" s="110"/>
      <c r="X74" s="118"/>
      <c r="Y74" s="110"/>
      <c r="Z74" s="156"/>
      <c r="AA74" s="147">
        <f>AA30*$I$83/4</f>
        <v>-2342.351555070938</v>
      </c>
      <c r="AB74" s="156"/>
      <c r="AC74" s="147">
        <f>AC30*$I$83/4</f>
        <v>-1567.6222779568311</v>
      </c>
      <c r="AD74" s="156"/>
      <c r="AE74" s="147">
        <f>AE30*$I$83/4</f>
        <v>-2078.8304798677941</v>
      </c>
      <c r="AF74" s="156"/>
      <c r="AG74" s="147">
        <f>AG30*$I$83/4</f>
        <v>7917.4073191208126</v>
      </c>
      <c r="AH74" s="155"/>
      <c r="AI74" s="147">
        <f>SUM(AA74,AC74,AE74,AG74)</f>
        <v>1928.6030062252494</v>
      </c>
      <c r="AJ74" s="148">
        <f>(AA74+AC74)</f>
        <v>-3909.9738330277692</v>
      </c>
      <c r="AK74" s="147">
        <f>(AE74+AG74)</f>
        <v>5838.576839253019</v>
      </c>
      <c r="AP74" s="25"/>
      <c r="AQ74" s="25"/>
      <c r="AR74" s="25"/>
      <c r="AS74" s="25"/>
      <c r="AT74" s="25"/>
      <c r="AU74" s="25"/>
      <c r="AW74" s="25"/>
      <c r="AX74" s="25"/>
      <c r="AY74" s="25"/>
      <c r="AZ74" s="25"/>
      <c r="BA74" s="25"/>
      <c r="BB74" s="25"/>
      <c r="BF74" s="25"/>
      <c r="BG74" s="25"/>
      <c r="BH74" s="25"/>
      <c r="BI74" s="25"/>
      <c r="BJ74" s="25"/>
      <c r="BK74" s="25"/>
      <c r="BM74" s="25"/>
      <c r="BN74" s="25"/>
      <c r="BO74" s="25"/>
      <c r="BP74" s="25"/>
      <c r="BQ74" s="25"/>
      <c r="BR74" s="25"/>
      <c r="BU74" s="25"/>
      <c r="BV74" s="25"/>
      <c r="BW74" s="25"/>
      <c r="BX74" s="25"/>
      <c r="BY74" s="25"/>
      <c r="BZ74" s="25"/>
      <c r="CB74" s="25"/>
      <c r="CC74" s="25"/>
      <c r="CD74" s="25"/>
      <c r="CE74" s="25"/>
      <c r="CF74" s="25"/>
      <c r="CG74" s="25"/>
    </row>
    <row r="75" spans="1:88" ht="14" customHeight="1">
      <c r="A75" s="1" t="s">
        <v>55</v>
      </c>
      <c r="B75" s="81">
        <f>B129*B83</f>
        <v>0</v>
      </c>
      <c r="C75" s="46"/>
      <c r="D75" s="38"/>
      <c r="E75" s="32"/>
      <c r="F75" s="32"/>
      <c r="G75" s="32"/>
      <c r="H75" s="31"/>
      <c r="I75" s="47"/>
      <c r="J75" s="51">
        <f t="shared" si="75"/>
        <v>0</v>
      </c>
      <c r="K75" s="40">
        <f>B75/B$76</f>
        <v>0</v>
      </c>
      <c r="L75" s="22">
        <f t="shared" si="76"/>
        <v>0</v>
      </c>
      <c r="M75" s="24">
        <f>J75/B$76</f>
        <v>0</v>
      </c>
      <c r="O75" s="2"/>
      <c r="P75" s="2"/>
      <c r="Q75" s="56"/>
      <c r="R75" s="56"/>
      <c r="S75" s="56"/>
      <c r="T75" s="56"/>
      <c r="U75" s="56"/>
      <c r="V75" s="56"/>
      <c r="W75" s="110"/>
      <c r="X75" s="157"/>
      <c r="Y75" s="161" t="s">
        <v>104</v>
      </c>
      <c r="Z75" s="158"/>
      <c r="AA75" s="149">
        <f>AA79-AA74</f>
        <v>2169.0859325796446</v>
      </c>
      <c r="AB75" s="158"/>
      <c r="AC75" s="149">
        <f>AA75+AC65-SUM(AC70,AC74)</f>
        <v>3563.4425880451836</v>
      </c>
      <c r="AD75" s="158"/>
      <c r="AE75" s="149">
        <f>AC75+AE65-SUM(AE70,AE74)</f>
        <v>5469.0074454216829</v>
      </c>
      <c r="AF75" s="158"/>
      <c r="AG75" s="149">
        <f>IF(SUM(AG6:AG29)+((AG65-AG70-$J$75)*4/I$83)&lt;1,0,AG65-AG70-$J$75-(1-SUM(AG6:AG29))*I$83/4)</f>
        <v>0</v>
      </c>
      <c r="AH75" s="134"/>
      <c r="AI75" s="149">
        <f>AI76-SUM(AI70,AI74)</f>
        <v>311.02783714290854</v>
      </c>
      <c r="AJ75" s="151">
        <f>AJ76-SUM(AJ70,AJ74)</f>
        <v>3563.4425880451818</v>
      </c>
      <c r="AK75" s="149">
        <f>AJ75+AK76-SUM(AK70,AK74)</f>
        <v>311.02783714291218</v>
      </c>
      <c r="AP75" s="25"/>
      <c r="AQ75" s="25"/>
      <c r="AR75" s="25"/>
      <c r="AS75" s="25"/>
      <c r="AT75" s="25"/>
      <c r="AU75" s="25"/>
      <c r="AW75" s="25"/>
      <c r="AX75" s="25"/>
      <c r="AY75" s="25"/>
      <c r="AZ75" s="25"/>
      <c r="BA75" s="25"/>
      <c r="BB75" s="25"/>
      <c r="BF75" s="25"/>
      <c r="BG75" s="25"/>
      <c r="BH75" s="25"/>
      <c r="BI75" s="25"/>
      <c r="BJ75" s="25"/>
      <c r="BK75" s="25"/>
      <c r="BM75" s="25"/>
      <c r="BN75" s="25"/>
      <c r="BO75" s="25"/>
      <c r="BP75" s="25"/>
      <c r="BQ75" s="25"/>
      <c r="BR75" s="25"/>
      <c r="BU75" s="25"/>
      <c r="BV75" s="25"/>
      <c r="BW75" s="25"/>
      <c r="BX75" s="25"/>
      <c r="BY75" s="25"/>
      <c r="BZ75" s="25"/>
      <c r="CB75" s="25"/>
      <c r="CC75" s="25"/>
      <c r="CD75" s="25"/>
      <c r="CE75" s="25"/>
      <c r="CF75" s="25"/>
      <c r="CG75" s="25"/>
    </row>
    <row r="76" spans="1:88" ht="14" customHeight="1" thickBot="1">
      <c r="A76" s="1" t="s">
        <v>32</v>
      </c>
      <c r="B76" s="52">
        <f>B65</f>
        <v>55783.5</v>
      </c>
      <c r="C76" s="46"/>
      <c r="D76" s="38"/>
      <c r="E76" s="32"/>
      <c r="F76" s="32"/>
      <c r="G76" s="32"/>
      <c r="H76" s="31"/>
      <c r="I76" s="39">
        <f>I130*I$83</f>
        <v>33361.659999999996</v>
      </c>
      <c r="J76" s="51">
        <f t="shared" si="75"/>
        <v>33361.659999999996</v>
      </c>
      <c r="K76" s="40">
        <f>SUM(K70:K75)</f>
        <v>1.3354887372126323</v>
      </c>
      <c r="L76" s="22">
        <f>SUM(L70:L75)</f>
        <v>0.64599012478253748</v>
      </c>
      <c r="M76" s="24">
        <f>SUM(M70:M75)</f>
        <v>0.63262905709081096</v>
      </c>
      <c r="O76" s="2"/>
      <c r="P76" s="2"/>
      <c r="Q76" s="56"/>
      <c r="R76" s="56"/>
      <c r="S76" s="56"/>
      <c r="T76" s="56"/>
      <c r="U76" s="56"/>
      <c r="V76" s="56"/>
      <c r="W76" s="110"/>
      <c r="X76" s="189"/>
      <c r="Y76" s="189"/>
      <c r="Z76" s="137"/>
      <c r="AA76" s="154">
        <f>AA65</f>
        <v>6655.541666666667</v>
      </c>
      <c r="AB76" s="137"/>
      <c r="AC76" s="153">
        <f>AC65</f>
        <v>6655.541666666667</v>
      </c>
      <c r="AD76" s="137"/>
      <c r="AE76" s="153">
        <f>AE65</f>
        <v>6655.541666666667</v>
      </c>
      <c r="AF76" s="137"/>
      <c r="AG76" s="153">
        <f>AG65</f>
        <v>9588.2350000000006</v>
      </c>
      <c r="AH76" s="137"/>
      <c r="AI76" s="153">
        <f>SUM(AA76,AC76,AE76,AG76)</f>
        <v>29554.86</v>
      </c>
      <c r="AJ76" s="154">
        <f>SUM(AA76,AC76)</f>
        <v>13311.083333333334</v>
      </c>
      <c r="AK76" s="154">
        <f>SUM(AE76,AG76)</f>
        <v>16243.776666666668</v>
      </c>
      <c r="AP76" s="25"/>
      <c r="AQ76" s="25"/>
      <c r="AR76" s="25"/>
      <c r="AS76" s="25"/>
      <c r="AT76" s="25"/>
      <c r="AU76" s="25"/>
      <c r="AW76" s="25"/>
      <c r="AX76" s="25"/>
      <c r="AY76" s="25"/>
      <c r="AZ76" s="25"/>
      <c r="BA76" s="25"/>
      <c r="BB76" s="25"/>
      <c r="BF76" s="25"/>
      <c r="BG76" s="25"/>
      <c r="BH76" s="25"/>
      <c r="BI76" s="25"/>
      <c r="BJ76" s="25"/>
      <c r="BK76" s="25"/>
      <c r="BM76" s="25"/>
      <c r="BN76" s="25"/>
      <c r="BO76" s="25"/>
      <c r="BP76" s="25"/>
      <c r="BQ76" s="25"/>
      <c r="BR76" s="25"/>
      <c r="BU76" s="25"/>
      <c r="BV76" s="25"/>
      <c r="BW76" s="25"/>
      <c r="BX76" s="25"/>
      <c r="BY76" s="25"/>
      <c r="BZ76" s="25"/>
      <c r="CB76" s="25"/>
      <c r="CC76" s="25"/>
      <c r="CD76" s="25"/>
      <c r="CE76" s="25"/>
      <c r="CF76" s="25"/>
      <c r="CG76" s="25"/>
    </row>
    <row r="77" spans="1:88" ht="14" customHeight="1" thickBot="1">
      <c r="A77" s="99" t="s">
        <v>36</v>
      </c>
      <c r="B77" s="52"/>
      <c r="C77" s="46"/>
      <c r="D77" s="38"/>
      <c r="E77" s="32"/>
      <c r="F77" s="32"/>
      <c r="G77" s="32"/>
      <c r="H77" s="31"/>
      <c r="I77" s="39">
        <f>I131*I$83</f>
        <v>19438.008888888908</v>
      </c>
      <c r="J77" s="100">
        <f t="shared" si="75"/>
        <v>15320.181051746</v>
      </c>
      <c r="K77" s="40"/>
      <c r="L77" s="22">
        <f>-(L131*G$37*F$9/F$7)/B$130</f>
        <v>-0.34845445138596376</v>
      </c>
      <c r="M77" s="24">
        <f>-J77/B$76</f>
        <v>-0.27463642567687579</v>
      </c>
      <c r="O77" s="2"/>
      <c r="P77" s="2"/>
      <c r="Q77" s="56"/>
      <c r="R77" s="56"/>
      <c r="S77" s="56"/>
      <c r="T77" s="56"/>
      <c r="U77" s="56"/>
      <c r="V77" s="56"/>
      <c r="W77" s="110"/>
      <c r="X77" s="110"/>
      <c r="Y77" s="161" t="s">
        <v>102</v>
      </c>
      <c r="Z77" s="159"/>
      <c r="AA77" s="111">
        <f>AA31*$I$83/4</f>
        <v>0</v>
      </c>
      <c r="AB77" s="112"/>
      <c r="AC77" s="111">
        <f>AC31*$I$83/4</f>
        <v>0</v>
      </c>
      <c r="AD77" s="112"/>
      <c r="AE77" s="111">
        <f>AE31*$I$83/4</f>
        <v>0</v>
      </c>
      <c r="AF77" s="112"/>
      <c r="AG77" s="111">
        <f>AG31*$I$83/4</f>
        <v>0</v>
      </c>
      <c r="AH77" s="110"/>
      <c r="AI77" s="154">
        <f>SUM(AA77,AC77,AE77,AG77)</f>
        <v>0</v>
      </c>
      <c r="AJ77" s="153">
        <f>SUM(AA77,AC77)</f>
        <v>0</v>
      </c>
      <c r="AK77" s="160">
        <f>SUM(AE77,AG77)</f>
        <v>0</v>
      </c>
      <c r="AP77" s="25"/>
      <c r="AQ77" s="25"/>
      <c r="AR77" s="25"/>
      <c r="AS77" s="25"/>
      <c r="AT77" s="25"/>
      <c r="AU77" s="25"/>
      <c r="AW77" s="25"/>
      <c r="AX77" s="25"/>
      <c r="AY77" s="25"/>
      <c r="AZ77" s="25"/>
      <c r="BA77" s="25"/>
      <c r="BB77" s="25"/>
      <c r="BF77" s="25"/>
      <c r="BG77" s="25"/>
      <c r="BH77" s="25"/>
      <c r="BI77" s="25"/>
      <c r="BJ77" s="25"/>
      <c r="BK77" s="25"/>
      <c r="BM77" s="25"/>
      <c r="BN77" s="25"/>
      <c r="BO77" s="25"/>
      <c r="BP77" s="25"/>
      <c r="BQ77" s="25"/>
      <c r="BR77" s="25"/>
      <c r="BU77" s="25"/>
      <c r="BV77" s="25"/>
      <c r="BW77" s="25"/>
      <c r="BX77" s="25"/>
      <c r="BY77" s="25"/>
      <c r="BZ77" s="25"/>
      <c r="CB77" s="25"/>
      <c r="CC77" s="25"/>
      <c r="CD77" s="25"/>
      <c r="CE77" s="25"/>
      <c r="CF77" s="25"/>
      <c r="CG77" s="25"/>
    </row>
    <row r="78" spans="1:88" ht="14" customHeight="1">
      <c r="A78" s="53" t="s">
        <v>37</v>
      </c>
      <c r="B78" s="46"/>
      <c r="C78" s="46"/>
      <c r="D78" s="38"/>
      <c r="E78" s="32"/>
      <c r="F78" s="32"/>
      <c r="G78" s="32"/>
      <c r="H78" s="31"/>
      <c r="I78" s="47"/>
      <c r="J78" s="48"/>
      <c r="K78" s="32"/>
      <c r="L78" s="32"/>
      <c r="M78" s="48"/>
      <c r="N78" s="2"/>
      <c r="O78" s="2"/>
      <c r="P78" s="2"/>
      <c r="Q78" s="56"/>
      <c r="R78" s="56"/>
      <c r="S78" s="56"/>
      <c r="T78" s="56"/>
      <c r="U78" s="56"/>
      <c r="V78" s="56"/>
      <c r="W78" s="110"/>
      <c r="X78" s="110"/>
      <c r="Y78" s="161" t="s">
        <v>103</v>
      </c>
      <c r="Z78" s="110"/>
      <c r="AA78" s="112">
        <f>IF(SUM(AG6:AG29)+((AG65-AG70-$J$75)*4/I$83)&lt;1,0,AG65-AG70-$J$75-(1-SUM(AG6:AG29))*I$83/4)</f>
        <v>0</v>
      </c>
      <c r="AB78" s="112"/>
      <c r="AC78" s="112">
        <f>IF(AA75&lt;0,0,AA75)</f>
        <v>2169.0859325796446</v>
      </c>
      <c r="AD78" s="112"/>
      <c r="AE78" s="112">
        <f>AC75</f>
        <v>3563.4425880451836</v>
      </c>
      <c r="AF78" s="112"/>
      <c r="AG78" s="112">
        <f>AE75</f>
        <v>5469.0074454216829</v>
      </c>
      <c r="AH78" s="110"/>
      <c r="AI78" s="146"/>
      <c r="AJ78" s="110"/>
      <c r="AK78" s="146"/>
      <c r="AP78" s="25"/>
      <c r="AQ78" s="25"/>
      <c r="AR78" s="25"/>
      <c r="AS78" s="25"/>
      <c r="AT78" s="25"/>
      <c r="AU78" s="25"/>
      <c r="AW78" s="25"/>
      <c r="AX78" s="25"/>
      <c r="AY78" s="25"/>
      <c r="AZ78" s="25"/>
      <c r="BA78" s="25"/>
      <c r="BB78" s="25"/>
      <c r="BF78" s="25"/>
      <c r="BG78" s="25"/>
      <c r="BH78" s="25"/>
      <c r="BI78" s="25"/>
      <c r="BJ78" s="25"/>
      <c r="BK78" s="25"/>
      <c r="BM78" s="25"/>
      <c r="BN78" s="25"/>
      <c r="BO78" s="25"/>
      <c r="BP78" s="25"/>
      <c r="BQ78" s="25"/>
      <c r="BR78" s="25"/>
      <c r="BU78" s="25"/>
      <c r="BV78" s="25"/>
      <c r="BW78" s="25"/>
      <c r="BX78" s="25"/>
      <c r="BY78" s="25"/>
      <c r="BZ78" s="25"/>
      <c r="CB78" s="25"/>
      <c r="CC78" s="25"/>
      <c r="CD78" s="25"/>
      <c r="CE78" s="25"/>
      <c r="CF78" s="25"/>
      <c r="CG78" s="25"/>
    </row>
    <row r="79" spans="1:88" ht="14" customHeight="1">
      <c r="A79" s="46" t="s">
        <v>38</v>
      </c>
      <c r="B79" s="230" t="s">
        <v>189</v>
      </c>
      <c r="C79" s="46"/>
      <c r="D79" s="38"/>
      <c r="E79" s="32"/>
      <c r="F79" s="32"/>
      <c r="G79" s="32"/>
      <c r="H79" s="31"/>
      <c r="I79" s="47"/>
      <c r="J79" s="48"/>
      <c r="K79" s="32"/>
      <c r="L79" s="32"/>
      <c r="M79" s="48"/>
      <c r="N79" s="32"/>
      <c r="O79" s="2"/>
      <c r="P79" s="2"/>
      <c r="Q79" s="56"/>
      <c r="R79" s="56"/>
      <c r="S79" s="56"/>
      <c r="T79" s="56"/>
      <c r="U79" s="56"/>
      <c r="V79" s="56"/>
      <c r="W79" s="110"/>
      <c r="X79" s="110"/>
      <c r="Y79" s="161" t="s">
        <v>63</v>
      </c>
      <c r="Z79" s="110"/>
      <c r="AA79" s="112">
        <f>AA65-AA70+IF(SUM(AG6:AG29)+((AG65-AG70-$J$75)*4/I$83)&lt;1,0,AG65-AG70-$J$75-(1-SUM(AG6:AG29))*I$83/4)</f>
        <v>-173.26562249129347</v>
      </c>
      <c r="AB79" s="112"/>
      <c r="AC79" s="112">
        <f>AA79-AA74+AC65-AC70</f>
        <v>1995.820310088352</v>
      </c>
      <c r="AD79" s="112"/>
      <c r="AE79" s="112">
        <f>AC79-AC74+AE65-AE70</f>
        <v>3390.1769655538892</v>
      </c>
      <c r="AF79" s="112"/>
      <c r="AG79" s="112">
        <f>AE79-AE74+AG65-AG70</f>
        <v>8228.4351562637239</v>
      </c>
      <c r="AH79" s="110"/>
      <c r="AI79" s="146"/>
      <c r="AJ79" s="110"/>
      <c r="AK79" s="146"/>
      <c r="AS79" s="25"/>
      <c r="AT79" s="25"/>
      <c r="AU79" s="25"/>
      <c r="AV79" s="25"/>
      <c r="AW79" s="25"/>
      <c r="AX79" s="25"/>
      <c r="AZ79" s="25"/>
      <c r="BA79" s="25"/>
      <c r="BB79" s="25"/>
      <c r="BC79" s="25"/>
      <c r="BD79" s="25"/>
      <c r="BE79" s="25"/>
      <c r="BI79" s="25"/>
      <c r="BJ79" s="25"/>
      <c r="BK79" s="25"/>
      <c r="BL79" s="25"/>
      <c r="BM79" s="25"/>
      <c r="BN79" s="25"/>
      <c r="BP79" s="25"/>
      <c r="BQ79" s="25"/>
      <c r="BR79" s="25"/>
      <c r="BS79" s="25"/>
      <c r="BT79" s="25"/>
      <c r="BU79" s="25"/>
      <c r="BX79" s="25"/>
      <c r="BY79" s="25"/>
      <c r="BZ79" s="25"/>
      <c r="CA79" s="25"/>
      <c r="CB79" s="25"/>
      <c r="CC79" s="25"/>
      <c r="CE79" s="25"/>
      <c r="CF79" s="25"/>
      <c r="CG79" s="25"/>
      <c r="CH79" s="25"/>
      <c r="CI79" s="25"/>
      <c r="CJ79" s="25"/>
    </row>
    <row r="80" spans="1:88" ht="14" customHeight="1">
      <c r="A80" s="46" t="s">
        <v>39</v>
      </c>
      <c r="B80" s="105">
        <v>0.60121974522379507</v>
      </c>
      <c r="C80" s="46"/>
      <c r="D80" s="38"/>
      <c r="E80" s="32"/>
      <c r="F80" s="32"/>
      <c r="G80" s="32"/>
      <c r="H80" s="31"/>
      <c r="I80" s="47"/>
      <c r="J80" s="48"/>
      <c r="K80" s="32"/>
      <c r="L80" s="32"/>
      <c r="M80" s="48"/>
      <c r="N80" s="32"/>
      <c r="O80" s="2"/>
      <c r="P80" s="2"/>
      <c r="Q80" s="56"/>
      <c r="R80" s="56"/>
      <c r="S80" s="56"/>
      <c r="T80" s="56"/>
      <c r="U80" s="56"/>
      <c r="V80" s="56"/>
      <c r="W80" s="110"/>
      <c r="X80" s="110"/>
      <c r="Y80" s="161"/>
      <c r="Z80" s="110"/>
      <c r="AA80" s="110"/>
      <c r="AB80" s="110"/>
      <c r="AC80" s="110"/>
      <c r="AD80" s="110"/>
      <c r="AE80" s="110"/>
      <c r="AF80" s="110"/>
      <c r="AG80" s="110"/>
      <c r="AH80" s="110"/>
      <c r="AI80" s="146"/>
      <c r="AJ80" s="110"/>
      <c r="AK80" s="146"/>
      <c r="AS80" s="25"/>
      <c r="AT80" s="25"/>
      <c r="AU80" s="25"/>
      <c r="AV80" s="25"/>
      <c r="AW80" s="25"/>
      <c r="AX80" s="25"/>
      <c r="AZ80" s="25"/>
      <c r="BA80" s="25"/>
      <c r="BB80" s="25"/>
      <c r="BC80" s="25"/>
      <c r="BD80" s="25"/>
      <c r="BE80" s="25"/>
      <c r="BI80" s="25"/>
      <c r="BJ80" s="25"/>
      <c r="BK80" s="25"/>
      <c r="BL80" s="25"/>
      <c r="BM80" s="25"/>
      <c r="BN80" s="25"/>
      <c r="BP80" s="25"/>
      <c r="BQ80" s="25"/>
      <c r="BR80" s="25"/>
      <c r="BS80" s="25"/>
      <c r="BT80" s="25"/>
      <c r="BU80" s="25"/>
      <c r="BX80" s="25"/>
      <c r="BY80" s="25"/>
      <c r="BZ80" s="25"/>
      <c r="CA80" s="25"/>
      <c r="CB80" s="25"/>
      <c r="CC80" s="25"/>
      <c r="CE80" s="25"/>
      <c r="CF80" s="25"/>
      <c r="CG80" s="25"/>
      <c r="CH80" s="25"/>
      <c r="CI80" s="25"/>
      <c r="CJ80" s="25"/>
    </row>
    <row r="81" spans="1:88" ht="14" customHeight="1">
      <c r="A81" s="46" t="s">
        <v>40</v>
      </c>
      <c r="B81" s="230">
        <v>8</v>
      </c>
      <c r="C81" s="46"/>
      <c r="D81" s="38"/>
      <c r="E81" s="32"/>
      <c r="F81" s="32"/>
      <c r="G81" s="32"/>
      <c r="H81" s="31"/>
      <c r="I81" s="47"/>
      <c r="J81" s="48"/>
      <c r="K81" s="32"/>
      <c r="L81" s="32"/>
      <c r="M81" s="48"/>
      <c r="N81" s="32"/>
      <c r="O81" s="2"/>
      <c r="P81" s="2"/>
      <c r="Q81" s="56"/>
      <c r="R81" s="56"/>
      <c r="S81" s="56"/>
      <c r="T81" s="56"/>
      <c r="U81" s="56"/>
      <c r="V81" s="56"/>
      <c r="W81" s="110"/>
      <c r="X81" s="110"/>
      <c r="Y81" s="161"/>
      <c r="Z81" s="143" t="s">
        <v>64</v>
      </c>
      <c r="AA81" s="159"/>
      <c r="AB81" s="159"/>
      <c r="AC81" s="159"/>
      <c r="AD81" s="159"/>
      <c r="AE81" s="159"/>
      <c r="AF81" s="159"/>
      <c r="AG81" s="144"/>
      <c r="AH81" s="114" t="s">
        <v>65</v>
      </c>
      <c r="AI81" s="146"/>
      <c r="AJ81" s="110"/>
      <c r="AK81" s="146"/>
      <c r="AS81" s="25"/>
      <c r="AT81" s="25"/>
      <c r="AU81" s="25"/>
      <c r="AV81" s="25"/>
      <c r="AW81" s="25"/>
      <c r="AX81" s="25"/>
      <c r="AZ81" s="25"/>
      <c r="BA81" s="25"/>
      <c r="BB81" s="25"/>
      <c r="BC81" s="25"/>
      <c r="BD81" s="25"/>
      <c r="BE81" s="25"/>
      <c r="BI81" s="25"/>
      <c r="BJ81" s="25"/>
      <c r="BK81" s="25"/>
      <c r="BL81" s="25"/>
      <c r="BM81" s="25"/>
      <c r="BN81" s="25"/>
      <c r="BP81" s="25"/>
      <c r="BQ81" s="25"/>
      <c r="BR81" s="25"/>
      <c r="BS81" s="25"/>
      <c r="BT81" s="25"/>
      <c r="BU81" s="25"/>
      <c r="BX81" s="25"/>
      <c r="BY81" s="25"/>
      <c r="BZ81" s="25"/>
      <c r="CA81" s="25"/>
      <c r="CB81" s="25"/>
      <c r="CC81" s="25"/>
      <c r="CE81" s="25"/>
      <c r="CF81" s="25"/>
      <c r="CG81" s="25"/>
      <c r="CH81" s="25"/>
      <c r="CI81" s="25"/>
      <c r="CJ81" s="25"/>
    </row>
    <row r="82" spans="1:88" ht="14" customHeight="1">
      <c r="A82" s="46" t="s">
        <v>41</v>
      </c>
      <c r="B82" s="105">
        <v>5.8592428953253695</v>
      </c>
      <c r="C82" s="46"/>
      <c r="D82" s="38"/>
      <c r="E82" s="32"/>
      <c r="F82" s="32"/>
      <c r="G82" s="32"/>
      <c r="H82" s="31"/>
      <c r="I82" s="47"/>
      <c r="J82" s="48"/>
      <c r="K82" s="32"/>
      <c r="L82" s="32"/>
      <c r="M82" s="48"/>
      <c r="N82" s="32"/>
      <c r="O82" s="2"/>
      <c r="P82" s="2"/>
      <c r="Q82" s="56"/>
      <c r="R82" s="56"/>
      <c r="S82" s="56"/>
      <c r="T82" s="56"/>
      <c r="U82" s="56"/>
      <c r="V82" s="56"/>
      <c r="X82" s="110"/>
      <c r="Y82" s="161" t="s">
        <v>66</v>
      </c>
      <c r="Z82" s="162">
        <f>IF($AH$82=0,0,AA82/$AH$82)</f>
        <v>1</v>
      </c>
      <c r="AA82" s="163">
        <f>5*1.12</f>
        <v>5.6000000000000005</v>
      </c>
      <c r="AB82" s="162">
        <f>IF($AH$82=0,0,AC82/$AH$82)</f>
        <v>1</v>
      </c>
      <c r="AC82" s="163">
        <f>5*1.12</f>
        <v>5.6000000000000005</v>
      </c>
      <c r="AD82" s="162">
        <f>IF($AH$82=0,0,AE82/$AH$82)</f>
        <v>1</v>
      </c>
      <c r="AE82" s="163">
        <f>5*1.12</f>
        <v>5.6000000000000005</v>
      </c>
      <c r="AF82" s="162">
        <f>IF($AH$82=0,0,AG82/$AH$82)</f>
        <v>1</v>
      </c>
      <c r="AG82" s="163">
        <f>5*1.12</f>
        <v>5.6000000000000005</v>
      </c>
      <c r="AH82" s="164">
        <f>IF(PRODUCT(AA82,AC82,AE82,AG82)=0,0,SUM(AA82,AC82,AE82,AG82)/4)</f>
        <v>5.6000000000000005</v>
      </c>
      <c r="AI82" s="146"/>
      <c r="AJ82" s="110"/>
      <c r="AK82" s="146"/>
      <c r="AS82" s="25"/>
      <c r="AT82" s="25"/>
      <c r="AU82" s="25"/>
      <c r="AV82" s="25"/>
      <c r="AW82" s="25"/>
      <c r="AX82" s="25"/>
      <c r="AZ82" s="25"/>
      <c r="BA82" s="25"/>
      <c r="BB82" s="25"/>
      <c r="BC82" s="25"/>
      <c r="BD82" s="25"/>
      <c r="BE82" s="25"/>
      <c r="BI82" s="25"/>
      <c r="BJ82" s="25"/>
      <c r="BK82" s="25"/>
      <c r="BL82" s="25"/>
      <c r="BM82" s="25"/>
      <c r="BN82" s="25"/>
      <c r="BP82" s="25"/>
      <c r="BQ82" s="25"/>
      <c r="BR82" s="25"/>
      <c r="BS82" s="25"/>
      <c r="BT82" s="25"/>
      <c r="BU82" s="25"/>
      <c r="BX82" s="25"/>
      <c r="BY82" s="25"/>
      <c r="BZ82" s="25"/>
      <c r="CA82" s="25"/>
      <c r="CB82" s="25"/>
      <c r="CC82" s="25"/>
      <c r="CE82" s="25"/>
      <c r="CF82" s="25"/>
      <c r="CG82" s="25"/>
      <c r="CH82" s="25"/>
      <c r="CI82" s="25"/>
      <c r="CJ82" s="25"/>
    </row>
    <row r="83" spans="1:88" ht="14" customHeight="1">
      <c r="A83" s="46" t="s">
        <v>42</v>
      </c>
      <c r="B83" s="46">
        <f>365*B80*B81*B82</f>
        <v>10286.262160537002</v>
      </c>
      <c r="C83" s="46"/>
      <c r="D83" s="38"/>
      <c r="E83" s="32"/>
      <c r="F83" s="32"/>
      <c r="G83" s="32"/>
      <c r="H83" s="24">
        <f>G$37*F$9/F$7</f>
        <v>1.65</v>
      </c>
      <c r="I83" s="39">
        <f xml:space="preserve"> B83*H83</f>
        <v>16972.332564886052</v>
      </c>
      <c r="J83" s="48"/>
      <c r="K83" s="32"/>
      <c r="L83" s="32"/>
      <c r="M83" s="48"/>
      <c r="N83" s="32"/>
      <c r="O83" s="2"/>
      <c r="P83" s="2"/>
      <c r="Q83" s="56"/>
      <c r="R83" s="56"/>
      <c r="S83" s="56"/>
      <c r="T83" s="56"/>
      <c r="U83" s="56"/>
      <c r="V83" s="56"/>
      <c r="X83" s="110"/>
      <c r="Y83" s="161" t="s">
        <v>130</v>
      </c>
      <c r="Z83" s="110"/>
      <c r="AA83" s="165">
        <f>$I$83*Z82/4</f>
        <v>4243.083141221513</v>
      </c>
      <c r="AB83" s="112"/>
      <c r="AC83" s="165">
        <f>$I$83*AB82/4</f>
        <v>4243.083141221513</v>
      </c>
      <c r="AD83" s="112"/>
      <c r="AE83" s="165">
        <f>$I$83*AD82/4</f>
        <v>4243.083141221513</v>
      </c>
      <c r="AF83" s="112"/>
      <c r="AG83" s="165">
        <f>$I$83*AF82/4</f>
        <v>4243.083141221513</v>
      </c>
      <c r="AH83" s="165">
        <f>SUM(AA83,AC83,AE83,AG83)</f>
        <v>16972.332564886052</v>
      </c>
      <c r="AI83" s="146"/>
      <c r="AJ83" s="110"/>
      <c r="AK83" s="146"/>
      <c r="AS83" s="25"/>
      <c r="AT83" s="25"/>
      <c r="AU83" s="25"/>
      <c r="AV83" s="25"/>
      <c r="AW83" s="25"/>
      <c r="AX83" s="25"/>
      <c r="AZ83" s="25"/>
      <c r="BA83" s="25"/>
      <c r="BB83" s="25"/>
      <c r="BC83" s="25"/>
      <c r="BD83" s="25"/>
      <c r="BE83" s="25"/>
      <c r="BI83" s="25"/>
      <c r="BJ83" s="25"/>
      <c r="BK83" s="25"/>
      <c r="BL83" s="25"/>
      <c r="BM83" s="25"/>
      <c r="BN83" s="25"/>
      <c r="BP83" s="25"/>
      <c r="BQ83" s="25"/>
      <c r="BR83" s="25"/>
      <c r="BS83" s="25"/>
      <c r="BT83" s="25"/>
      <c r="BU83" s="25"/>
      <c r="BX83" s="25"/>
      <c r="BY83" s="25"/>
      <c r="BZ83" s="25"/>
      <c r="CA83" s="25"/>
      <c r="CB83" s="25"/>
      <c r="CC83" s="25"/>
      <c r="CE83" s="25"/>
      <c r="CF83" s="25"/>
      <c r="CG83" s="25"/>
      <c r="CH83" s="25"/>
      <c r="CI83" s="25"/>
      <c r="CJ83" s="25"/>
    </row>
    <row r="84" spans="1:88" ht="14" customHeight="1" thickBot="1">
      <c r="A84" s="46" t="s">
        <v>136</v>
      </c>
      <c r="B84" s="234">
        <f>B70+((1-D29)*B83)</f>
        <v>27486.46738189508</v>
      </c>
      <c r="C84" s="46"/>
      <c r="D84" s="235"/>
      <c r="E84" s="64"/>
      <c r="F84" s="64"/>
      <c r="G84" s="64"/>
      <c r="H84" s="236">
        <f>IF(B84=0,0,I84/B84)</f>
        <v>1.4725410554042833</v>
      </c>
      <c r="I84" s="234">
        <f>(B70*H70)+((1-(D29*H29))*I83)</f>
        <v>40474.951687871187</v>
      </c>
      <c r="J84" s="48"/>
      <c r="K84" s="32"/>
      <c r="L84" s="32"/>
      <c r="M84" s="48"/>
      <c r="N84" s="32"/>
      <c r="O84" s="2"/>
      <c r="P84" s="2"/>
      <c r="Q84" s="56"/>
      <c r="R84" s="56"/>
      <c r="S84" s="56"/>
      <c r="T84" s="56"/>
      <c r="U84" s="56"/>
      <c r="V84" s="56"/>
      <c r="X84" s="110"/>
      <c r="Y84" s="161"/>
      <c r="Z84" s="110"/>
      <c r="AA84" s="110"/>
      <c r="AB84" s="110"/>
      <c r="AC84" s="110"/>
      <c r="AD84" s="110"/>
      <c r="AE84" s="110"/>
      <c r="AF84" s="110"/>
      <c r="AG84" s="110"/>
      <c r="AH84" s="110"/>
      <c r="AI84" s="146"/>
      <c r="AJ84" s="110"/>
      <c r="AK84" s="146"/>
      <c r="AS84" s="25"/>
      <c r="AT84" s="25"/>
      <c r="AU84" s="25"/>
      <c r="AV84" s="25"/>
      <c r="AW84" s="25"/>
      <c r="AX84" s="25"/>
      <c r="AZ84" s="25"/>
      <c r="BA84" s="25"/>
      <c r="BB84" s="25"/>
      <c r="BC84" s="25"/>
      <c r="BD84" s="25"/>
      <c r="BE84" s="25"/>
      <c r="BI84" s="25"/>
      <c r="BJ84" s="25"/>
      <c r="BK84" s="25"/>
      <c r="BL84" s="25"/>
      <c r="BM84" s="25"/>
      <c r="BN84" s="25"/>
      <c r="BP84" s="25"/>
      <c r="BQ84" s="25"/>
      <c r="BR84" s="25"/>
      <c r="BS84" s="25"/>
      <c r="BT84" s="25"/>
      <c r="BU84" s="25"/>
      <c r="BX84" s="25"/>
      <c r="BY84" s="25"/>
      <c r="BZ84" s="25"/>
      <c r="CA84" s="25"/>
      <c r="CB84" s="25"/>
      <c r="CC84" s="25"/>
      <c r="CE84" s="25"/>
      <c r="CF84" s="25"/>
      <c r="CG84" s="25"/>
      <c r="CH84" s="25"/>
      <c r="CI84" s="25"/>
      <c r="CJ84" s="25"/>
    </row>
    <row r="85" spans="1:88" ht="14" customHeight="1" thickBot="1">
      <c r="A85" s="46" t="s">
        <v>43</v>
      </c>
      <c r="B85" s="46"/>
      <c r="C85" s="46"/>
      <c r="D85" s="38"/>
      <c r="E85" s="32"/>
      <c r="F85" s="32"/>
      <c r="G85" s="32"/>
      <c r="H85" s="31"/>
      <c r="I85" s="47"/>
      <c r="J85" s="48"/>
      <c r="K85" s="32"/>
      <c r="L85" s="32"/>
      <c r="M85" s="48"/>
      <c r="N85" s="32"/>
      <c r="O85" s="2"/>
      <c r="P85" s="2"/>
      <c r="Q85" s="56"/>
      <c r="R85" s="56"/>
      <c r="S85" s="56"/>
      <c r="T85" s="56"/>
      <c r="U85" s="56"/>
      <c r="V85" s="56"/>
      <c r="X85" s="110"/>
      <c r="Y85" s="161"/>
      <c r="Z85" s="110"/>
      <c r="AA85" s="113"/>
      <c r="AB85" s="110"/>
      <c r="AC85" s="113"/>
      <c r="AD85" s="110"/>
      <c r="AE85" s="113"/>
      <c r="AF85" s="110"/>
      <c r="AG85" s="113"/>
      <c r="AH85" s="110"/>
      <c r="AI85" s="190"/>
      <c r="AJ85" s="191"/>
      <c r="AK85" s="192"/>
      <c r="AS85" s="25"/>
      <c r="AT85" s="25"/>
      <c r="AU85" s="25"/>
      <c r="AV85" s="25"/>
      <c r="AW85" s="25"/>
      <c r="AX85" s="25"/>
      <c r="AZ85" s="25"/>
      <c r="BA85" s="25"/>
      <c r="BB85" s="25"/>
      <c r="BC85" s="25"/>
      <c r="BD85" s="25"/>
      <c r="BE85" s="25"/>
      <c r="BI85" s="25"/>
      <c r="BJ85" s="25"/>
      <c r="BK85" s="25"/>
      <c r="BL85" s="25"/>
      <c r="BM85" s="25"/>
      <c r="BN85" s="25"/>
      <c r="BP85" s="25"/>
      <c r="BQ85" s="25"/>
      <c r="BR85" s="25"/>
      <c r="BS85" s="25"/>
      <c r="BT85" s="25"/>
      <c r="BU85" s="25"/>
      <c r="BX85" s="25"/>
      <c r="BY85" s="25"/>
      <c r="BZ85" s="25"/>
      <c r="CA85" s="25"/>
      <c r="CB85" s="25"/>
      <c r="CC85" s="25"/>
      <c r="CE85" s="25"/>
      <c r="CF85" s="25"/>
      <c r="CG85" s="25"/>
      <c r="CH85" s="25"/>
      <c r="CI85" s="25"/>
      <c r="CJ85" s="25"/>
    </row>
    <row r="86" spans="1:88" ht="14" customHeight="1">
      <c r="A86" s="106"/>
      <c r="B86" s="107"/>
      <c r="C86" s="46"/>
      <c r="D86" s="38"/>
      <c r="E86" s="32"/>
      <c r="F86" s="32"/>
      <c r="G86" s="32"/>
      <c r="H86" s="31"/>
      <c r="I86" s="47"/>
      <c r="J86" s="48"/>
      <c r="K86" s="32"/>
      <c r="L86" s="32"/>
      <c r="M86" s="48"/>
      <c r="N86" s="3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I86" s="79"/>
      <c r="AS86" s="25"/>
      <c r="AT86" s="25"/>
      <c r="AU86" s="25"/>
      <c r="AV86" s="25"/>
      <c r="AW86" s="25"/>
      <c r="AX86" s="25"/>
      <c r="AZ86" s="25"/>
      <c r="BA86" s="25"/>
      <c r="BB86" s="25"/>
      <c r="BC86" s="25"/>
      <c r="BD86" s="25"/>
      <c r="BE86" s="25"/>
      <c r="BI86" s="25"/>
      <c r="BJ86" s="25"/>
      <c r="BK86" s="25"/>
      <c r="BL86" s="25"/>
      <c r="BM86" s="25"/>
      <c r="BN86" s="25"/>
      <c r="BP86" s="25"/>
      <c r="BQ86" s="25"/>
      <c r="BR86" s="25"/>
      <c r="BS86" s="25"/>
      <c r="BT86" s="25"/>
      <c r="BU86" s="25"/>
      <c r="BX86" s="25"/>
      <c r="BY86" s="25"/>
      <c r="BZ86" s="25"/>
      <c r="CA86" s="25"/>
      <c r="CB86" s="25"/>
      <c r="CC86" s="25"/>
      <c r="CE86" s="25"/>
      <c r="CF86" s="25"/>
      <c r="CG86" s="25"/>
      <c r="CH86" s="25"/>
      <c r="CI86" s="25"/>
      <c r="CJ86" s="25"/>
    </row>
    <row r="87" spans="1:88" ht="14" customHeight="1">
      <c r="A87" s="39" t="s">
        <v>123</v>
      </c>
      <c r="B87" s="75"/>
      <c r="C87" s="54"/>
      <c r="D87" s="12"/>
      <c r="E87" s="14"/>
      <c r="F87" s="14"/>
      <c r="G87" s="14"/>
      <c r="H87" s="12"/>
      <c r="I87" s="14"/>
      <c r="J87" s="12"/>
      <c r="K87" s="14"/>
      <c r="L87" s="14"/>
      <c r="M87" s="10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185"/>
      <c r="AB87" s="185"/>
      <c r="AC87" s="185"/>
      <c r="AD87" s="185"/>
      <c r="AE87" s="185"/>
      <c r="AF87" s="185"/>
      <c r="AG87" s="185"/>
      <c r="AH87" s="186"/>
      <c r="AI87" s="188"/>
      <c r="AJ87" s="79"/>
      <c r="AS87" s="25"/>
      <c r="AT87" s="25"/>
      <c r="AU87" s="25"/>
      <c r="AV87" s="25"/>
      <c r="AW87" s="25"/>
      <c r="AX87" s="25"/>
      <c r="AZ87" s="25"/>
      <c r="BA87" s="25"/>
      <c r="BB87" s="25"/>
      <c r="BC87" s="25"/>
      <c r="BD87" s="25"/>
      <c r="BE87" s="25"/>
      <c r="BI87" s="25"/>
      <c r="BJ87" s="25"/>
      <c r="BK87" s="25"/>
      <c r="BL87" s="25"/>
      <c r="BM87" s="25"/>
      <c r="BN87" s="25"/>
      <c r="BP87" s="25"/>
      <c r="BQ87" s="25"/>
      <c r="BR87" s="25"/>
      <c r="BS87" s="25"/>
      <c r="BT87" s="25"/>
      <c r="BU87" s="25"/>
      <c r="BX87" s="25"/>
      <c r="BY87" s="25"/>
      <c r="BZ87" s="25"/>
      <c r="CA87" s="25"/>
      <c r="CB87" s="25"/>
      <c r="CC87" s="25"/>
      <c r="CE87" s="25"/>
      <c r="CF87" s="25"/>
      <c r="CG87" s="25"/>
      <c r="CH87" s="25"/>
      <c r="CI87" s="25"/>
      <c r="CJ87" s="25"/>
    </row>
    <row r="88" spans="1:88" ht="15.75" customHeight="1">
      <c r="A88" s="55" t="str">
        <f>A34</f>
        <v>Income : Poor HHs</v>
      </c>
      <c r="B88" s="56"/>
      <c r="C88" s="56"/>
      <c r="D88" s="31"/>
      <c r="E88" s="2"/>
      <c r="F88" s="2"/>
      <c r="G88" s="2"/>
      <c r="H88" s="17"/>
      <c r="I88" s="2"/>
      <c r="J88" s="33"/>
      <c r="M88" s="57"/>
      <c r="N88" s="58"/>
      <c r="Q88" s="2"/>
      <c r="R88" s="2"/>
      <c r="S88" s="2"/>
      <c r="T88" s="2"/>
      <c r="U88" s="2"/>
      <c r="V88" s="2"/>
      <c r="W88" s="2"/>
      <c r="X88" s="2"/>
      <c r="Y88" s="2"/>
      <c r="Z88" s="2"/>
      <c r="AA88" s="39"/>
      <c r="AB88" s="2"/>
      <c r="AC88" s="2"/>
      <c r="AD88" s="2"/>
      <c r="AE88" s="2"/>
      <c r="AF88" s="2"/>
      <c r="AG88" s="2"/>
      <c r="AI88" s="79"/>
      <c r="AS88" s="25"/>
      <c r="AT88" s="25"/>
      <c r="AU88" s="25"/>
      <c r="AV88" s="25"/>
      <c r="AW88" s="25"/>
      <c r="AX88" s="25"/>
      <c r="AZ88" s="25"/>
      <c r="BA88" s="25"/>
      <c r="BB88" s="25"/>
      <c r="BC88" s="25"/>
      <c r="BD88" s="25"/>
      <c r="BE88" s="25"/>
      <c r="BI88" s="25"/>
      <c r="BJ88" s="25"/>
      <c r="BK88" s="25"/>
      <c r="BL88" s="25"/>
      <c r="BM88" s="25"/>
      <c r="BN88" s="25"/>
      <c r="BP88" s="25"/>
      <c r="BQ88" s="25"/>
      <c r="BR88" s="25"/>
      <c r="BS88" s="25"/>
      <c r="BT88" s="25"/>
      <c r="BU88" s="25"/>
      <c r="BX88" s="25"/>
      <c r="BY88" s="25"/>
      <c r="BZ88" s="25"/>
      <c r="CA88" s="25"/>
      <c r="CB88" s="25"/>
      <c r="CC88" s="25"/>
      <c r="CE88" s="25"/>
      <c r="CF88" s="25"/>
      <c r="CG88" s="25"/>
      <c r="CH88" s="25"/>
      <c r="CI88" s="25"/>
      <c r="CJ88" s="25"/>
    </row>
    <row r="89" spans="1:88" ht="14" customHeight="1">
      <c r="A89" s="56"/>
      <c r="B89" s="59" t="s">
        <v>7</v>
      </c>
      <c r="C89" s="59" t="s">
        <v>8</v>
      </c>
      <c r="D89" s="16" t="s">
        <v>9</v>
      </c>
      <c r="H89" s="16" t="s">
        <v>12</v>
      </c>
      <c r="I89" s="19" t="s">
        <v>13</v>
      </c>
      <c r="J89" s="16" t="s">
        <v>14</v>
      </c>
      <c r="K89" s="19" t="s">
        <v>7</v>
      </c>
      <c r="L89" s="19" t="s">
        <v>15</v>
      </c>
      <c r="M89" s="57" t="str">
        <f t="shared" ref="M89:M119" si="80">(J89)</f>
        <v>Curr.</v>
      </c>
      <c r="N89" s="58"/>
      <c r="Q89" s="2"/>
      <c r="R89" s="2"/>
      <c r="S89" s="2"/>
      <c r="T89" s="2"/>
      <c r="U89" s="2"/>
      <c r="V89" s="2"/>
      <c r="W89" s="2"/>
      <c r="X89" s="2"/>
      <c r="Y89" s="2"/>
      <c r="Z89" s="2"/>
      <c r="AA89" s="39"/>
      <c r="AB89" s="2"/>
      <c r="AC89" s="39"/>
      <c r="AD89" s="2"/>
      <c r="AE89" s="39"/>
      <c r="AF89" s="2"/>
      <c r="AG89" s="39"/>
      <c r="AS89" s="25"/>
      <c r="AT89" s="25"/>
      <c r="AU89" s="25"/>
      <c r="AV89" s="25"/>
      <c r="AW89" s="25"/>
      <c r="AX89" s="25"/>
      <c r="AZ89" s="25"/>
      <c r="BA89" s="25"/>
      <c r="BB89" s="25"/>
      <c r="BC89" s="25"/>
      <c r="BD89" s="25"/>
      <c r="BE89" s="25"/>
      <c r="BI89" s="25"/>
      <c r="BJ89" s="25"/>
      <c r="BK89" s="25"/>
      <c r="BL89" s="25"/>
      <c r="BM89" s="25"/>
      <c r="BN89" s="25"/>
      <c r="BP89" s="25"/>
      <c r="BQ89" s="25"/>
      <c r="BR89" s="25"/>
      <c r="BS89" s="25"/>
      <c r="BT89" s="25"/>
      <c r="BU89" s="25"/>
      <c r="BX89" s="25"/>
      <c r="BY89" s="25"/>
      <c r="BZ89" s="25"/>
      <c r="CA89" s="25"/>
      <c r="CB89" s="25"/>
      <c r="CC89" s="25"/>
      <c r="CE89" s="25"/>
      <c r="CF89" s="25"/>
      <c r="CG89" s="25"/>
      <c r="CH89" s="25"/>
      <c r="CI89" s="25"/>
      <c r="CJ89" s="25"/>
    </row>
    <row r="90" spans="1:88" ht="14" customHeight="1">
      <c r="A90" s="56" t="s">
        <v>44</v>
      </c>
      <c r="B90" s="59" t="s">
        <v>16</v>
      </c>
      <c r="C90" s="59" t="s">
        <v>17</v>
      </c>
      <c r="D90" s="16" t="s">
        <v>16</v>
      </c>
      <c r="H90" s="16" t="s">
        <v>18</v>
      </c>
      <c r="I90" s="19" t="s">
        <v>16</v>
      </c>
      <c r="J90" s="16" t="s">
        <v>16</v>
      </c>
      <c r="K90" s="19" t="s">
        <v>16</v>
      </c>
      <c r="L90" s="19" t="s">
        <v>19</v>
      </c>
      <c r="M90" s="57" t="str">
        <f t="shared" si="80"/>
        <v>Access</v>
      </c>
      <c r="N90" s="58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39"/>
      <c r="AS90" s="25"/>
      <c r="AT90" s="25"/>
      <c r="AU90" s="25"/>
      <c r="AV90" s="25"/>
      <c r="AW90" s="25"/>
      <c r="AX90" s="25"/>
      <c r="AZ90" s="25"/>
      <c r="BA90" s="25"/>
      <c r="BB90" s="25"/>
      <c r="BC90" s="25"/>
      <c r="BD90" s="25"/>
      <c r="BE90" s="25"/>
      <c r="BI90" s="25"/>
      <c r="BJ90" s="25"/>
      <c r="BK90" s="25"/>
      <c r="BL90" s="25"/>
      <c r="BM90" s="25"/>
      <c r="BN90" s="25"/>
      <c r="BP90" s="25"/>
      <c r="BQ90" s="25"/>
      <c r="BR90" s="25"/>
      <c r="BS90" s="25"/>
      <c r="BT90" s="25"/>
      <c r="BU90" s="25"/>
      <c r="BX90" s="25"/>
      <c r="BY90" s="25"/>
      <c r="BZ90" s="25"/>
      <c r="CA90" s="25"/>
      <c r="CB90" s="25"/>
      <c r="CC90" s="25"/>
      <c r="CE90" s="25"/>
      <c r="CF90" s="25"/>
      <c r="CG90" s="25"/>
      <c r="CH90" s="25"/>
      <c r="CI90" s="25"/>
      <c r="CJ90" s="25"/>
    </row>
    <row r="91" spans="1:88" ht="14" customHeight="1">
      <c r="A91" s="56" t="str">
        <f>IF(A37="","",A37)</f>
        <v>Pig sales: no sold</v>
      </c>
      <c r="B91" s="60">
        <f t="shared" ref="B91:C118" si="81">IF(B37="","",(B37/$B$83))</f>
        <v>6.4811362598196004E-2</v>
      </c>
      <c r="C91" s="60">
        <f t="shared" si="81"/>
        <v>0</v>
      </c>
      <c r="D91" s="24">
        <f>SUM(B91,C91)</f>
        <v>6.4811362598196004E-2</v>
      </c>
      <c r="H91" s="24">
        <f>(E37*F37/G37*F$7/F$9)</f>
        <v>0.57212121212121214</v>
      </c>
      <c r="I91" s="22">
        <f t="shared" ref="I91" si="82">(D91*H91)</f>
        <v>3.7079955328907288E-2</v>
      </c>
      <c r="J91" s="24">
        <f>IF(I$32&lt;=1+I$131,I91,L91+J$33*(I91-L91))</f>
        <v>3.7079955328907288E-2</v>
      </c>
      <c r="K91" s="22">
        <f t="shared" ref="K91" si="83">IF(B91="",0,B91)</f>
        <v>6.4811362598196004E-2</v>
      </c>
      <c r="L91" s="22">
        <f t="shared" ref="L91" si="84">(K91*H91)</f>
        <v>3.7079955328907288E-2</v>
      </c>
      <c r="M91" s="227">
        <f t="shared" si="80"/>
        <v>3.7079955328907288E-2</v>
      </c>
      <c r="N91" s="229">
        <v>5</v>
      </c>
      <c r="Q91" s="2"/>
      <c r="R91" s="2"/>
      <c r="S91" s="2"/>
      <c r="T91" s="2"/>
      <c r="U91" s="2"/>
      <c r="V91" s="2"/>
      <c r="W91" s="2"/>
      <c r="X91" s="2"/>
      <c r="Y91" s="2"/>
      <c r="Z91" s="2"/>
      <c r="AA91" s="39"/>
      <c r="AB91" s="2"/>
      <c r="AC91" s="39"/>
      <c r="AD91" s="2"/>
      <c r="AE91" s="39"/>
      <c r="AF91" s="2"/>
      <c r="AG91" s="39"/>
      <c r="AS91" s="25"/>
      <c r="AT91" s="25"/>
      <c r="AU91" s="25"/>
      <c r="AV91" s="25"/>
      <c r="AW91" s="25"/>
      <c r="AX91" s="25"/>
      <c r="AZ91" s="25"/>
      <c r="BA91" s="25"/>
      <c r="BB91" s="25"/>
      <c r="BC91" s="25"/>
      <c r="BD91" s="25"/>
      <c r="BE91" s="25"/>
      <c r="BI91" s="25"/>
      <c r="BJ91" s="25"/>
      <c r="BK91" s="25"/>
      <c r="BL91" s="25"/>
      <c r="BM91" s="25"/>
      <c r="BN91" s="25"/>
      <c r="BP91" s="25"/>
      <c r="BQ91" s="25"/>
      <c r="BR91" s="25"/>
      <c r="BS91" s="25"/>
      <c r="BT91" s="25"/>
      <c r="BU91" s="25"/>
      <c r="BX91" s="25"/>
      <c r="BY91" s="25"/>
      <c r="BZ91" s="25"/>
      <c r="CA91" s="25"/>
      <c r="CB91" s="25"/>
      <c r="CC91" s="25"/>
      <c r="CE91" s="25"/>
      <c r="CF91" s="25"/>
      <c r="CG91" s="25"/>
      <c r="CH91" s="25"/>
      <c r="CI91" s="25"/>
      <c r="CJ91" s="25"/>
    </row>
    <row r="92" spans="1:88" ht="14" customHeight="1">
      <c r="A92" s="56" t="str">
        <f t="shared" ref="A92:A118" si="85">IF(A38="","",A38)</f>
        <v>Cattle sales - local: no. sold</v>
      </c>
      <c r="B92" s="60">
        <f t="shared" si="81"/>
        <v>0.1924087327133944</v>
      </c>
      <c r="C92" s="60">
        <f t="shared" si="81"/>
        <v>0</v>
      </c>
      <c r="D92" s="24">
        <f t="shared" ref="D92:D118" si="86">SUM(B92,C92)</f>
        <v>0.1924087327133944</v>
      </c>
      <c r="H92" s="24">
        <f t="shared" ref="H92:H118" si="87">(E38*F38/G38*F$7/F$9)</f>
        <v>0.57212121212121214</v>
      </c>
      <c r="I92" s="22">
        <f t="shared" ref="I92:I118" si="88">(D92*H92)</f>
        <v>0.11008111738269352</v>
      </c>
      <c r="J92" s="24">
        <f t="shared" ref="J92:J118" si="89">IF(I$32&lt;=1+I$131,I92,L92+J$33*(I92-L92))</f>
        <v>0.11008111738269352</v>
      </c>
      <c r="K92" s="22">
        <f t="shared" ref="K92:K118" si="90">IF(B92="",0,B92)</f>
        <v>0.1924087327133944</v>
      </c>
      <c r="L92" s="22">
        <f t="shared" ref="L92:L118" si="91">(K92*H92)</f>
        <v>0.11008111738269352</v>
      </c>
      <c r="M92" s="227">
        <f t="shared" ref="M92:M118" si="92">(J92)</f>
        <v>0.11008111738269352</v>
      </c>
      <c r="N92" s="229">
        <v>5</v>
      </c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173"/>
      <c r="AS92" s="25"/>
      <c r="AT92" s="25"/>
      <c r="AU92" s="25"/>
      <c r="AV92" s="25"/>
      <c r="AW92" s="25"/>
      <c r="AX92" s="25"/>
      <c r="AZ92" s="25"/>
      <c r="BA92" s="25"/>
      <c r="BB92" s="25"/>
      <c r="BC92" s="25"/>
      <c r="BD92" s="25"/>
      <c r="BE92" s="25"/>
      <c r="BI92" s="25"/>
      <c r="BJ92" s="25"/>
      <c r="BK92" s="25"/>
      <c r="BL92" s="25"/>
      <c r="BM92" s="25"/>
      <c r="BN92" s="25"/>
      <c r="BP92" s="25"/>
      <c r="BQ92" s="25"/>
      <c r="BR92" s="25"/>
      <c r="BS92" s="25"/>
      <c r="BT92" s="25"/>
      <c r="BU92" s="25"/>
      <c r="BX92" s="25"/>
      <c r="BY92" s="25"/>
      <c r="BZ92" s="25"/>
      <c r="CA92" s="25"/>
      <c r="CB92" s="25"/>
      <c r="CC92" s="25"/>
      <c r="CE92" s="25"/>
      <c r="CF92" s="25"/>
      <c r="CG92" s="25"/>
      <c r="CH92" s="25"/>
      <c r="CI92" s="25"/>
      <c r="CJ92" s="25"/>
    </row>
    <row r="93" spans="1:88" ht="14" customHeight="1">
      <c r="A93" s="56" t="str">
        <f t="shared" si="85"/>
        <v>Goat sales - local: no. sold</v>
      </c>
      <c r="B93" s="60">
        <f t="shared" si="81"/>
        <v>0.12411375937554535</v>
      </c>
      <c r="C93" s="60">
        <f t="shared" si="81"/>
        <v>-8.0204061215267547E-2</v>
      </c>
      <c r="D93" s="24">
        <f t="shared" si="86"/>
        <v>4.3909698160277802E-2</v>
      </c>
      <c r="H93" s="24">
        <f t="shared" si="87"/>
        <v>0.57212121212121214</v>
      </c>
      <c r="I93" s="22">
        <f t="shared" si="88"/>
        <v>2.5121669735334695E-2</v>
      </c>
      <c r="J93" s="24">
        <f t="shared" si="89"/>
        <v>2.5121669735334695E-2</v>
      </c>
      <c r="K93" s="22">
        <f t="shared" si="90"/>
        <v>0.12411375937554535</v>
      </c>
      <c r="L93" s="22">
        <f t="shared" si="91"/>
        <v>7.1008114454857468E-2</v>
      </c>
      <c r="M93" s="227">
        <f t="shared" si="92"/>
        <v>2.5121669735334695E-2</v>
      </c>
      <c r="N93" s="229">
        <v>5</v>
      </c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S93" s="25"/>
      <c r="AT93" s="25"/>
      <c r="AU93" s="25"/>
      <c r="AV93" s="25"/>
      <c r="AW93" s="25"/>
      <c r="AX93" s="25"/>
      <c r="AZ93" s="25"/>
      <c r="BA93" s="25"/>
      <c r="BB93" s="25"/>
      <c r="BC93" s="25"/>
      <c r="BD93" s="25"/>
      <c r="BE93" s="25"/>
      <c r="BI93" s="25"/>
      <c r="BJ93" s="25"/>
      <c r="BK93" s="25"/>
      <c r="BL93" s="25"/>
      <c r="BM93" s="25"/>
      <c r="BN93" s="25"/>
      <c r="BP93" s="25"/>
      <c r="BQ93" s="25"/>
      <c r="BR93" s="25"/>
      <c r="BS93" s="25"/>
      <c r="BT93" s="25"/>
      <c r="BU93" s="25"/>
      <c r="BX93" s="25"/>
      <c r="BY93" s="25"/>
      <c r="BZ93" s="25"/>
      <c r="CA93" s="25"/>
      <c r="CB93" s="25"/>
      <c r="CC93" s="25"/>
      <c r="CE93" s="25"/>
      <c r="CF93" s="25"/>
      <c r="CG93" s="25"/>
      <c r="CH93" s="25"/>
      <c r="CI93" s="25"/>
      <c r="CJ93" s="25"/>
    </row>
    <row r="94" spans="1:88" ht="14" customHeight="1">
      <c r="A94" s="56" t="str">
        <f t="shared" si="85"/>
        <v>Chicken sales: no. sold</v>
      </c>
      <c r="B94" s="60">
        <f t="shared" si="81"/>
        <v>7.1292498858015598E-4</v>
      </c>
      <c r="C94" s="60">
        <f t="shared" si="81"/>
        <v>0</v>
      </c>
      <c r="D94" s="24">
        <f t="shared" si="86"/>
        <v>7.1292498858015598E-4</v>
      </c>
      <c r="H94" s="24">
        <f t="shared" si="87"/>
        <v>0.7151515151515152</v>
      </c>
      <c r="I94" s="22">
        <f t="shared" si="88"/>
        <v>5.0984938577247521E-4</v>
      </c>
      <c r="J94" s="24">
        <f t="shared" si="89"/>
        <v>5.0984938577247521E-4</v>
      </c>
      <c r="K94" s="22">
        <f t="shared" si="90"/>
        <v>7.1292498858015598E-4</v>
      </c>
      <c r="L94" s="22">
        <f t="shared" si="91"/>
        <v>5.0984938577247521E-4</v>
      </c>
      <c r="M94" s="227">
        <f t="shared" si="92"/>
        <v>5.0984938577247521E-4</v>
      </c>
      <c r="N94" s="229">
        <v>5</v>
      </c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S94" s="25"/>
      <c r="AT94" s="25"/>
      <c r="AU94" s="25"/>
      <c r="AV94" s="25"/>
      <c r="AW94" s="25"/>
      <c r="AX94" s="25"/>
      <c r="AZ94" s="25"/>
      <c r="BA94" s="25"/>
      <c r="BB94" s="25"/>
      <c r="BC94" s="25"/>
      <c r="BD94" s="25"/>
      <c r="BE94" s="25"/>
      <c r="BI94" s="25"/>
      <c r="BJ94" s="25"/>
      <c r="BK94" s="25"/>
      <c r="BL94" s="25"/>
      <c r="BM94" s="25"/>
      <c r="BN94" s="25"/>
      <c r="BP94" s="25"/>
      <c r="BQ94" s="25"/>
      <c r="BR94" s="25"/>
      <c r="BS94" s="25"/>
      <c r="BT94" s="25"/>
      <c r="BU94" s="25"/>
      <c r="BX94" s="25"/>
      <c r="BY94" s="25"/>
      <c r="BZ94" s="25"/>
      <c r="CA94" s="25"/>
      <c r="CB94" s="25"/>
      <c r="CC94" s="25"/>
      <c r="CE94" s="25"/>
      <c r="CF94" s="25"/>
      <c r="CG94" s="25"/>
      <c r="CH94" s="25"/>
      <c r="CI94" s="25"/>
      <c r="CJ94" s="25"/>
    </row>
    <row r="95" spans="1:88" ht="14" customHeight="1">
      <c r="A95" s="56" t="str">
        <f t="shared" si="85"/>
        <v>Green maize sold: quantity</v>
      </c>
      <c r="B95" s="60">
        <f t="shared" si="81"/>
        <v>0</v>
      </c>
      <c r="C95" s="60">
        <f t="shared" si="81"/>
        <v>0</v>
      </c>
      <c r="D95" s="24">
        <f t="shared" si="86"/>
        <v>0</v>
      </c>
      <c r="H95" s="24">
        <f t="shared" si="87"/>
        <v>0.84848484848484851</v>
      </c>
      <c r="I95" s="22">
        <f t="shared" si="88"/>
        <v>0</v>
      </c>
      <c r="J95" s="24">
        <f t="shared" si="89"/>
        <v>0</v>
      </c>
      <c r="K95" s="22">
        <f t="shared" si="90"/>
        <v>0</v>
      </c>
      <c r="L95" s="22">
        <f t="shared" si="91"/>
        <v>0</v>
      </c>
      <c r="M95" s="227">
        <f t="shared" si="92"/>
        <v>0</v>
      </c>
      <c r="N95" s="229">
        <v>2</v>
      </c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S95" s="25"/>
      <c r="AT95" s="25"/>
      <c r="AU95" s="25"/>
      <c r="AV95" s="25"/>
      <c r="AW95" s="25"/>
      <c r="AX95" s="25"/>
      <c r="AZ95" s="25"/>
      <c r="BA95" s="25"/>
      <c r="BB95" s="25"/>
      <c r="BC95" s="25"/>
      <c r="BD95" s="25"/>
      <c r="BE95" s="25"/>
      <c r="BI95" s="25"/>
      <c r="BJ95" s="25"/>
      <c r="BK95" s="25"/>
      <c r="BL95" s="25"/>
      <c r="BM95" s="25"/>
      <c r="BN95" s="25"/>
      <c r="BP95" s="25"/>
      <c r="BQ95" s="25"/>
      <c r="BR95" s="25"/>
      <c r="BS95" s="25"/>
      <c r="BT95" s="25"/>
      <c r="BU95" s="25"/>
      <c r="BX95" s="25"/>
      <c r="BY95" s="25"/>
      <c r="BZ95" s="25"/>
      <c r="CA95" s="25"/>
      <c r="CB95" s="25"/>
      <c r="CC95" s="25"/>
      <c r="CE95" s="25"/>
      <c r="CF95" s="25"/>
      <c r="CG95" s="25"/>
      <c r="CH95" s="25"/>
      <c r="CI95" s="25"/>
      <c r="CJ95" s="25"/>
    </row>
    <row r="96" spans="1:88" ht="14" customHeight="1">
      <c r="A96" s="56" t="str">
        <f t="shared" si="85"/>
        <v>Maize: kg produced</v>
      </c>
      <c r="B96" s="60">
        <f t="shared" si="81"/>
        <v>9.7217043897294009E-3</v>
      </c>
      <c r="C96" s="60">
        <f t="shared" si="81"/>
        <v>-9.7217043897294009E-3</v>
      </c>
      <c r="D96" s="24">
        <f t="shared" si="86"/>
        <v>0</v>
      </c>
      <c r="H96" s="24">
        <f t="shared" si="87"/>
        <v>0.92484848484848492</v>
      </c>
      <c r="I96" s="22">
        <f t="shared" si="88"/>
        <v>0</v>
      </c>
      <c r="J96" s="24">
        <f t="shared" si="89"/>
        <v>0</v>
      </c>
      <c r="K96" s="22">
        <f t="shared" si="90"/>
        <v>9.7217043897294009E-3</v>
      </c>
      <c r="L96" s="22">
        <f t="shared" si="91"/>
        <v>8.9911035749861007E-3</v>
      </c>
      <c r="M96" s="227">
        <f t="shared" si="92"/>
        <v>0</v>
      </c>
      <c r="N96" s="229">
        <v>2</v>
      </c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S96" s="25"/>
      <c r="AT96" s="25"/>
      <c r="AU96" s="25"/>
      <c r="AV96" s="25"/>
      <c r="AW96" s="25"/>
      <c r="AX96" s="25"/>
      <c r="AZ96" s="25"/>
      <c r="BA96" s="25"/>
      <c r="BB96" s="25"/>
      <c r="BC96" s="25"/>
      <c r="BD96" s="25"/>
      <c r="BE96" s="25"/>
      <c r="BI96" s="25"/>
      <c r="BJ96" s="25"/>
      <c r="BK96" s="25"/>
      <c r="BL96" s="25"/>
      <c r="BM96" s="25"/>
      <c r="BN96" s="25"/>
      <c r="BP96" s="25"/>
      <c r="BQ96" s="25"/>
      <c r="BR96" s="25"/>
      <c r="BS96" s="25"/>
      <c r="BT96" s="25"/>
      <c r="BU96" s="25"/>
      <c r="BX96" s="25"/>
      <c r="BY96" s="25"/>
      <c r="BZ96" s="25"/>
      <c r="CA96" s="25"/>
      <c r="CB96" s="25"/>
      <c r="CC96" s="25"/>
      <c r="CE96" s="25"/>
      <c r="CF96" s="25"/>
      <c r="CG96" s="25"/>
      <c r="CH96" s="25"/>
      <c r="CI96" s="25"/>
      <c r="CJ96" s="25"/>
    </row>
    <row r="97" spans="1:88" ht="14" customHeight="1">
      <c r="A97" s="56" t="str">
        <f t="shared" si="85"/>
        <v>Maize (irrigated): kg produced</v>
      </c>
      <c r="B97" s="60">
        <f t="shared" si="81"/>
        <v>2.5924545039278404E-2</v>
      </c>
      <c r="C97" s="60">
        <f t="shared" si="81"/>
        <v>-2.5924545039278404E-2</v>
      </c>
      <c r="D97" s="24">
        <f t="shared" si="86"/>
        <v>0</v>
      </c>
      <c r="H97" s="24">
        <f t="shared" si="87"/>
        <v>0.92484848484848492</v>
      </c>
      <c r="I97" s="22">
        <f t="shared" si="88"/>
        <v>0</v>
      </c>
      <c r="J97" s="24">
        <f t="shared" si="89"/>
        <v>0</v>
      </c>
      <c r="K97" s="22">
        <f t="shared" si="90"/>
        <v>2.5924545039278404E-2</v>
      </c>
      <c r="L97" s="22">
        <f t="shared" si="91"/>
        <v>2.3976276199962936E-2</v>
      </c>
      <c r="M97" s="227">
        <f t="shared" si="92"/>
        <v>0</v>
      </c>
      <c r="N97" s="229">
        <v>2</v>
      </c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S97" s="25"/>
      <c r="AT97" s="25"/>
      <c r="AU97" s="25"/>
      <c r="AV97" s="25"/>
      <c r="AW97" s="25"/>
      <c r="AX97" s="25"/>
      <c r="AZ97" s="25"/>
      <c r="BA97" s="25"/>
      <c r="BB97" s="25"/>
      <c r="BC97" s="25"/>
      <c r="BD97" s="25"/>
      <c r="BE97" s="25"/>
      <c r="BI97" s="25"/>
      <c r="BJ97" s="25"/>
      <c r="BK97" s="25"/>
      <c r="BL97" s="25"/>
      <c r="BM97" s="25"/>
      <c r="BN97" s="25"/>
      <c r="BP97" s="25"/>
      <c r="BQ97" s="25"/>
      <c r="BR97" s="25"/>
      <c r="BS97" s="25"/>
      <c r="BT97" s="25"/>
      <c r="BU97" s="25"/>
      <c r="BX97" s="25"/>
      <c r="BY97" s="25"/>
      <c r="BZ97" s="25"/>
      <c r="CA97" s="25"/>
      <c r="CB97" s="25"/>
      <c r="CC97" s="25"/>
      <c r="CE97" s="25"/>
      <c r="CF97" s="25"/>
      <c r="CG97" s="25"/>
      <c r="CH97" s="25"/>
      <c r="CI97" s="25"/>
      <c r="CJ97" s="25"/>
    </row>
    <row r="98" spans="1:88" ht="14" customHeight="1">
      <c r="A98" s="56" t="str">
        <f t="shared" si="85"/>
        <v>Beans: kg produced</v>
      </c>
      <c r="B98" s="60">
        <f t="shared" si="81"/>
        <v>0</v>
      </c>
      <c r="C98" s="60">
        <f t="shared" si="81"/>
        <v>0</v>
      </c>
      <c r="D98" s="24">
        <f t="shared" si="86"/>
        <v>0</v>
      </c>
      <c r="H98" s="24">
        <f t="shared" si="87"/>
        <v>0.84848484848484851</v>
      </c>
      <c r="I98" s="22">
        <f t="shared" si="88"/>
        <v>0</v>
      </c>
      <c r="J98" s="24">
        <f t="shared" si="89"/>
        <v>0</v>
      </c>
      <c r="K98" s="22">
        <f t="shared" si="90"/>
        <v>0</v>
      </c>
      <c r="L98" s="22">
        <f t="shared" si="91"/>
        <v>0</v>
      </c>
      <c r="M98" s="227">
        <f t="shared" si="92"/>
        <v>0</v>
      </c>
      <c r="N98" s="229">
        <v>2</v>
      </c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S98" s="25"/>
      <c r="AT98" s="25"/>
      <c r="AU98" s="25"/>
      <c r="AV98" s="25"/>
      <c r="AW98" s="25"/>
      <c r="AX98" s="25"/>
      <c r="AZ98" s="25"/>
      <c r="BA98" s="25"/>
      <c r="BB98" s="25"/>
      <c r="BC98" s="25"/>
      <c r="BD98" s="25"/>
      <c r="BE98" s="25"/>
      <c r="BI98" s="25"/>
      <c r="BJ98" s="25"/>
      <c r="BK98" s="25"/>
      <c r="BL98" s="25"/>
      <c r="BM98" s="25"/>
      <c r="BN98" s="25"/>
      <c r="BP98" s="25"/>
      <c r="BQ98" s="25"/>
      <c r="BR98" s="25"/>
      <c r="BS98" s="25"/>
      <c r="BT98" s="25"/>
      <c r="BU98" s="25"/>
      <c r="BX98" s="25"/>
      <c r="BY98" s="25"/>
      <c r="BZ98" s="25"/>
      <c r="CA98" s="25"/>
      <c r="CB98" s="25"/>
      <c r="CC98" s="25"/>
      <c r="CE98" s="25"/>
      <c r="CF98" s="25"/>
      <c r="CG98" s="25"/>
      <c r="CH98" s="25"/>
      <c r="CI98" s="25"/>
      <c r="CJ98" s="25"/>
    </row>
    <row r="99" spans="1:88" ht="14" customHeight="1">
      <c r="A99" s="56" t="str">
        <f t="shared" si="85"/>
        <v>Potato: kg produced</v>
      </c>
      <c r="B99" s="60">
        <f t="shared" si="81"/>
        <v>0</v>
      </c>
      <c r="C99" s="60">
        <f t="shared" si="81"/>
        <v>0</v>
      </c>
      <c r="D99" s="24">
        <f t="shared" si="86"/>
        <v>0</v>
      </c>
      <c r="H99" s="24">
        <f t="shared" si="87"/>
        <v>0.84848484848484851</v>
      </c>
      <c r="I99" s="22">
        <f t="shared" si="88"/>
        <v>0</v>
      </c>
      <c r="J99" s="24">
        <f t="shared" si="89"/>
        <v>0</v>
      </c>
      <c r="K99" s="22">
        <f t="shared" si="90"/>
        <v>0</v>
      </c>
      <c r="L99" s="22">
        <f t="shared" si="91"/>
        <v>0</v>
      </c>
      <c r="M99" s="227">
        <f t="shared" si="92"/>
        <v>0</v>
      </c>
      <c r="N99" s="229">
        <v>2</v>
      </c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S99" s="25"/>
      <c r="AT99" s="25"/>
      <c r="AU99" s="25"/>
      <c r="AV99" s="25"/>
      <c r="AW99" s="25"/>
      <c r="AX99" s="25"/>
      <c r="AZ99" s="25"/>
      <c r="BA99" s="25"/>
      <c r="BB99" s="25"/>
      <c r="BC99" s="25"/>
      <c r="BD99" s="25"/>
      <c r="BE99" s="25"/>
      <c r="BI99" s="25"/>
      <c r="BJ99" s="25"/>
      <c r="BK99" s="25"/>
      <c r="BL99" s="25"/>
      <c r="BM99" s="25"/>
      <c r="BN99" s="25"/>
      <c r="BP99" s="25"/>
      <c r="BQ99" s="25"/>
      <c r="BR99" s="25"/>
      <c r="BS99" s="25"/>
      <c r="BT99" s="25"/>
      <c r="BU99" s="25"/>
      <c r="BX99" s="25"/>
      <c r="BY99" s="25"/>
      <c r="BZ99" s="25"/>
      <c r="CA99" s="25"/>
      <c r="CB99" s="25"/>
      <c r="CC99" s="25"/>
      <c r="CE99" s="25"/>
      <c r="CF99" s="25"/>
      <c r="CG99" s="25"/>
      <c r="CH99" s="25"/>
      <c r="CI99" s="25"/>
      <c r="CJ99" s="25"/>
    </row>
    <row r="100" spans="1:88" ht="14" customHeight="1">
      <c r="A100" s="56" t="str">
        <f t="shared" si="85"/>
        <v>Sweet potato: no. local meas</v>
      </c>
      <c r="B100" s="60">
        <f t="shared" si="81"/>
        <v>3.2405681299098002E-2</v>
      </c>
      <c r="C100" s="60">
        <f t="shared" si="81"/>
        <v>-3.2405681299098002E-2</v>
      </c>
      <c r="D100" s="24">
        <f t="shared" si="86"/>
        <v>0</v>
      </c>
      <c r="H100" s="24">
        <f t="shared" si="87"/>
        <v>0.84848484848484851</v>
      </c>
      <c r="I100" s="22">
        <f t="shared" si="88"/>
        <v>0</v>
      </c>
      <c r="J100" s="24">
        <f t="shared" si="89"/>
        <v>0</v>
      </c>
      <c r="K100" s="22">
        <f t="shared" si="90"/>
        <v>3.2405681299098002E-2</v>
      </c>
      <c r="L100" s="22">
        <f t="shared" si="91"/>
        <v>2.7495729587113459E-2</v>
      </c>
      <c r="M100" s="227">
        <f t="shared" si="92"/>
        <v>0</v>
      </c>
      <c r="N100" s="229">
        <v>2</v>
      </c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S100" s="25"/>
      <c r="AT100" s="25"/>
      <c r="AU100" s="25"/>
      <c r="AV100" s="25"/>
      <c r="AW100" s="25"/>
      <c r="AX100" s="25"/>
      <c r="AZ100" s="25"/>
      <c r="BA100" s="25"/>
      <c r="BB100" s="25"/>
      <c r="BC100" s="25"/>
      <c r="BD100" s="25"/>
      <c r="BE100" s="25"/>
      <c r="BI100" s="25"/>
      <c r="BJ100" s="25"/>
      <c r="BK100" s="25"/>
      <c r="BL100" s="25"/>
      <c r="BM100" s="25"/>
      <c r="BN100" s="25"/>
      <c r="BP100" s="25"/>
      <c r="BQ100" s="25"/>
      <c r="BR100" s="25"/>
      <c r="BS100" s="25"/>
      <c r="BT100" s="25"/>
      <c r="BU100" s="25"/>
      <c r="BX100" s="25"/>
      <c r="BY100" s="25"/>
      <c r="BZ100" s="25"/>
      <c r="CA100" s="25"/>
      <c r="CB100" s="25"/>
      <c r="CC100" s="25"/>
      <c r="CE100" s="25"/>
      <c r="CF100" s="25"/>
      <c r="CG100" s="25"/>
      <c r="CH100" s="25"/>
      <c r="CI100" s="25"/>
      <c r="CJ100" s="25"/>
    </row>
    <row r="101" spans="1:88" ht="14" customHeight="1">
      <c r="A101" s="56" t="str">
        <f t="shared" si="85"/>
        <v>Groundnuts (dry): no. local meas</v>
      </c>
      <c r="B101" s="60">
        <f t="shared" si="81"/>
        <v>2.9165113169188201E-2</v>
      </c>
      <c r="C101" s="60">
        <f t="shared" si="81"/>
        <v>-2.9165113169188201E-2</v>
      </c>
      <c r="D101" s="24">
        <f t="shared" si="86"/>
        <v>0</v>
      </c>
      <c r="H101" s="24">
        <f t="shared" si="87"/>
        <v>0.84848484848484851</v>
      </c>
      <c r="I101" s="22">
        <f t="shared" si="88"/>
        <v>0</v>
      </c>
      <c r="J101" s="24">
        <f t="shared" si="89"/>
        <v>0</v>
      </c>
      <c r="K101" s="22">
        <f t="shared" si="90"/>
        <v>2.9165113169188201E-2</v>
      </c>
      <c r="L101" s="22">
        <f t="shared" si="91"/>
        <v>2.474615662840211E-2</v>
      </c>
      <c r="M101" s="227">
        <f t="shared" si="92"/>
        <v>0</v>
      </c>
      <c r="N101" s="229">
        <v>2</v>
      </c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S101" s="25"/>
      <c r="AT101" s="25"/>
      <c r="AU101" s="25"/>
      <c r="AV101" s="25"/>
      <c r="AW101" s="25"/>
      <c r="AX101" s="25"/>
      <c r="AZ101" s="25"/>
      <c r="BA101" s="25"/>
      <c r="BB101" s="25"/>
      <c r="BC101" s="25"/>
      <c r="BD101" s="25"/>
      <c r="BE101" s="25"/>
      <c r="BI101" s="25"/>
      <c r="BJ101" s="25"/>
      <c r="BK101" s="25"/>
      <c r="BL101" s="25"/>
      <c r="BM101" s="25"/>
      <c r="BN101" s="25"/>
      <c r="BP101" s="25"/>
      <c r="BQ101" s="25"/>
      <c r="BR101" s="25"/>
      <c r="BS101" s="25"/>
      <c r="BT101" s="25"/>
      <c r="BU101" s="25"/>
      <c r="BX101" s="25"/>
      <c r="BY101" s="25"/>
      <c r="BZ101" s="25"/>
      <c r="CA101" s="25"/>
      <c r="CB101" s="25"/>
      <c r="CC101" s="25"/>
      <c r="CE101" s="25"/>
      <c r="CF101" s="25"/>
      <c r="CG101" s="25"/>
      <c r="CH101" s="25"/>
      <c r="CI101" s="25"/>
      <c r="CJ101" s="25"/>
    </row>
    <row r="102" spans="1:88" ht="14" customHeight="1">
      <c r="A102" s="56" t="str">
        <f t="shared" si="85"/>
        <v>Other crop: Rape</v>
      </c>
      <c r="B102" s="60">
        <f t="shared" si="81"/>
        <v>5.6709942273421507E-3</v>
      </c>
      <c r="C102" s="60">
        <f t="shared" si="81"/>
        <v>-5.6709942273421507E-3</v>
      </c>
      <c r="D102" s="24">
        <f t="shared" si="86"/>
        <v>0</v>
      </c>
      <c r="H102" s="24">
        <f t="shared" si="87"/>
        <v>0.84848484848484851</v>
      </c>
      <c r="I102" s="22">
        <f t="shared" si="88"/>
        <v>0</v>
      </c>
      <c r="J102" s="24">
        <f t="shared" si="89"/>
        <v>0</v>
      </c>
      <c r="K102" s="22">
        <f t="shared" si="90"/>
        <v>5.6709942273421507E-3</v>
      </c>
      <c r="L102" s="22">
        <f t="shared" si="91"/>
        <v>4.8117526777448549E-3</v>
      </c>
      <c r="M102" s="227">
        <f t="shared" si="92"/>
        <v>0</v>
      </c>
      <c r="N102" s="229">
        <v>2</v>
      </c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S102" s="25"/>
      <c r="AT102" s="25"/>
      <c r="AU102" s="25"/>
      <c r="AV102" s="25"/>
      <c r="AW102" s="25"/>
      <c r="AX102" s="25"/>
      <c r="AZ102" s="25"/>
      <c r="BA102" s="25"/>
      <c r="BB102" s="25"/>
      <c r="BC102" s="25"/>
      <c r="BD102" s="25"/>
      <c r="BE102" s="25"/>
      <c r="BI102" s="25"/>
      <c r="BJ102" s="25"/>
      <c r="BK102" s="25"/>
      <c r="BL102" s="25"/>
      <c r="BM102" s="25"/>
      <c r="BN102" s="25"/>
      <c r="BP102" s="25"/>
      <c r="BQ102" s="25"/>
      <c r="BR102" s="25"/>
      <c r="BS102" s="25"/>
      <c r="BT102" s="25"/>
      <c r="BU102" s="25"/>
      <c r="BX102" s="25"/>
      <c r="BY102" s="25"/>
      <c r="BZ102" s="25"/>
      <c r="CA102" s="25"/>
      <c r="CB102" s="25"/>
      <c r="CC102" s="25"/>
      <c r="CE102" s="25"/>
      <c r="CF102" s="25"/>
      <c r="CG102" s="25"/>
      <c r="CH102" s="25"/>
      <c r="CI102" s="25"/>
      <c r="CJ102" s="25"/>
    </row>
    <row r="103" spans="1:88" ht="14" customHeight="1">
      <c r="A103" s="56" t="str">
        <f t="shared" si="85"/>
        <v>Other cashcrop (cabbage): kg produced</v>
      </c>
      <c r="B103" s="60">
        <f t="shared" si="81"/>
        <v>3.2405681299098002E-2</v>
      </c>
      <c r="C103" s="60">
        <f t="shared" si="81"/>
        <v>-3.2405681299098002E-2</v>
      </c>
      <c r="D103" s="24">
        <f t="shared" si="86"/>
        <v>0</v>
      </c>
      <c r="H103" s="24">
        <f t="shared" si="87"/>
        <v>0.84848484848484851</v>
      </c>
      <c r="I103" s="22">
        <f t="shared" si="88"/>
        <v>0</v>
      </c>
      <c r="J103" s="24">
        <f t="shared" si="89"/>
        <v>0</v>
      </c>
      <c r="K103" s="22">
        <f t="shared" si="90"/>
        <v>3.2405681299098002E-2</v>
      </c>
      <c r="L103" s="22">
        <f t="shared" si="91"/>
        <v>2.7495729587113459E-2</v>
      </c>
      <c r="M103" s="227">
        <f t="shared" si="92"/>
        <v>0</v>
      </c>
      <c r="N103" s="229">
        <v>2</v>
      </c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S103" s="25"/>
      <c r="AT103" s="25"/>
      <c r="AU103" s="25"/>
      <c r="AV103" s="25"/>
      <c r="AW103" s="25"/>
      <c r="AX103" s="25"/>
      <c r="AZ103" s="25"/>
      <c r="BA103" s="25"/>
      <c r="BB103" s="25"/>
      <c r="BC103" s="25"/>
      <c r="BD103" s="25"/>
      <c r="BE103" s="25"/>
      <c r="BI103" s="25"/>
      <c r="BJ103" s="25"/>
      <c r="BK103" s="25"/>
      <c r="BL103" s="25"/>
      <c r="BM103" s="25"/>
      <c r="BN103" s="25"/>
      <c r="BP103" s="25"/>
      <c r="BQ103" s="25"/>
      <c r="BR103" s="25"/>
      <c r="BS103" s="25"/>
      <c r="BT103" s="25"/>
      <c r="BU103" s="25"/>
      <c r="BX103" s="25"/>
      <c r="BY103" s="25"/>
      <c r="BZ103" s="25"/>
      <c r="CA103" s="25"/>
      <c r="CB103" s="25"/>
      <c r="CC103" s="25"/>
      <c r="CE103" s="25"/>
      <c r="CF103" s="25"/>
      <c r="CG103" s="25"/>
      <c r="CH103" s="25"/>
      <c r="CI103" s="25"/>
      <c r="CJ103" s="25"/>
    </row>
    <row r="104" spans="1:88" ht="14" customHeight="1">
      <c r="A104" s="56" t="str">
        <f t="shared" si="85"/>
        <v>Other crop: Amadumbe</v>
      </c>
      <c r="B104" s="60">
        <f t="shared" si="81"/>
        <v>0</v>
      </c>
      <c r="C104" s="60">
        <f t="shared" si="81"/>
        <v>0</v>
      </c>
      <c r="D104" s="24">
        <f t="shared" si="86"/>
        <v>0</v>
      </c>
      <c r="H104" s="24">
        <f t="shared" si="87"/>
        <v>0.84848484848484851</v>
      </c>
      <c r="I104" s="22">
        <f t="shared" si="88"/>
        <v>0</v>
      </c>
      <c r="J104" s="24">
        <f t="shared" si="89"/>
        <v>0</v>
      </c>
      <c r="K104" s="22">
        <f t="shared" si="90"/>
        <v>0</v>
      </c>
      <c r="L104" s="22">
        <f t="shared" si="91"/>
        <v>0</v>
      </c>
      <c r="M104" s="227">
        <f t="shared" si="92"/>
        <v>0</v>
      </c>
      <c r="N104" s="229">
        <v>2</v>
      </c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S104" s="25"/>
      <c r="AT104" s="25"/>
      <c r="AU104" s="25"/>
      <c r="AV104" s="25"/>
      <c r="AW104" s="25"/>
      <c r="AX104" s="25"/>
      <c r="AZ104" s="25"/>
      <c r="BA104" s="25"/>
      <c r="BB104" s="25"/>
      <c r="BC104" s="25"/>
      <c r="BD104" s="25"/>
      <c r="BE104" s="25"/>
      <c r="BI104" s="25"/>
      <c r="BJ104" s="25"/>
      <c r="BK104" s="25"/>
      <c r="BL104" s="25"/>
      <c r="BM104" s="25"/>
      <c r="BN104" s="25"/>
      <c r="BP104" s="25"/>
      <c r="BQ104" s="25"/>
      <c r="BR104" s="25"/>
      <c r="BS104" s="25"/>
      <c r="BT104" s="25"/>
      <c r="BU104" s="25"/>
      <c r="BX104" s="25"/>
      <c r="BY104" s="25"/>
      <c r="BZ104" s="25"/>
      <c r="CA104" s="25"/>
      <c r="CB104" s="25"/>
      <c r="CC104" s="25"/>
      <c r="CE104" s="25"/>
      <c r="CF104" s="25"/>
      <c r="CG104" s="25"/>
      <c r="CH104" s="25"/>
      <c r="CI104" s="25"/>
      <c r="CJ104" s="25"/>
    </row>
    <row r="105" spans="1:88" ht="14" customHeight="1">
      <c r="A105" s="56" t="str">
        <f t="shared" si="85"/>
        <v>Water melon: no. local meas</v>
      </c>
      <c r="B105" s="60">
        <f t="shared" si="81"/>
        <v>1.2962272519639202E-2</v>
      </c>
      <c r="C105" s="60">
        <f t="shared" si="81"/>
        <v>-1.2962272519639202E-2</v>
      </c>
      <c r="D105" s="24">
        <f t="shared" si="86"/>
        <v>0</v>
      </c>
      <c r="H105" s="24">
        <f t="shared" si="87"/>
        <v>0.84848484848484851</v>
      </c>
      <c r="I105" s="22">
        <f t="shared" si="88"/>
        <v>0</v>
      </c>
      <c r="J105" s="24">
        <f t="shared" si="89"/>
        <v>0</v>
      </c>
      <c r="K105" s="22">
        <f t="shared" si="90"/>
        <v>1.2962272519639202E-2</v>
      </c>
      <c r="L105" s="22">
        <f t="shared" si="91"/>
        <v>1.0998291834845384E-2</v>
      </c>
      <c r="M105" s="227">
        <f t="shared" si="92"/>
        <v>0</v>
      </c>
      <c r="N105" s="229">
        <v>2</v>
      </c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S105" s="25"/>
      <c r="AT105" s="25"/>
      <c r="AU105" s="25"/>
      <c r="AV105" s="25"/>
      <c r="AW105" s="25"/>
      <c r="AX105" s="25"/>
      <c r="AZ105" s="25"/>
      <c r="BA105" s="25"/>
      <c r="BB105" s="25"/>
      <c r="BC105" s="25"/>
      <c r="BD105" s="25"/>
      <c r="BE105" s="25"/>
      <c r="BI105" s="25"/>
      <c r="BJ105" s="25"/>
      <c r="BK105" s="25"/>
      <c r="BL105" s="25"/>
      <c r="BM105" s="25"/>
      <c r="BN105" s="25"/>
      <c r="BP105" s="25"/>
      <c r="BQ105" s="25"/>
      <c r="BR105" s="25"/>
      <c r="BS105" s="25"/>
      <c r="BT105" s="25"/>
      <c r="BU105" s="25"/>
      <c r="BX105" s="25"/>
      <c r="BY105" s="25"/>
      <c r="BZ105" s="25"/>
      <c r="CA105" s="25"/>
      <c r="CB105" s="25"/>
      <c r="CC105" s="25"/>
      <c r="CE105" s="25"/>
      <c r="CF105" s="25"/>
      <c r="CG105" s="25"/>
      <c r="CH105" s="25"/>
      <c r="CI105" s="25"/>
      <c r="CJ105" s="25"/>
    </row>
    <row r="106" spans="1:88" ht="14" customHeight="1">
      <c r="A106" s="56" t="str">
        <f t="shared" si="85"/>
        <v>FISHING -- see worksheet Data 3</v>
      </c>
      <c r="B106" s="60">
        <f t="shared" si="81"/>
        <v>4.0507101623872506E-2</v>
      </c>
      <c r="C106" s="60">
        <f t="shared" si="81"/>
        <v>6.2786007517002376E-2</v>
      </c>
      <c r="D106" s="24">
        <f t="shared" si="86"/>
        <v>0.10329310914087489</v>
      </c>
      <c r="H106" s="24">
        <f t="shared" si="87"/>
        <v>0.7151515151515152</v>
      </c>
      <c r="I106" s="22">
        <f t="shared" si="88"/>
        <v>7.3870223506807497E-2</v>
      </c>
      <c r="J106" s="24">
        <f t="shared" si="89"/>
        <v>7.3870223506807497E-2</v>
      </c>
      <c r="K106" s="22">
        <f t="shared" si="90"/>
        <v>4.0507101623872506E-2</v>
      </c>
      <c r="L106" s="22">
        <f t="shared" si="91"/>
        <v>2.8968715100708826E-2</v>
      </c>
      <c r="M106" s="227">
        <f t="shared" si="92"/>
        <v>7.3870223506807497E-2</v>
      </c>
      <c r="N106" s="229">
        <v>6</v>
      </c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S106" s="25"/>
      <c r="AT106" s="25"/>
      <c r="AU106" s="25"/>
      <c r="AV106" s="25"/>
      <c r="AW106" s="25"/>
      <c r="AX106" s="25"/>
      <c r="AZ106" s="25"/>
      <c r="BA106" s="25"/>
      <c r="BB106" s="25"/>
      <c r="BC106" s="25"/>
      <c r="BD106" s="25"/>
      <c r="BE106" s="25"/>
      <c r="BI106" s="25"/>
      <c r="BJ106" s="25"/>
      <c r="BK106" s="25"/>
      <c r="BL106" s="25"/>
      <c r="BM106" s="25"/>
      <c r="BN106" s="25"/>
      <c r="BP106" s="25"/>
      <c r="BQ106" s="25"/>
      <c r="BR106" s="25"/>
      <c r="BS106" s="25"/>
      <c r="BT106" s="25"/>
      <c r="BU106" s="25"/>
      <c r="BX106" s="25"/>
      <c r="BY106" s="25"/>
      <c r="BZ106" s="25"/>
      <c r="CA106" s="25"/>
      <c r="CB106" s="25"/>
      <c r="CC106" s="25"/>
      <c r="CE106" s="25"/>
      <c r="CF106" s="25"/>
      <c r="CG106" s="25"/>
      <c r="CH106" s="25"/>
      <c r="CI106" s="25"/>
      <c r="CJ106" s="25"/>
    </row>
    <row r="107" spans="1:88" ht="14" customHeight="1">
      <c r="A107" s="56" t="str">
        <f t="shared" si="85"/>
        <v>WILD FOODS -- see worksheet Data 3</v>
      </c>
      <c r="B107" s="60">
        <f t="shared" si="81"/>
        <v>3.499813580302584E-2</v>
      </c>
      <c r="C107" s="60">
        <f t="shared" si="81"/>
        <v>8.74953395075646E-3</v>
      </c>
      <c r="D107" s="24">
        <f t="shared" si="86"/>
        <v>4.3747669753782303E-2</v>
      </c>
      <c r="H107" s="24">
        <f t="shared" si="87"/>
        <v>0.7151515151515152</v>
      </c>
      <c r="I107" s="22">
        <f t="shared" si="88"/>
        <v>3.1286212308765528E-2</v>
      </c>
      <c r="J107" s="24">
        <f t="shared" si="89"/>
        <v>3.1286212308765528E-2</v>
      </c>
      <c r="K107" s="22">
        <f t="shared" si="90"/>
        <v>3.499813580302584E-2</v>
      </c>
      <c r="L107" s="22">
        <f t="shared" si="91"/>
        <v>2.502896984701242E-2</v>
      </c>
      <c r="M107" s="227">
        <f t="shared" si="92"/>
        <v>3.1286212308765528E-2</v>
      </c>
      <c r="N107" s="229">
        <v>6</v>
      </c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S107" s="25"/>
      <c r="AT107" s="25"/>
      <c r="AU107" s="25"/>
      <c r="AV107" s="25"/>
      <c r="AW107" s="25"/>
      <c r="AX107" s="25"/>
      <c r="AZ107" s="25"/>
      <c r="BA107" s="25"/>
      <c r="BB107" s="25"/>
      <c r="BC107" s="25"/>
      <c r="BD107" s="25"/>
      <c r="BE107" s="25"/>
      <c r="BI107" s="25"/>
      <c r="BJ107" s="25"/>
      <c r="BK107" s="25"/>
      <c r="BL107" s="25"/>
      <c r="BM107" s="25"/>
      <c r="BN107" s="25"/>
      <c r="BP107" s="25"/>
      <c r="BQ107" s="25"/>
      <c r="BR107" s="25"/>
      <c r="BS107" s="25"/>
      <c r="BT107" s="25"/>
      <c r="BU107" s="25"/>
      <c r="BX107" s="25"/>
      <c r="BY107" s="25"/>
      <c r="BZ107" s="25"/>
      <c r="CA107" s="25"/>
      <c r="CB107" s="25"/>
      <c r="CC107" s="25"/>
      <c r="CE107" s="25"/>
      <c r="CF107" s="25"/>
      <c r="CG107" s="25"/>
      <c r="CH107" s="25"/>
      <c r="CI107" s="25"/>
      <c r="CJ107" s="25"/>
    </row>
    <row r="108" spans="1:88" ht="14" customHeight="1">
      <c r="A108" s="56" t="str">
        <f t="shared" si="85"/>
        <v>Agricultural casual work -- see Data2</v>
      </c>
      <c r="B108" s="60">
        <f t="shared" si="81"/>
        <v>0.17709704829957057</v>
      </c>
      <c r="C108" s="60">
        <f t="shared" si="81"/>
        <v>0</v>
      </c>
      <c r="D108" s="24">
        <f t="shared" si="86"/>
        <v>0.17709704829957057</v>
      </c>
      <c r="H108" s="24">
        <f t="shared" si="87"/>
        <v>0.67272727272727284</v>
      </c>
      <c r="I108" s="22">
        <f t="shared" si="88"/>
        <v>0.11913801431062022</v>
      </c>
      <c r="J108" s="24">
        <f t="shared" si="89"/>
        <v>0.11913801431062022</v>
      </c>
      <c r="K108" s="22">
        <f t="shared" si="90"/>
        <v>0.17709704829957057</v>
      </c>
      <c r="L108" s="22">
        <f t="shared" si="91"/>
        <v>0.11913801431062022</v>
      </c>
      <c r="M108" s="227">
        <f t="shared" si="92"/>
        <v>0.11913801431062022</v>
      </c>
      <c r="N108" s="229">
        <v>7</v>
      </c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S108" s="25"/>
      <c r="AT108" s="25"/>
      <c r="AU108" s="25"/>
      <c r="AV108" s="25"/>
      <c r="AW108" s="25"/>
      <c r="AX108" s="25"/>
      <c r="AZ108" s="25"/>
      <c r="BA108" s="25"/>
      <c r="BB108" s="25"/>
      <c r="BC108" s="25"/>
      <c r="BD108" s="25"/>
      <c r="BE108" s="25"/>
      <c r="BI108" s="25"/>
      <c r="BJ108" s="25"/>
      <c r="BK108" s="25"/>
      <c r="BL108" s="25"/>
      <c r="BM108" s="25"/>
      <c r="BN108" s="25"/>
      <c r="BP108" s="25"/>
      <c r="BQ108" s="25"/>
      <c r="BR108" s="25"/>
      <c r="BS108" s="25"/>
      <c r="BT108" s="25"/>
      <c r="BU108" s="25"/>
      <c r="BX108" s="25"/>
      <c r="BY108" s="25"/>
      <c r="BZ108" s="25"/>
      <c r="CA108" s="25"/>
      <c r="CB108" s="25"/>
      <c r="CC108" s="25"/>
      <c r="CE108" s="25"/>
      <c r="CF108" s="25"/>
      <c r="CG108" s="25"/>
      <c r="CH108" s="25"/>
      <c r="CI108" s="25"/>
      <c r="CJ108" s="25"/>
    </row>
    <row r="109" spans="1:88" ht="14" customHeight="1">
      <c r="A109" s="56" t="str">
        <f t="shared" si="85"/>
        <v>Construction casual work -- see Data2</v>
      </c>
      <c r="B109" s="60">
        <f t="shared" si="81"/>
        <v>0.21322938294806487</v>
      </c>
      <c r="C109" s="60">
        <f t="shared" si="81"/>
        <v>0</v>
      </c>
      <c r="D109" s="24">
        <f t="shared" si="86"/>
        <v>0.21322938294806487</v>
      </c>
      <c r="H109" s="24">
        <f t="shared" si="87"/>
        <v>0.67272727272727284</v>
      </c>
      <c r="I109" s="22">
        <f t="shared" si="88"/>
        <v>0.14344522125597095</v>
      </c>
      <c r="J109" s="24">
        <f t="shared" si="89"/>
        <v>0.14344522125597095</v>
      </c>
      <c r="K109" s="22">
        <f t="shared" si="90"/>
        <v>0.21322938294806487</v>
      </c>
      <c r="L109" s="22">
        <f t="shared" si="91"/>
        <v>0.14344522125597095</v>
      </c>
      <c r="M109" s="227">
        <f t="shared" si="92"/>
        <v>0.14344522125597095</v>
      </c>
      <c r="N109" s="229">
        <v>7</v>
      </c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S109" s="25"/>
      <c r="AT109" s="25"/>
      <c r="AU109" s="25"/>
      <c r="AV109" s="25"/>
      <c r="AW109" s="25"/>
      <c r="AX109" s="25"/>
      <c r="AZ109" s="25"/>
      <c r="BA109" s="25"/>
      <c r="BB109" s="25"/>
      <c r="BC109" s="25"/>
      <c r="BD109" s="25"/>
      <c r="BE109" s="25"/>
      <c r="BI109" s="25"/>
      <c r="BJ109" s="25"/>
      <c r="BK109" s="25"/>
      <c r="BL109" s="25"/>
      <c r="BM109" s="25"/>
      <c r="BN109" s="25"/>
      <c r="BP109" s="25"/>
      <c r="BQ109" s="25"/>
      <c r="BR109" s="25"/>
      <c r="BS109" s="25"/>
      <c r="BT109" s="25"/>
      <c r="BU109" s="25"/>
      <c r="BX109" s="25"/>
      <c r="BY109" s="25"/>
      <c r="BZ109" s="25"/>
      <c r="CA109" s="25"/>
      <c r="CB109" s="25"/>
      <c r="CC109" s="25"/>
      <c r="CE109" s="25"/>
      <c r="CF109" s="25"/>
      <c r="CG109" s="25"/>
      <c r="CH109" s="25"/>
      <c r="CI109" s="25"/>
      <c r="CJ109" s="25"/>
    </row>
    <row r="110" spans="1:88" ht="14" customHeight="1">
      <c r="A110" s="56" t="str">
        <f t="shared" si="85"/>
        <v>Domestic casual work -- see Data2</v>
      </c>
      <c r="B110" s="60">
        <f t="shared" si="81"/>
        <v>0.48478899223450611</v>
      </c>
      <c r="C110" s="60">
        <f t="shared" si="81"/>
        <v>-1.6202840649549001E-2</v>
      </c>
      <c r="D110" s="24">
        <f t="shared" si="86"/>
        <v>0.46858615158495709</v>
      </c>
      <c r="H110" s="24">
        <f t="shared" si="87"/>
        <v>0.67272727272727284</v>
      </c>
      <c r="I110" s="22">
        <f t="shared" si="88"/>
        <v>0.31523068379351665</v>
      </c>
      <c r="J110" s="24">
        <f t="shared" si="89"/>
        <v>0.31523068379351665</v>
      </c>
      <c r="K110" s="22">
        <f t="shared" si="90"/>
        <v>0.48478899223450611</v>
      </c>
      <c r="L110" s="22">
        <f t="shared" si="91"/>
        <v>0.32613077659412237</v>
      </c>
      <c r="M110" s="227">
        <f t="shared" si="92"/>
        <v>0.31523068379351665</v>
      </c>
      <c r="N110" s="229">
        <v>7</v>
      </c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S110" s="25"/>
      <c r="AT110" s="25"/>
      <c r="AU110" s="25"/>
      <c r="AV110" s="25"/>
      <c r="AW110" s="25"/>
      <c r="AX110" s="25"/>
      <c r="AZ110" s="25"/>
      <c r="BA110" s="25"/>
      <c r="BB110" s="25"/>
      <c r="BC110" s="25"/>
      <c r="BD110" s="25"/>
      <c r="BE110" s="25"/>
      <c r="BI110" s="25"/>
      <c r="BJ110" s="25"/>
      <c r="BK110" s="25"/>
      <c r="BL110" s="25"/>
      <c r="BM110" s="25"/>
      <c r="BN110" s="25"/>
      <c r="BP110" s="25"/>
      <c r="BQ110" s="25"/>
      <c r="BR110" s="25"/>
      <c r="BS110" s="25"/>
      <c r="BT110" s="25"/>
      <c r="BU110" s="25"/>
      <c r="BX110" s="25"/>
      <c r="BY110" s="25"/>
      <c r="BZ110" s="25"/>
      <c r="CA110" s="25"/>
      <c r="CB110" s="25"/>
      <c r="CC110" s="25"/>
      <c r="CE110" s="25"/>
      <c r="CF110" s="25"/>
      <c r="CG110" s="25"/>
      <c r="CH110" s="25"/>
      <c r="CI110" s="25"/>
      <c r="CJ110" s="25"/>
    </row>
    <row r="111" spans="1:88" ht="14" customHeight="1">
      <c r="A111" s="56" t="str">
        <f t="shared" si="85"/>
        <v>Labour migration(formal employment): no. people per HH</v>
      </c>
      <c r="B111" s="60">
        <f t="shared" si="81"/>
        <v>0.85550998629618724</v>
      </c>
      <c r="C111" s="60">
        <f t="shared" si="81"/>
        <v>0</v>
      </c>
      <c r="D111" s="24">
        <f t="shared" si="86"/>
        <v>0.85550998629618724</v>
      </c>
      <c r="H111" s="24">
        <f t="shared" si="87"/>
        <v>0.57212121212121214</v>
      </c>
      <c r="I111" s="22">
        <f t="shared" si="88"/>
        <v>0.48945541034157625</v>
      </c>
      <c r="J111" s="24">
        <f t="shared" si="89"/>
        <v>0.48945541034157625</v>
      </c>
      <c r="K111" s="22">
        <f t="shared" si="90"/>
        <v>0.85550998629618724</v>
      </c>
      <c r="L111" s="22">
        <f t="shared" si="91"/>
        <v>0.48945541034157625</v>
      </c>
      <c r="M111" s="227">
        <f t="shared" si="92"/>
        <v>0.48945541034157625</v>
      </c>
      <c r="N111" s="229">
        <v>8</v>
      </c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S111" s="25"/>
      <c r="AT111" s="25"/>
      <c r="AU111" s="25"/>
      <c r="AV111" s="25"/>
      <c r="AW111" s="25"/>
      <c r="AX111" s="25"/>
      <c r="AZ111" s="25"/>
      <c r="BA111" s="25"/>
      <c r="BB111" s="25"/>
      <c r="BC111" s="25"/>
      <c r="BD111" s="25"/>
      <c r="BE111" s="25"/>
      <c r="BI111" s="25"/>
      <c r="BJ111" s="25"/>
      <c r="BK111" s="25"/>
      <c r="BL111" s="25"/>
      <c r="BM111" s="25"/>
      <c r="BN111" s="25"/>
      <c r="BP111" s="25"/>
      <c r="BQ111" s="25"/>
      <c r="BR111" s="25"/>
      <c r="BS111" s="25"/>
      <c r="BT111" s="25"/>
      <c r="BU111" s="25"/>
      <c r="BX111" s="25"/>
      <c r="BY111" s="25"/>
      <c r="BZ111" s="25"/>
      <c r="CA111" s="25"/>
      <c r="CB111" s="25"/>
      <c r="CC111" s="25"/>
      <c r="CE111" s="25"/>
      <c r="CF111" s="25"/>
      <c r="CG111" s="25"/>
      <c r="CH111" s="25"/>
      <c r="CI111" s="25"/>
      <c r="CJ111" s="25"/>
    </row>
    <row r="112" spans="1:88" ht="14" customHeight="1">
      <c r="A112" s="56" t="str">
        <f t="shared" si="85"/>
        <v>Formal Employment (e.g. teachers, salaried staff, etc.)</v>
      </c>
      <c r="B112" s="60">
        <f t="shared" si="81"/>
        <v>0</v>
      </c>
      <c r="C112" s="60">
        <f t="shared" si="81"/>
        <v>0</v>
      </c>
      <c r="D112" s="24">
        <f t="shared" si="86"/>
        <v>0</v>
      </c>
      <c r="H112" s="24">
        <f t="shared" si="87"/>
        <v>0.57212121212121214</v>
      </c>
      <c r="I112" s="22">
        <f t="shared" si="88"/>
        <v>0</v>
      </c>
      <c r="J112" s="24">
        <f t="shared" si="89"/>
        <v>0</v>
      </c>
      <c r="K112" s="22">
        <f t="shared" si="90"/>
        <v>0</v>
      </c>
      <c r="L112" s="22">
        <f t="shared" si="91"/>
        <v>0</v>
      </c>
      <c r="M112" s="227">
        <f t="shared" si="92"/>
        <v>0</v>
      </c>
      <c r="N112" s="229">
        <v>8</v>
      </c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S112" s="25"/>
      <c r="AT112" s="25"/>
      <c r="AU112" s="25"/>
      <c r="AV112" s="25"/>
      <c r="AW112" s="25"/>
      <c r="AX112" s="25"/>
      <c r="AZ112" s="25"/>
      <c r="BA112" s="25"/>
      <c r="BB112" s="25"/>
      <c r="BC112" s="25"/>
      <c r="BD112" s="25"/>
      <c r="BE112" s="25"/>
      <c r="BI112" s="25"/>
      <c r="BJ112" s="25"/>
      <c r="BK112" s="25"/>
      <c r="BL112" s="25"/>
      <c r="BM112" s="25"/>
      <c r="BN112" s="25"/>
      <c r="BP112" s="25"/>
      <c r="BQ112" s="25"/>
      <c r="BR112" s="25"/>
      <c r="BS112" s="25"/>
      <c r="BT112" s="25"/>
      <c r="BU112" s="25"/>
      <c r="BX112" s="25"/>
      <c r="BY112" s="25"/>
      <c r="BZ112" s="25"/>
      <c r="CA112" s="25"/>
      <c r="CB112" s="25"/>
      <c r="CC112" s="25"/>
      <c r="CE112" s="25"/>
      <c r="CF112" s="25"/>
      <c r="CG112" s="25"/>
      <c r="CH112" s="25"/>
      <c r="CI112" s="25"/>
      <c r="CJ112" s="25"/>
    </row>
    <row r="113" spans="1:88" ht="14" customHeight="1">
      <c r="A113" s="56" t="str">
        <f t="shared" si="85"/>
        <v>Self-employment -- see Data2</v>
      </c>
      <c r="B113" s="60">
        <f t="shared" si="81"/>
        <v>0.41187620931153562</v>
      </c>
      <c r="C113" s="60">
        <f t="shared" si="81"/>
        <v>8.2375241862307116E-2</v>
      </c>
      <c r="D113" s="24">
        <f t="shared" si="86"/>
        <v>0.49425145117384273</v>
      </c>
      <c r="H113" s="24">
        <f t="shared" si="87"/>
        <v>0.48484848484848486</v>
      </c>
      <c r="I113" s="22">
        <f t="shared" si="88"/>
        <v>0.23963706723580255</v>
      </c>
      <c r="J113" s="24">
        <f t="shared" si="89"/>
        <v>0.23963706723580255</v>
      </c>
      <c r="K113" s="22">
        <f t="shared" si="90"/>
        <v>0.41187620931153562</v>
      </c>
      <c r="L113" s="22">
        <f t="shared" si="91"/>
        <v>0.19969755602983547</v>
      </c>
      <c r="M113" s="227">
        <f t="shared" si="92"/>
        <v>0.23963706723580255</v>
      </c>
      <c r="N113" s="229">
        <v>10</v>
      </c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S113" s="25"/>
      <c r="AT113" s="25"/>
      <c r="AU113" s="25"/>
      <c r="AV113" s="25"/>
      <c r="AW113" s="25"/>
      <c r="AX113" s="25"/>
      <c r="AZ113" s="25"/>
      <c r="BA113" s="25"/>
      <c r="BB113" s="25"/>
      <c r="BC113" s="25"/>
      <c r="BD113" s="25"/>
      <c r="BE113" s="25"/>
      <c r="BI113" s="25"/>
      <c r="BJ113" s="25"/>
      <c r="BK113" s="25"/>
      <c r="BL113" s="25"/>
      <c r="BM113" s="25"/>
      <c r="BN113" s="25"/>
      <c r="BP113" s="25"/>
      <c r="BQ113" s="25"/>
      <c r="BR113" s="25"/>
      <c r="BS113" s="25"/>
      <c r="BT113" s="25"/>
      <c r="BU113" s="25"/>
      <c r="BX113" s="25"/>
      <c r="BY113" s="25"/>
      <c r="BZ113" s="25"/>
      <c r="CA113" s="25"/>
      <c r="CB113" s="25"/>
      <c r="CC113" s="25"/>
      <c r="CE113" s="25"/>
      <c r="CF113" s="25"/>
      <c r="CG113" s="25"/>
      <c r="CH113" s="25"/>
      <c r="CI113" s="25"/>
      <c r="CJ113" s="25"/>
    </row>
    <row r="114" spans="1:88" ht="14" customHeight="1">
      <c r="A114" s="56" t="str">
        <f t="shared" si="85"/>
        <v>Small business -- see Data2</v>
      </c>
      <c r="B114" s="60">
        <f t="shared" si="81"/>
        <v>9.3328362141402249E-2</v>
      </c>
      <c r="C114" s="60">
        <f t="shared" si="81"/>
        <v>0</v>
      </c>
      <c r="D114" s="24">
        <f t="shared" si="86"/>
        <v>9.3328362141402249E-2</v>
      </c>
      <c r="H114" s="24">
        <f t="shared" si="87"/>
        <v>0.57212121212121214</v>
      </c>
      <c r="I114" s="22">
        <f t="shared" si="88"/>
        <v>5.3395135673626498E-2</v>
      </c>
      <c r="J114" s="24">
        <f t="shared" si="89"/>
        <v>5.3395135673626498E-2</v>
      </c>
      <c r="K114" s="22">
        <f t="shared" si="90"/>
        <v>9.3328362141402249E-2</v>
      </c>
      <c r="L114" s="22">
        <f t="shared" si="91"/>
        <v>5.3395135673626498E-2</v>
      </c>
      <c r="M114" s="227">
        <f t="shared" si="92"/>
        <v>5.3395135673626498E-2</v>
      </c>
      <c r="N114" s="229">
        <v>11</v>
      </c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S114" s="25"/>
      <c r="AT114" s="25"/>
      <c r="AU114" s="25"/>
      <c r="AV114" s="25"/>
      <c r="AW114" s="25"/>
      <c r="AX114" s="25"/>
      <c r="AZ114" s="25"/>
      <c r="BA114" s="25"/>
      <c r="BB114" s="25"/>
      <c r="BC114" s="25"/>
      <c r="BD114" s="25"/>
      <c r="BE114" s="25"/>
      <c r="BI114" s="25"/>
      <c r="BJ114" s="25"/>
      <c r="BK114" s="25"/>
      <c r="BL114" s="25"/>
      <c r="BM114" s="25"/>
      <c r="BN114" s="25"/>
      <c r="BP114" s="25"/>
      <c r="BQ114" s="25"/>
      <c r="BR114" s="25"/>
      <c r="BS114" s="25"/>
      <c r="BT114" s="25"/>
      <c r="BU114" s="25"/>
      <c r="BX114" s="25"/>
      <c r="BY114" s="25"/>
      <c r="BZ114" s="25"/>
      <c r="CA114" s="25"/>
      <c r="CB114" s="25"/>
      <c r="CC114" s="25"/>
      <c r="CE114" s="25"/>
      <c r="CF114" s="25"/>
      <c r="CG114" s="25"/>
      <c r="CH114" s="25"/>
      <c r="CI114" s="25"/>
      <c r="CJ114" s="25"/>
    </row>
    <row r="115" spans="1:88" ht="14" customHeight="1">
      <c r="A115" s="56" t="str">
        <f t="shared" si="85"/>
        <v>Social development -- see Data2</v>
      </c>
      <c r="B115" s="60">
        <f t="shared" si="81"/>
        <v>2.1115541934492259</v>
      </c>
      <c r="C115" s="60">
        <f t="shared" si="81"/>
        <v>0</v>
      </c>
      <c r="D115" s="24">
        <f t="shared" si="86"/>
        <v>2.1115541934492259</v>
      </c>
      <c r="H115" s="24">
        <f t="shared" si="87"/>
        <v>0</v>
      </c>
      <c r="I115" s="22">
        <f t="shared" si="88"/>
        <v>0</v>
      </c>
      <c r="J115" s="24">
        <f t="shared" si="89"/>
        <v>0</v>
      </c>
      <c r="K115" s="22">
        <f t="shared" si="90"/>
        <v>2.1115541934492259</v>
      </c>
      <c r="L115" s="22">
        <f t="shared" si="91"/>
        <v>0</v>
      </c>
      <c r="M115" s="227">
        <f t="shared" si="92"/>
        <v>0</v>
      </c>
      <c r="N115" s="229">
        <v>14</v>
      </c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S115" s="25"/>
      <c r="AT115" s="25"/>
      <c r="AU115" s="25"/>
      <c r="AV115" s="25"/>
      <c r="AW115" s="25"/>
      <c r="AX115" s="25"/>
      <c r="AZ115" s="25"/>
      <c r="BA115" s="25"/>
      <c r="BB115" s="25"/>
      <c r="BC115" s="25"/>
      <c r="BD115" s="25"/>
      <c r="BE115" s="25"/>
      <c r="BI115" s="25"/>
      <c r="BJ115" s="25"/>
      <c r="BK115" s="25"/>
      <c r="BL115" s="25"/>
      <c r="BM115" s="25"/>
      <c r="BN115" s="25"/>
      <c r="BP115" s="25"/>
      <c r="BQ115" s="25"/>
      <c r="BR115" s="25"/>
      <c r="BS115" s="25"/>
      <c r="BT115" s="25"/>
      <c r="BU115" s="25"/>
      <c r="BX115" s="25"/>
      <c r="BY115" s="25"/>
      <c r="BZ115" s="25"/>
      <c r="CA115" s="25"/>
      <c r="CB115" s="25"/>
      <c r="CC115" s="25"/>
      <c r="CE115" s="25"/>
      <c r="CF115" s="25"/>
      <c r="CG115" s="25"/>
      <c r="CH115" s="25"/>
      <c r="CI115" s="25"/>
      <c r="CJ115" s="25"/>
    </row>
    <row r="116" spans="1:88" ht="14" customHeight="1">
      <c r="A116" s="56" t="str">
        <f t="shared" si="85"/>
        <v>Public works -- see Data2</v>
      </c>
      <c r="B116" s="60">
        <f t="shared" si="81"/>
        <v>0.26575899233390271</v>
      </c>
      <c r="C116" s="60">
        <f t="shared" si="81"/>
        <v>0</v>
      </c>
      <c r="D116" s="24">
        <f t="shared" si="86"/>
        <v>0.26575899233390271</v>
      </c>
      <c r="H116" s="24">
        <f t="shared" si="87"/>
        <v>0.7151515151515152</v>
      </c>
      <c r="I116" s="22">
        <f t="shared" si="88"/>
        <v>0.19005794603273043</v>
      </c>
      <c r="J116" s="24">
        <f t="shared" si="89"/>
        <v>0.19005794603273043</v>
      </c>
      <c r="K116" s="22">
        <f t="shared" si="90"/>
        <v>0.26575899233390271</v>
      </c>
      <c r="L116" s="22">
        <f t="shared" si="91"/>
        <v>0.19005794603273043</v>
      </c>
      <c r="M116" s="227">
        <f t="shared" si="92"/>
        <v>0.19005794603273043</v>
      </c>
      <c r="N116" s="229">
        <v>9</v>
      </c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S116" s="25"/>
      <c r="AT116" s="25"/>
      <c r="AU116" s="25"/>
      <c r="AV116" s="25"/>
      <c r="AW116" s="25"/>
      <c r="AX116" s="25"/>
      <c r="AZ116" s="25"/>
      <c r="BA116" s="25"/>
      <c r="BB116" s="25"/>
      <c r="BC116" s="25"/>
      <c r="BD116" s="25"/>
      <c r="BE116" s="25"/>
      <c r="BI116" s="25"/>
      <c r="BJ116" s="25"/>
      <c r="BK116" s="25"/>
      <c r="BL116" s="25"/>
      <c r="BM116" s="25"/>
      <c r="BN116" s="25"/>
      <c r="BP116" s="25"/>
      <c r="BQ116" s="25"/>
      <c r="BR116" s="25"/>
      <c r="BS116" s="25"/>
      <c r="BT116" s="25"/>
      <c r="BU116" s="25"/>
      <c r="BX116" s="25"/>
      <c r="BY116" s="25"/>
      <c r="BZ116" s="25"/>
      <c r="CA116" s="25"/>
      <c r="CB116" s="25"/>
      <c r="CC116" s="25"/>
      <c r="CE116" s="25"/>
      <c r="CF116" s="25"/>
      <c r="CG116" s="25"/>
      <c r="CH116" s="25"/>
      <c r="CI116" s="25"/>
      <c r="CJ116" s="25"/>
    </row>
    <row r="117" spans="1:88" ht="14" customHeight="1">
      <c r="A117" s="56" t="str">
        <f t="shared" si="85"/>
        <v>Other income: e.g. Credit (cotton loans)</v>
      </c>
      <c r="B117" s="60">
        <f t="shared" si="81"/>
        <v>0</v>
      </c>
      <c r="C117" s="60">
        <f t="shared" si="81"/>
        <v>0</v>
      </c>
      <c r="D117" s="24">
        <f t="shared" si="86"/>
        <v>0</v>
      </c>
      <c r="H117" s="24">
        <f t="shared" si="87"/>
        <v>0.60606060606060608</v>
      </c>
      <c r="I117" s="22">
        <f t="shared" si="88"/>
        <v>0</v>
      </c>
      <c r="J117" s="24">
        <f t="shared" si="89"/>
        <v>0</v>
      </c>
      <c r="K117" s="22">
        <f t="shared" si="90"/>
        <v>0</v>
      </c>
      <c r="L117" s="22">
        <f t="shared" si="91"/>
        <v>0</v>
      </c>
      <c r="M117" s="227">
        <f t="shared" si="92"/>
        <v>0</v>
      </c>
      <c r="N117" s="229">
        <v>16</v>
      </c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S117" s="25"/>
      <c r="AT117" s="25"/>
      <c r="AU117" s="25"/>
      <c r="AV117" s="25"/>
      <c r="AW117" s="25"/>
      <c r="AX117" s="25"/>
      <c r="AZ117" s="25"/>
      <c r="BA117" s="25"/>
      <c r="BB117" s="25"/>
      <c r="BC117" s="25"/>
      <c r="BD117" s="25"/>
      <c r="BE117" s="25"/>
      <c r="BI117" s="25"/>
      <c r="BJ117" s="25"/>
      <c r="BK117" s="25"/>
      <c r="BL117" s="25"/>
      <c r="BM117" s="25"/>
      <c r="BN117" s="25"/>
      <c r="BP117" s="25"/>
      <c r="BQ117" s="25"/>
      <c r="BR117" s="25"/>
      <c r="BS117" s="25"/>
      <c r="BT117" s="25"/>
      <c r="BU117" s="25"/>
      <c r="BX117" s="25"/>
      <c r="BY117" s="25"/>
      <c r="BZ117" s="25"/>
      <c r="CA117" s="25"/>
      <c r="CB117" s="25"/>
      <c r="CC117" s="25"/>
      <c r="CE117" s="25"/>
      <c r="CF117" s="25"/>
      <c r="CG117" s="25"/>
      <c r="CH117" s="25"/>
      <c r="CI117" s="25"/>
      <c r="CJ117" s="25"/>
    </row>
    <row r="118" spans="1:88" ht="14" customHeight="1">
      <c r="A118" s="56" t="str">
        <f t="shared" si="85"/>
        <v>Remittances: no. times per year</v>
      </c>
      <c r="B118" s="60">
        <f t="shared" si="81"/>
        <v>0.2041557921843174</v>
      </c>
      <c r="C118" s="60">
        <f t="shared" si="81"/>
        <v>0</v>
      </c>
      <c r="D118" s="24">
        <f t="shared" si="86"/>
        <v>0.2041557921843174</v>
      </c>
      <c r="H118" s="24">
        <f t="shared" si="87"/>
        <v>0.67272727272727284</v>
      </c>
      <c r="I118" s="22">
        <f t="shared" si="88"/>
        <v>0.13734116928763174</v>
      </c>
      <c r="J118" s="24">
        <f t="shared" si="89"/>
        <v>0.13734116928763174</v>
      </c>
      <c r="K118" s="22">
        <f t="shared" si="90"/>
        <v>0.2041557921843174</v>
      </c>
      <c r="L118" s="22">
        <f t="shared" si="91"/>
        <v>0.13734116928763174</v>
      </c>
      <c r="M118" s="227">
        <f t="shared" si="92"/>
        <v>0.13734116928763174</v>
      </c>
      <c r="N118" s="229">
        <v>15</v>
      </c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S118" s="25"/>
      <c r="AT118" s="25"/>
      <c r="AU118" s="25"/>
      <c r="AV118" s="25"/>
      <c r="AW118" s="25"/>
      <c r="AX118" s="25"/>
      <c r="AZ118" s="25"/>
      <c r="BA118" s="25"/>
      <c r="BB118" s="25"/>
      <c r="BC118" s="25"/>
      <c r="BD118" s="25"/>
      <c r="BE118" s="25"/>
      <c r="BI118" s="25"/>
      <c r="BJ118" s="25"/>
      <c r="BK118" s="25"/>
      <c r="BL118" s="25"/>
      <c r="BM118" s="25"/>
      <c r="BN118" s="25"/>
      <c r="BP118" s="25"/>
      <c r="BQ118" s="25"/>
      <c r="BR118" s="25"/>
      <c r="BS118" s="25"/>
      <c r="BT118" s="25"/>
      <c r="BU118" s="25"/>
      <c r="BX118" s="25"/>
      <c r="BY118" s="25"/>
      <c r="BZ118" s="25"/>
      <c r="CA118" s="25"/>
      <c r="CB118" s="25"/>
      <c r="CC118" s="25"/>
      <c r="CE118" s="25"/>
      <c r="CF118" s="25"/>
      <c r="CG118" s="25"/>
      <c r="CH118" s="25"/>
      <c r="CI118" s="25"/>
      <c r="CJ118" s="25"/>
    </row>
    <row r="119" spans="1:88" ht="14" customHeight="1">
      <c r="A119" s="56" t="s">
        <v>32</v>
      </c>
      <c r="B119" s="29">
        <f>SUM(B91:B118)</f>
        <v>5.4231069682447002</v>
      </c>
      <c r="C119" s="29">
        <f>SUM(C91:C118)</f>
        <v>-9.075211047812394E-2</v>
      </c>
      <c r="D119" s="24">
        <f>SUM(D91:D118)</f>
        <v>5.3323548577665765</v>
      </c>
      <c r="E119" s="22"/>
      <c r="F119" s="2"/>
      <c r="G119" s="2"/>
      <c r="H119" s="31"/>
      <c r="I119" s="22">
        <f>SUM(I91:I118)</f>
        <v>1.9656496755797561</v>
      </c>
      <c r="J119" s="24">
        <f>SUM(J91:J118)</f>
        <v>1.9656496755797561</v>
      </c>
      <c r="K119" s="22">
        <f>SUM(K91:K118)</f>
        <v>5.4231069682447002</v>
      </c>
      <c r="L119" s="22">
        <f>SUM(L91:L118)</f>
        <v>2.0598529911162342</v>
      </c>
      <c r="M119" s="57">
        <f t="shared" si="80"/>
        <v>1.9656496755797561</v>
      </c>
      <c r="N119" s="58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S119" s="25"/>
      <c r="AT119" s="25"/>
      <c r="AU119" s="25"/>
      <c r="AV119" s="25"/>
      <c r="AW119" s="25"/>
      <c r="AX119" s="25"/>
      <c r="AZ119" s="25"/>
      <c r="BA119" s="25"/>
      <c r="BB119" s="25"/>
      <c r="BC119" s="25"/>
      <c r="BD119" s="25"/>
      <c r="BE119" s="25"/>
      <c r="BI119" s="25"/>
      <c r="BJ119" s="25"/>
      <c r="BK119" s="25"/>
      <c r="BL119" s="25"/>
      <c r="BM119" s="25"/>
      <c r="BN119" s="25"/>
      <c r="BP119" s="25"/>
      <c r="BQ119" s="25"/>
      <c r="BR119" s="25"/>
      <c r="BS119" s="25"/>
      <c r="BT119" s="25"/>
      <c r="BU119" s="25"/>
      <c r="BX119" s="25"/>
      <c r="BY119" s="25"/>
      <c r="BZ119" s="25"/>
      <c r="CA119" s="25"/>
      <c r="CB119" s="25"/>
      <c r="CC119" s="25"/>
      <c r="CE119" s="25"/>
      <c r="CF119" s="25"/>
      <c r="CG119" s="25"/>
      <c r="CH119" s="25"/>
      <c r="CI119" s="25"/>
      <c r="CJ119" s="25"/>
    </row>
    <row r="120" spans="1:88" ht="14" customHeight="1">
      <c r="A120" s="61"/>
      <c r="B120" s="61"/>
      <c r="C120" s="61"/>
      <c r="D120" s="10"/>
      <c r="E120" s="11"/>
      <c r="F120" s="11"/>
      <c r="G120" s="11"/>
      <c r="H120" s="10"/>
      <c r="I120" s="11"/>
      <c r="J120" s="62"/>
      <c r="K120" s="14"/>
      <c r="L120" s="11"/>
      <c r="M120" s="63"/>
      <c r="N120" s="58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S120" s="25"/>
      <c r="AT120" s="25"/>
      <c r="AU120" s="25"/>
      <c r="AV120" s="25"/>
      <c r="AW120" s="25"/>
      <c r="AX120" s="25"/>
      <c r="AZ120" s="25"/>
      <c r="BA120" s="25"/>
      <c r="BB120" s="25"/>
      <c r="BC120" s="25"/>
      <c r="BD120" s="25"/>
      <c r="BE120" s="25"/>
      <c r="BI120" s="25"/>
      <c r="BJ120" s="25"/>
      <c r="BK120" s="25"/>
      <c r="BL120" s="25"/>
      <c r="BM120" s="25"/>
      <c r="BN120" s="25"/>
      <c r="BP120" s="25"/>
      <c r="BQ120" s="25"/>
      <c r="BR120" s="25"/>
      <c r="BS120" s="25"/>
      <c r="BT120" s="25"/>
      <c r="BU120" s="25"/>
      <c r="BX120" s="25"/>
      <c r="BY120" s="25"/>
      <c r="BZ120" s="25"/>
      <c r="CA120" s="25"/>
      <c r="CB120" s="25"/>
      <c r="CC120" s="25"/>
      <c r="CE120" s="25"/>
      <c r="CF120" s="25"/>
      <c r="CG120" s="25"/>
      <c r="CH120" s="25"/>
      <c r="CI120" s="25"/>
      <c r="CJ120" s="25"/>
    </row>
    <row r="121" spans="1:88">
      <c r="A121" s="55" t="str">
        <f>A67</f>
        <v>Expenditure : Poor HHs</v>
      </c>
      <c r="B121" s="56"/>
      <c r="C121" s="56"/>
      <c r="D121" s="31"/>
      <c r="E121" s="2"/>
      <c r="F121" s="2"/>
      <c r="G121" s="2"/>
      <c r="H121" s="31"/>
      <c r="I121" s="22"/>
      <c r="J121" s="18"/>
      <c r="L121" s="2"/>
      <c r="M121" s="57"/>
      <c r="N121" s="58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2"/>
      <c r="AC121" s="2"/>
      <c r="AD121" s="2"/>
      <c r="AE121" s="2"/>
      <c r="AF121" s="2"/>
      <c r="AG121" s="2"/>
      <c r="AM121" s="21"/>
      <c r="AN121" s="21"/>
      <c r="AO121" s="21"/>
      <c r="AV121" s="21"/>
      <c r="AW121" s="21"/>
      <c r="AX121" s="21"/>
      <c r="BC121" s="21"/>
      <c r="BD121" s="21"/>
      <c r="BE121" s="21"/>
      <c r="BL121" s="21"/>
      <c r="BM121" s="21"/>
      <c r="BN121" s="21"/>
      <c r="BS121" s="21"/>
      <c r="BT121" s="21"/>
      <c r="BU121" s="21"/>
      <c r="CA121" s="21"/>
      <c r="CB121" s="21"/>
      <c r="CC121" s="21"/>
      <c r="CH121" s="21"/>
      <c r="CI121" s="21"/>
      <c r="CJ121" s="21"/>
    </row>
    <row r="122" spans="1:88" ht="14" customHeight="1">
      <c r="A122" s="56"/>
      <c r="B122" s="59" t="s">
        <v>7</v>
      </c>
      <c r="C122" s="56"/>
      <c r="D122" s="16"/>
      <c r="H122" s="16" t="s">
        <v>12</v>
      </c>
      <c r="I122" s="19" t="s">
        <v>13</v>
      </c>
      <c r="J122" s="16" t="s">
        <v>14</v>
      </c>
      <c r="K122" s="19" t="s">
        <v>7</v>
      </c>
      <c r="L122" s="19" t="s">
        <v>15</v>
      </c>
      <c r="M122" s="57" t="str">
        <f t="shared" ref="M122:M130" si="93">(J122)</f>
        <v>Curr.</v>
      </c>
      <c r="N122" s="58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S122" s="25"/>
      <c r="AT122" s="25"/>
      <c r="AU122" s="25"/>
      <c r="AV122" s="25"/>
      <c r="AW122" s="25"/>
      <c r="AX122" s="25"/>
      <c r="AZ122" s="25"/>
      <c r="BA122" s="25"/>
      <c r="BB122" s="25"/>
      <c r="BC122" s="25"/>
      <c r="BD122" s="25"/>
      <c r="BE122" s="25"/>
      <c r="BI122" s="25"/>
      <c r="BJ122" s="25"/>
      <c r="BK122" s="25"/>
      <c r="BL122" s="25"/>
      <c r="BM122" s="25"/>
      <c r="BN122" s="25"/>
      <c r="BP122" s="25"/>
      <c r="BQ122" s="25"/>
      <c r="BR122" s="25"/>
      <c r="BS122" s="25"/>
      <c r="BT122" s="25"/>
      <c r="BU122" s="25"/>
      <c r="BX122" s="25"/>
      <c r="BY122" s="25"/>
      <c r="BZ122" s="25"/>
      <c r="CA122" s="25"/>
      <c r="CB122" s="25"/>
      <c r="CC122" s="25"/>
      <c r="CE122" s="25"/>
      <c r="CF122" s="25"/>
      <c r="CG122" s="25"/>
      <c r="CH122" s="25"/>
      <c r="CI122" s="25"/>
      <c r="CJ122" s="25"/>
    </row>
    <row r="123" spans="1:88" ht="14" customHeight="1">
      <c r="A123" s="56" t="s">
        <v>44</v>
      </c>
      <c r="B123" s="59" t="s">
        <v>35</v>
      </c>
      <c r="C123" s="56"/>
      <c r="D123" s="31"/>
      <c r="H123" s="16" t="s">
        <v>18</v>
      </c>
      <c r="I123" s="19" t="s">
        <v>35</v>
      </c>
      <c r="J123" s="16" t="s">
        <v>35</v>
      </c>
      <c r="K123" s="19" t="s">
        <v>35</v>
      </c>
      <c r="L123" s="19" t="s">
        <v>19</v>
      </c>
      <c r="M123" s="57" t="str">
        <f t="shared" si="93"/>
        <v>Expend</v>
      </c>
      <c r="N123" s="58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2"/>
      <c r="AC123" s="2"/>
      <c r="AD123" s="2"/>
      <c r="AE123" s="2"/>
      <c r="AF123" s="2"/>
      <c r="AG123" s="2"/>
    </row>
    <row r="124" spans="1:88" ht="14" customHeight="1">
      <c r="A124" s="110" t="s">
        <v>131</v>
      </c>
      <c r="B124" s="60">
        <f>B70/B$83</f>
        <v>1.8967898799892307</v>
      </c>
      <c r="C124" s="56"/>
      <c r="D124" s="24"/>
      <c r="H124" s="96">
        <f>(E70*F70/G$37*F$7/F$9)</f>
        <v>0.84848484848484851</v>
      </c>
      <c r="I124" s="29">
        <f>IF(SUMPRODUCT($B$124:$B124,$H$124:$H124)&lt;I$119,($B124*$H124),I$119)</f>
        <v>1.6093974739302563</v>
      </c>
      <c r="J124" s="237">
        <f>IF(SUMPRODUCT($B$124:$B124,$H$124:$H124)&lt;J$119,($B124*$H124),J$119)</f>
        <v>1.6093974739302563</v>
      </c>
      <c r="K124" s="29">
        <f>(B124)</f>
        <v>1.8967898799892307</v>
      </c>
      <c r="L124" s="29">
        <f>IF(SUMPRODUCT($B$124:$B124,$H$124:$H124)&lt;L$119,($B124*$H124),L$119)</f>
        <v>1.6093974739302563</v>
      </c>
      <c r="M124" s="240">
        <f t="shared" si="93"/>
        <v>1.6093974739302563</v>
      </c>
      <c r="N124" s="58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2"/>
      <c r="AC124" s="2"/>
      <c r="AD124" s="2"/>
      <c r="AE124" s="2"/>
      <c r="AF124" s="2"/>
      <c r="AG124" s="2"/>
    </row>
    <row r="125" spans="1:88" ht="14" customHeight="1">
      <c r="A125" s="110" t="s">
        <v>132</v>
      </c>
      <c r="B125" s="60">
        <f>B71/B$83</f>
        <v>1.6014455622263599</v>
      </c>
      <c r="C125" s="56"/>
      <c r="D125" s="24"/>
      <c r="H125" s="96">
        <f>(E71*F71/G$37*F$7/F$9)</f>
        <v>0.7151515151515152</v>
      </c>
      <c r="I125" s="29">
        <f>IF(SUMPRODUCT($B$124:$B125,$H$124:$H125)&lt;I$119,($B125*$H125),IF(SUMPRODUCT($B$124:$B124,$H$124:$H124)&lt;I$119,I$119-SUMPRODUCT($B$124:$B124,$H$124:$H124),0))</f>
        <v>0.35625220164949978</v>
      </c>
      <c r="J125" s="237">
        <f>IF(SUMPRODUCT($B$124:$B125,$H$124:$H125)&lt;J$119,($B125*$H125),IF(SUMPRODUCT($B$124:$B124,$H$124:$H124)&lt;J$119,J$119-SUMPRODUCT($B$124:$B124,$H$124:$H124),0))</f>
        <v>0.35625220164949978</v>
      </c>
      <c r="K125" s="29">
        <f>(B125)</f>
        <v>1.6014455622263599</v>
      </c>
      <c r="L125" s="29">
        <f>IF(SUMPRODUCT($B$124:$B125,$H$124:$H125)&lt;L$119,($B125*$H125),IF(SUMPRODUCT($B$124:$B124,$H$124:$H124)&lt;L$119,L$119-SUMPRODUCT($B$124:$B124,$H$124:$H124),0))</f>
        <v>0.45045551718597787</v>
      </c>
      <c r="M125" s="240">
        <f t="shared" si="93"/>
        <v>0.35625220164949978</v>
      </c>
      <c r="N125" s="58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2"/>
      <c r="AC125" s="2"/>
      <c r="AD125" s="2"/>
      <c r="AE125" s="2"/>
      <c r="AF125" s="2"/>
      <c r="AG125" s="2"/>
    </row>
    <row r="126" spans="1:88" ht="14" customHeight="1">
      <c r="A126" s="110" t="s">
        <v>133</v>
      </c>
      <c r="B126" s="60">
        <f>B72/B$83</f>
        <v>2.8256272690239785</v>
      </c>
      <c r="C126" s="56"/>
      <c r="D126" s="24"/>
      <c r="H126" s="96">
        <f>(E72*F72/G$37*F$7/F$9)</f>
        <v>0.7151515151515152</v>
      </c>
      <c r="I126" s="29">
        <f>IF(SUMPRODUCT($B$124:$B126,$H$124:$H126)&lt;(I$119-I$128),($B126*$H126),IF(SUMPRODUCT($B$124:$B125,$H$124:$H125)&lt;(I$119-I$128),I$119-I$128-SUMPRODUCT($B$124:$B125,$H$124:$H125),0))</f>
        <v>0</v>
      </c>
      <c r="J126" s="237">
        <f>IF(SUMPRODUCT($B$124:$B126,$H$124:$H126)&lt;(J$119-J$128),($B126*$H126),IF(SUMPRODUCT($B$124:$B125,$H$124:$H125)&lt;(J$119-J$128),J$119-J$128-SUMPRODUCT($B$124:$B125,$H$124:$H125),0))</f>
        <v>0</v>
      </c>
      <c r="K126" s="29">
        <f t="shared" ref="K126:K127" si="94">(B126)</f>
        <v>2.8256272690239785</v>
      </c>
      <c r="L126" s="29">
        <f>IF(SUMPRODUCT($B$124:$B126,$H$124:$H126)&lt;(L$119-L$128),($B126*$H126),IF(SUMPRODUCT($B$124:$B125,$H$124:$H125)&lt;(L$119-L$128),L$119-L$128-SUMPRODUCT($B$124:$B125,$H$124:$H125),0))</f>
        <v>0</v>
      </c>
      <c r="M126" s="240">
        <f t="shared" si="93"/>
        <v>0</v>
      </c>
      <c r="N126" s="58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2"/>
      <c r="AC126" s="2"/>
      <c r="AD126" s="2"/>
      <c r="AE126" s="2"/>
      <c r="AF126" s="2"/>
      <c r="AG126" s="2"/>
    </row>
    <row r="127" spans="1:88" ht="14" customHeight="1">
      <c r="A127" s="110" t="s">
        <v>134</v>
      </c>
      <c r="B127" s="60">
        <f>B73/B$83</f>
        <v>0.42276451822803257</v>
      </c>
      <c r="C127" s="56"/>
      <c r="D127" s="24"/>
      <c r="H127" s="96">
        <f>(E73*F73/G$37*F$7/F$9)</f>
        <v>0.7151515151515152</v>
      </c>
      <c r="I127" s="29">
        <f>IF(SUMPRODUCT($B$124:$B127,$H$124:$H127)&lt;(I$119-I$128),($B127*$H127),IF(SUMPRODUCT($B$124:$B126,$H$124:$H126)&lt;(I$119-I128),I$119-I$128-SUMPRODUCT($B$124:$B126,$H$124:$H126),0))</f>
        <v>0</v>
      </c>
      <c r="J127" s="237">
        <f>IF(SUMPRODUCT($B$124:$B127,$H$124:$H127)&lt;(J$119-J$128),($B127*$H127),IF(SUMPRODUCT($B$124:$B126,$H$124:$H126)&lt;(J$119-J128),J$119-J$128-SUMPRODUCT($B$124:$B126,$H$124:$H126),0))</f>
        <v>0</v>
      </c>
      <c r="K127" s="29">
        <f t="shared" si="94"/>
        <v>0.42276451822803257</v>
      </c>
      <c r="L127" s="29">
        <f>IF(SUMPRODUCT($B$124:$B127,$H$124:$H127)&lt;(L$119-L$128),($B127*$H127),IF(SUMPRODUCT($B$124:$B126,$H$124:$H126)&lt;(L$119-L128),L$119-L$128-SUMPRODUCT($B$124:$B126,$H$124:$H126),0))</f>
        <v>0</v>
      </c>
      <c r="M127" s="240">
        <f t="shared" si="93"/>
        <v>0</v>
      </c>
      <c r="N127" s="58"/>
      <c r="Q127" s="2"/>
      <c r="R127" s="22"/>
      <c r="S127" s="2"/>
      <c r="T127" s="2"/>
      <c r="U127" s="2"/>
      <c r="V127" s="2"/>
      <c r="W127" s="2"/>
      <c r="X127" s="2"/>
      <c r="Y127" s="2"/>
      <c r="Z127" s="2"/>
      <c r="AA127" s="2"/>
      <c r="AB127" s="22"/>
      <c r="AC127" s="2"/>
      <c r="AD127" s="2"/>
      <c r="AE127" s="2"/>
      <c r="AF127" s="2"/>
      <c r="AG127" s="2"/>
    </row>
    <row r="128" spans="1:88" ht="14" customHeight="1">
      <c r="A128" s="1" t="s">
        <v>135</v>
      </c>
      <c r="B128" s="29">
        <f>(B30)</f>
        <v>0.4958710473225405</v>
      </c>
      <c r="C128" s="56"/>
      <c r="D128" s="31"/>
      <c r="E128" s="2"/>
      <c r="F128" s="2"/>
      <c r="G128" s="2"/>
      <c r="H128" s="24"/>
      <c r="I128" s="29">
        <f>(I30)</f>
        <v>0.35625220164949978</v>
      </c>
      <c r="J128" s="228">
        <f>(J30)</f>
        <v>0.11363217158585059</v>
      </c>
      <c r="K128" s="29">
        <f>(B128)</f>
        <v>0.4958710473225405</v>
      </c>
      <c r="L128" s="29">
        <f>IF(L124=L119,0,(L119-L124)/(B119-B124)*K128)</f>
        <v>6.3343098050700666E-2</v>
      </c>
      <c r="M128" s="240">
        <f t="shared" si="93"/>
        <v>0.11363217158585059</v>
      </c>
      <c r="N128" s="58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2"/>
      <c r="AC128" s="2"/>
      <c r="AD128" s="2"/>
      <c r="AE128" s="2"/>
      <c r="AF128" s="2"/>
      <c r="AG128" s="2"/>
    </row>
    <row r="129" spans="1:33" ht="14" customHeight="1">
      <c r="A129" s="56" t="s">
        <v>55</v>
      </c>
      <c r="B129" s="29">
        <f>IF(SUM(B124:B128)&gt;B130,0,B130-B124-B125-B126-B127-B128)</f>
        <v>0</v>
      </c>
      <c r="C129" s="56"/>
      <c r="D129" s="31"/>
      <c r="E129" s="2"/>
      <c r="F129" s="2"/>
      <c r="G129" s="2"/>
      <c r="H129" s="24"/>
      <c r="I129" s="29"/>
      <c r="J129" s="228">
        <f>IF(SUM(J124:J128)&gt;J130,0,J130-SUM(J124:J128))</f>
        <v>0</v>
      </c>
      <c r="K129" s="29">
        <f>(B129)</f>
        <v>0</v>
      </c>
      <c r="L129" s="60">
        <f>IF(SUM(L124:L128)&gt;L130,0,L130-SUM(L124:L128))</f>
        <v>0</v>
      </c>
      <c r="M129" s="240">
        <f t="shared" si="93"/>
        <v>0</v>
      </c>
      <c r="N129" s="58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2"/>
      <c r="AC129" s="2"/>
      <c r="AD129" s="2"/>
      <c r="AE129" s="2"/>
      <c r="AF129" s="2"/>
      <c r="AG129" s="2"/>
    </row>
    <row r="130" spans="1:33" ht="14" customHeight="1">
      <c r="A130" s="56" t="s">
        <v>32</v>
      </c>
      <c r="B130" s="29">
        <f>(B119)</f>
        <v>5.4231069682447002</v>
      </c>
      <c r="C130" s="56"/>
      <c r="D130" s="31"/>
      <c r="E130" s="2"/>
      <c r="F130" s="2"/>
      <c r="G130" s="2"/>
      <c r="H130" s="24"/>
      <c r="I130" s="29">
        <f>(I119)</f>
        <v>1.9656496755797561</v>
      </c>
      <c r="J130" s="228">
        <f>(J119)</f>
        <v>1.9656496755797561</v>
      </c>
      <c r="K130" s="29">
        <f>(B130)</f>
        <v>5.4231069682447002</v>
      </c>
      <c r="L130" s="29">
        <f>(L119)</f>
        <v>2.0598529911162342</v>
      </c>
      <c r="M130" s="240">
        <f t="shared" si="93"/>
        <v>1.9656496755797561</v>
      </c>
      <c r="N130" s="58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2"/>
      <c r="AC130" s="2"/>
      <c r="AD130" s="2"/>
      <c r="AE130" s="2"/>
      <c r="AF130" s="2"/>
      <c r="AG130" s="2"/>
    </row>
    <row r="131" spans="1:33" ht="14" customHeight="1">
      <c r="A131" s="56" t="s">
        <v>36</v>
      </c>
      <c r="B131" s="29"/>
      <c r="C131" s="56"/>
      <c r="D131" s="31"/>
      <c r="E131" s="2"/>
      <c r="F131" s="2"/>
      <c r="G131" s="2"/>
      <c r="H131" s="24"/>
      <c r="I131" s="29">
        <f>IF(SUMPRODUCT($B124:$B125,$H124:$H125)&gt;(I119-I128),SUMPRODUCT($B124:$B125,$H124:$H125)+I128-I119,0)</f>
        <v>1.1452762202588511</v>
      </c>
      <c r="J131" s="237">
        <f>IF(SUMPRODUCT($B124:$B125,$H124:$H125)&gt;(J119-J128),SUMPRODUCT($B124:$B125,$H124:$H125)+J128-J119,0)</f>
        <v>0.90265619019520171</v>
      </c>
      <c r="K131" s="29"/>
      <c r="L131" s="29">
        <f>IF(I131&lt;SUM(L126:L127),0,I131-(SUM(L126:L127)))</f>
        <v>1.1452762202588511</v>
      </c>
      <c r="M131" s="237">
        <f>IF(I131&lt;SUM(M126:M127),0,I131-(SUM(M126:M127)))</f>
        <v>1.1452762202588511</v>
      </c>
      <c r="N131" s="58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2"/>
      <c r="AC131" s="2"/>
      <c r="AD131" s="2"/>
      <c r="AE131" s="2"/>
      <c r="AF131" s="2"/>
      <c r="AG131" s="2"/>
    </row>
    <row r="132" spans="1:33" ht="14" customHeight="1">
      <c r="A132" s="54"/>
      <c r="B132" s="54"/>
      <c r="C132" s="54"/>
      <c r="D132" s="12"/>
      <c r="E132" s="14"/>
      <c r="F132" s="14"/>
      <c r="G132" s="14"/>
      <c r="H132" s="12"/>
      <c r="I132" s="14"/>
      <c r="J132" s="12"/>
      <c r="K132" s="14"/>
      <c r="L132" s="14"/>
      <c r="M132" s="66"/>
      <c r="N132" s="58"/>
    </row>
    <row r="142" spans="1:33">
      <c r="A142" s="56"/>
      <c r="B142" s="56"/>
      <c r="C142" s="56"/>
      <c r="D142" s="2"/>
      <c r="E142" s="2"/>
      <c r="F142" s="2"/>
      <c r="G142" s="2"/>
      <c r="H142" s="2"/>
      <c r="I142" s="2"/>
      <c r="J142" s="2"/>
      <c r="L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</row>
    <row r="143" spans="1:33">
      <c r="B143" s="29"/>
      <c r="C143" s="29"/>
      <c r="D143" s="2"/>
      <c r="E143" s="2"/>
      <c r="F143" s="2"/>
      <c r="G143" s="2"/>
      <c r="H143" s="2"/>
      <c r="I143" s="22"/>
      <c r="J143" s="2"/>
      <c r="L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68"/>
      <c r="AC143" s="2"/>
      <c r="AD143" s="2"/>
      <c r="AE143" s="2"/>
      <c r="AF143" s="2"/>
      <c r="AG143" s="2"/>
    </row>
    <row r="144" spans="1:33">
      <c r="B144" s="29"/>
      <c r="C144" s="29"/>
      <c r="D144" s="2"/>
      <c r="E144" s="2"/>
      <c r="F144" s="2"/>
      <c r="G144" s="2"/>
      <c r="H144" s="2"/>
      <c r="I144" s="2"/>
      <c r="J144" s="2"/>
      <c r="L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68"/>
      <c r="AC144" s="2"/>
      <c r="AD144" s="2"/>
      <c r="AE144" s="2"/>
      <c r="AF144" s="2"/>
      <c r="AG144" s="2"/>
    </row>
    <row r="145" spans="1:33">
      <c r="B145" s="29"/>
      <c r="C145" s="29"/>
      <c r="D145" s="2"/>
      <c r="E145" s="2"/>
      <c r="F145" s="2"/>
      <c r="G145" s="2"/>
      <c r="H145" s="2"/>
      <c r="I145" s="22"/>
      <c r="J145" s="2"/>
      <c r="L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68"/>
      <c r="AC145" s="2"/>
      <c r="AD145" s="2"/>
      <c r="AE145" s="2"/>
      <c r="AF145" s="2"/>
      <c r="AG145" s="2"/>
    </row>
    <row r="146" spans="1:33">
      <c r="B146" s="56"/>
      <c r="C146" s="56"/>
      <c r="D146" s="2"/>
      <c r="E146" s="2"/>
      <c r="F146" s="2"/>
      <c r="G146" s="2"/>
      <c r="H146" s="2"/>
      <c r="I146" s="2"/>
      <c r="J146" s="2"/>
      <c r="L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68"/>
      <c r="AC146" s="2"/>
      <c r="AD146" s="2"/>
      <c r="AE146" s="2"/>
      <c r="AF146" s="2"/>
      <c r="AG146" s="2"/>
    </row>
    <row r="147" spans="1:33">
      <c r="B147" s="29"/>
      <c r="C147" s="29"/>
      <c r="D147" s="2"/>
      <c r="E147" s="2"/>
      <c r="F147" s="2"/>
      <c r="G147" s="2"/>
      <c r="H147" s="2"/>
      <c r="I147" s="2"/>
      <c r="J147" s="2"/>
      <c r="L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68"/>
      <c r="AC147" s="2"/>
      <c r="AD147" s="2"/>
      <c r="AE147" s="2"/>
      <c r="AF147" s="2"/>
      <c r="AG147" s="2"/>
    </row>
    <row r="148" spans="1:33">
      <c r="B148" s="29"/>
      <c r="C148" s="29"/>
      <c r="D148" s="2"/>
      <c r="E148" s="2"/>
      <c r="F148" s="2"/>
      <c r="G148" s="2"/>
      <c r="H148" s="2"/>
      <c r="I148" s="2"/>
      <c r="J148" s="2"/>
      <c r="L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68"/>
      <c r="AC148" s="2"/>
      <c r="AD148" s="2"/>
      <c r="AE148" s="2"/>
      <c r="AF148" s="2"/>
      <c r="AG148" s="2"/>
    </row>
    <row r="149" spans="1:33">
      <c r="B149" s="29"/>
      <c r="C149" s="29"/>
      <c r="D149" s="2"/>
      <c r="E149" s="2"/>
      <c r="F149" s="2"/>
      <c r="G149" s="2"/>
      <c r="H149" s="2"/>
      <c r="I149" s="2"/>
      <c r="J149" s="2"/>
      <c r="L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68"/>
      <c r="AC149" s="2"/>
      <c r="AD149" s="2"/>
      <c r="AE149" s="2"/>
      <c r="AF149" s="2"/>
      <c r="AG149" s="2"/>
    </row>
    <row r="150" spans="1:33">
      <c r="B150" s="29"/>
      <c r="C150" s="29"/>
      <c r="D150" s="2"/>
      <c r="E150" s="2"/>
      <c r="F150" s="2"/>
      <c r="G150" s="2"/>
      <c r="H150" s="2"/>
      <c r="I150" s="2"/>
      <c r="J150" s="2"/>
      <c r="L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68"/>
      <c r="AC150" s="2"/>
      <c r="AD150" s="2"/>
      <c r="AE150" s="2"/>
      <c r="AF150" s="2"/>
      <c r="AG150" s="2"/>
    </row>
    <row r="151" spans="1:33">
      <c r="B151" s="29"/>
      <c r="C151" s="29"/>
      <c r="D151" s="2"/>
      <c r="E151" s="2"/>
      <c r="F151" s="2"/>
      <c r="G151" s="2"/>
      <c r="H151" s="2"/>
      <c r="I151" s="2"/>
      <c r="J151" s="2"/>
      <c r="L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68"/>
      <c r="AC151" s="2"/>
      <c r="AD151" s="2"/>
      <c r="AE151" s="2"/>
      <c r="AF151" s="2"/>
      <c r="AG151" s="2"/>
    </row>
    <row r="152" spans="1:33">
      <c r="B152" s="29"/>
      <c r="C152" s="29"/>
      <c r="D152" s="2"/>
      <c r="E152" s="2"/>
      <c r="F152" s="2"/>
      <c r="G152" s="2"/>
      <c r="H152" s="2"/>
      <c r="I152" s="2"/>
      <c r="J152" s="2"/>
      <c r="L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68"/>
      <c r="AC152" s="2"/>
      <c r="AD152" s="2"/>
      <c r="AE152" s="2"/>
      <c r="AF152" s="2"/>
      <c r="AG152" s="2"/>
    </row>
    <row r="153" spans="1:33">
      <c r="A153" s="56"/>
      <c r="B153" s="56"/>
      <c r="C153" s="56"/>
      <c r="D153" s="2"/>
      <c r="E153" s="2"/>
      <c r="F153" s="2"/>
      <c r="G153" s="2"/>
      <c r="H153" s="2"/>
      <c r="I153" s="2"/>
      <c r="J153" s="2"/>
      <c r="L153" s="2"/>
      <c r="O153" s="2"/>
      <c r="P153" s="2"/>
      <c r="Q153" s="2"/>
      <c r="R153" s="2"/>
      <c r="S153" s="2"/>
      <c r="T153" s="2"/>
      <c r="U153" s="2"/>
      <c r="V153" s="2"/>
      <c r="W153" s="69"/>
      <c r="X153" s="2"/>
      <c r="Y153" s="2"/>
      <c r="Z153" s="2"/>
      <c r="AA153" s="2"/>
      <c r="AB153" s="2"/>
      <c r="AC153" s="2"/>
      <c r="AD153" s="2"/>
      <c r="AE153" s="2"/>
      <c r="AF153" s="2"/>
      <c r="AG153" s="2"/>
    </row>
    <row r="154" spans="1:33">
      <c r="A154" s="70"/>
      <c r="B154" s="56"/>
      <c r="C154" s="56"/>
      <c r="D154" s="2"/>
      <c r="E154" s="2"/>
      <c r="F154" s="2"/>
      <c r="H154" s="2"/>
      <c r="I154" s="2"/>
      <c r="J154" s="2"/>
      <c r="L154" s="2"/>
      <c r="W154" s="71"/>
    </row>
    <row r="155" spans="1:33">
      <c r="A155" s="56"/>
      <c r="B155" s="56"/>
      <c r="C155" s="56"/>
      <c r="D155" s="2"/>
      <c r="E155" s="2"/>
      <c r="F155" s="2"/>
      <c r="H155" s="2"/>
      <c r="I155" s="2"/>
      <c r="J155" s="2"/>
      <c r="L155" s="2"/>
      <c r="W155" s="71"/>
    </row>
    <row r="156" spans="1:33">
      <c r="A156" s="56"/>
      <c r="B156" s="56"/>
      <c r="C156" s="56"/>
      <c r="D156" s="2"/>
      <c r="E156" s="2"/>
      <c r="F156" s="2"/>
      <c r="H156" s="2"/>
      <c r="I156" s="2"/>
      <c r="J156" s="2"/>
      <c r="L156" s="2"/>
      <c r="W156" s="71"/>
    </row>
    <row r="157" spans="1:33">
      <c r="A157" s="29"/>
      <c r="B157" s="56"/>
      <c r="C157" s="56"/>
      <c r="D157" s="2"/>
      <c r="E157" s="2"/>
      <c r="F157" s="2"/>
      <c r="H157" s="2"/>
      <c r="I157" s="2"/>
      <c r="J157" s="2"/>
      <c r="L157" s="2"/>
      <c r="W157" s="71"/>
    </row>
    <row r="158" spans="1:33">
      <c r="A158" s="56"/>
      <c r="B158" s="56"/>
      <c r="C158" s="56"/>
      <c r="D158" s="2"/>
      <c r="E158" s="2"/>
      <c r="F158" s="2"/>
      <c r="H158" s="2"/>
      <c r="I158" s="2"/>
      <c r="J158" s="2"/>
      <c r="L158" s="2"/>
      <c r="W158" s="71"/>
    </row>
    <row r="159" spans="1:33">
      <c r="A159" s="56"/>
      <c r="B159" s="56"/>
      <c r="C159" s="56"/>
      <c r="D159" s="2"/>
      <c r="E159" s="2"/>
      <c r="F159" s="2"/>
      <c r="H159" s="2"/>
      <c r="I159" s="2"/>
      <c r="J159" s="2"/>
      <c r="L159" s="2"/>
    </row>
    <row r="160" spans="1:33">
      <c r="A160" s="56"/>
      <c r="B160" s="56"/>
      <c r="C160" s="56"/>
      <c r="D160" s="2"/>
      <c r="E160" s="2"/>
      <c r="F160" s="2"/>
      <c r="H160" s="2"/>
      <c r="I160" s="2"/>
      <c r="J160" s="2"/>
      <c r="L160" s="2"/>
    </row>
    <row r="161" spans="1:28">
      <c r="A161" s="56"/>
      <c r="B161" s="56"/>
      <c r="C161" s="56"/>
      <c r="D161" s="2"/>
      <c r="E161" s="2"/>
      <c r="F161" s="2"/>
      <c r="H161" s="2"/>
      <c r="I161" s="2"/>
      <c r="J161" s="2"/>
      <c r="L161" s="2"/>
      <c r="AB161" s="71"/>
    </row>
    <row r="162" spans="1:28">
      <c r="A162" s="56"/>
      <c r="B162" s="56"/>
      <c r="C162" s="56"/>
      <c r="D162" s="2"/>
      <c r="E162" s="2"/>
      <c r="F162" s="2"/>
      <c r="H162" s="2"/>
      <c r="I162" s="2"/>
      <c r="J162" s="2"/>
      <c r="L162" s="2"/>
      <c r="AB162" s="71"/>
    </row>
    <row r="163" spans="1:28">
      <c r="A163" s="56"/>
      <c r="B163" s="56"/>
      <c r="C163" s="56"/>
      <c r="D163" s="2"/>
      <c r="E163" s="2"/>
      <c r="F163" s="2"/>
      <c r="H163" s="2"/>
      <c r="I163" s="2"/>
      <c r="J163" s="2"/>
      <c r="L163" s="2"/>
      <c r="AB163" s="71"/>
    </row>
    <row r="164" spans="1:28">
      <c r="A164" s="56"/>
      <c r="B164" s="56"/>
      <c r="C164" s="56"/>
      <c r="D164" s="2"/>
      <c r="E164" s="2"/>
      <c r="F164" s="2"/>
      <c r="H164" s="2"/>
      <c r="I164" s="2"/>
      <c r="J164" s="2"/>
      <c r="L164" s="2"/>
      <c r="AB164" s="71"/>
    </row>
    <row r="165" spans="1:28">
      <c r="A165" s="56"/>
      <c r="B165" s="56"/>
      <c r="C165" s="56"/>
      <c r="D165" s="2"/>
      <c r="E165" s="2"/>
      <c r="F165" s="2"/>
      <c r="H165" s="2"/>
      <c r="I165" s="2"/>
      <c r="J165" s="2"/>
      <c r="L165" s="2"/>
      <c r="W165" s="72"/>
      <c r="AB165" s="71"/>
    </row>
    <row r="166" spans="1:28">
      <c r="A166" s="56"/>
      <c r="B166" s="56"/>
      <c r="C166" s="56"/>
      <c r="D166" s="2"/>
      <c r="E166" s="2"/>
      <c r="F166" s="2"/>
      <c r="H166" s="2"/>
      <c r="I166" s="2"/>
      <c r="J166" s="2"/>
      <c r="L166" s="2"/>
      <c r="W166" s="72"/>
      <c r="AB166" s="71"/>
    </row>
    <row r="167" spans="1:28">
      <c r="A167" s="56"/>
      <c r="B167" s="56"/>
      <c r="C167" s="56"/>
      <c r="D167" s="2"/>
      <c r="E167" s="2"/>
      <c r="F167" s="2"/>
      <c r="H167" s="2"/>
      <c r="I167" s="2"/>
      <c r="J167" s="2"/>
      <c r="L167" s="2"/>
      <c r="AB167" s="71"/>
    </row>
    <row r="168" spans="1:28">
      <c r="A168" s="56"/>
      <c r="B168" s="56"/>
      <c r="C168" s="56"/>
      <c r="D168" s="2"/>
      <c r="E168" s="2"/>
      <c r="F168" s="2"/>
      <c r="H168" s="2"/>
      <c r="I168" s="2"/>
      <c r="J168" s="2"/>
      <c r="L168" s="2"/>
      <c r="AB168" s="71"/>
    </row>
    <row r="169" spans="1:28">
      <c r="A169" s="56"/>
      <c r="B169" s="56"/>
      <c r="C169" s="56"/>
      <c r="D169" s="2"/>
      <c r="E169" s="2"/>
      <c r="F169" s="2"/>
      <c r="H169" s="2"/>
      <c r="I169" s="2"/>
      <c r="J169" s="2"/>
      <c r="L169" s="2"/>
      <c r="AB169" s="71"/>
    </row>
    <row r="170" spans="1:28">
      <c r="A170" s="56"/>
      <c r="B170" s="56"/>
      <c r="C170" s="56"/>
      <c r="D170" s="2"/>
      <c r="E170" s="2"/>
      <c r="F170" s="2"/>
      <c r="H170" s="2"/>
      <c r="I170" s="2"/>
      <c r="J170" s="2"/>
      <c r="L170" s="2"/>
    </row>
    <row r="171" spans="1:28">
      <c r="A171" s="56"/>
      <c r="B171" s="56"/>
      <c r="C171" s="56"/>
      <c r="D171" s="2"/>
      <c r="E171" s="2"/>
      <c r="F171" s="2"/>
      <c r="H171" s="2"/>
      <c r="I171" s="2"/>
      <c r="J171" s="2"/>
      <c r="L171" s="2"/>
      <c r="W171" s="72"/>
      <c r="AB171" s="71"/>
    </row>
    <row r="172" spans="1:28">
      <c r="A172" s="56"/>
      <c r="B172" s="56"/>
      <c r="C172" s="56"/>
      <c r="D172" s="2"/>
      <c r="E172" s="2"/>
      <c r="F172" s="2"/>
      <c r="H172" s="2"/>
      <c r="I172" s="2"/>
      <c r="J172" s="2"/>
      <c r="L172" s="2"/>
      <c r="W172" s="72"/>
    </row>
    <row r="173" spans="1:28">
      <c r="A173" s="56"/>
      <c r="B173" s="56"/>
      <c r="C173" s="56"/>
      <c r="D173" s="2"/>
      <c r="E173" s="2"/>
      <c r="F173" s="2"/>
      <c r="H173" s="2"/>
      <c r="I173" s="2"/>
      <c r="J173" s="2"/>
      <c r="L173" s="2"/>
    </row>
    <row r="174" spans="1:28">
      <c r="A174" s="56"/>
      <c r="B174" s="56"/>
      <c r="C174" s="56"/>
      <c r="D174" s="2"/>
      <c r="E174" s="2"/>
      <c r="F174" s="2"/>
      <c r="H174" s="2"/>
      <c r="I174" s="2"/>
      <c r="J174" s="2"/>
      <c r="L174" s="2"/>
    </row>
    <row r="175" spans="1:28">
      <c r="A175" s="56"/>
      <c r="B175" s="56"/>
      <c r="C175" s="56"/>
      <c r="D175" s="2"/>
      <c r="E175" s="2"/>
      <c r="F175" s="2"/>
      <c r="H175" s="2"/>
      <c r="I175" s="2"/>
      <c r="J175" s="2"/>
      <c r="L175" s="2"/>
      <c r="AB175" s="71"/>
    </row>
    <row r="176" spans="1:28">
      <c r="A176" s="56"/>
      <c r="B176" s="56"/>
      <c r="C176" s="56"/>
      <c r="D176" s="2"/>
      <c r="E176" s="2"/>
      <c r="F176" s="2"/>
      <c r="H176" s="2"/>
      <c r="I176" s="2"/>
      <c r="J176" s="2"/>
      <c r="L176" s="2"/>
      <c r="AB176" s="71"/>
    </row>
    <row r="177" spans="1:28">
      <c r="A177" s="56"/>
      <c r="B177" s="56"/>
      <c r="C177" s="56"/>
      <c r="D177" s="2"/>
      <c r="E177" s="2"/>
      <c r="F177" s="2"/>
      <c r="H177" s="2"/>
      <c r="I177" s="2"/>
      <c r="J177" s="2"/>
      <c r="L177" s="2"/>
      <c r="W177" s="72"/>
      <c r="AB177" s="71"/>
    </row>
    <row r="178" spans="1:28">
      <c r="A178" s="56"/>
      <c r="B178" s="56"/>
      <c r="C178" s="56"/>
      <c r="D178" s="2"/>
      <c r="E178" s="2"/>
      <c r="F178" s="2"/>
      <c r="H178" s="2"/>
      <c r="I178" s="2"/>
      <c r="J178" s="2"/>
      <c r="L178" s="2"/>
      <c r="W178" s="72"/>
      <c r="AB178" s="71"/>
    </row>
    <row r="179" spans="1:28">
      <c r="A179" s="56"/>
      <c r="B179" s="56"/>
      <c r="C179" s="56"/>
      <c r="D179" s="2"/>
      <c r="E179" s="2"/>
      <c r="F179" s="2"/>
      <c r="H179" s="2"/>
      <c r="I179" s="2"/>
      <c r="J179" s="2"/>
      <c r="L179" s="2"/>
      <c r="AB179" s="71"/>
    </row>
    <row r="180" spans="1:28">
      <c r="A180" s="56"/>
      <c r="B180" s="56"/>
      <c r="C180" s="56"/>
      <c r="D180" s="2"/>
      <c r="E180" s="2"/>
      <c r="F180" s="2"/>
      <c r="H180" s="2"/>
      <c r="I180" s="2"/>
      <c r="J180" s="2"/>
      <c r="L180" s="2"/>
      <c r="AB180" s="71"/>
    </row>
    <row r="181" spans="1:28">
      <c r="A181" s="56"/>
      <c r="B181" s="56"/>
      <c r="C181" s="56"/>
      <c r="D181" s="2"/>
      <c r="E181" s="2"/>
      <c r="F181" s="2"/>
      <c r="H181" s="2"/>
      <c r="I181" s="2"/>
      <c r="J181" s="2"/>
      <c r="L181" s="2"/>
    </row>
    <row r="182" spans="1:28">
      <c r="A182" s="56"/>
      <c r="B182" s="56"/>
      <c r="C182" s="56"/>
      <c r="D182" s="2"/>
      <c r="E182" s="2"/>
      <c r="F182" s="2"/>
      <c r="H182" s="2"/>
      <c r="I182" s="2"/>
      <c r="J182" s="2"/>
      <c r="L182" s="2"/>
    </row>
    <row r="183" spans="1:28">
      <c r="A183" s="56"/>
      <c r="B183" s="56"/>
      <c r="C183" s="56"/>
      <c r="D183" s="2"/>
      <c r="E183" s="2"/>
      <c r="F183" s="2"/>
      <c r="H183" s="2"/>
      <c r="I183" s="2"/>
      <c r="J183" s="2"/>
      <c r="L183" s="2"/>
    </row>
    <row r="184" spans="1:28">
      <c r="A184" s="56"/>
      <c r="B184" s="56"/>
      <c r="C184" s="56"/>
      <c r="D184" s="2"/>
      <c r="E184" s="2"/>
      <c r="F184" s="2"/>
      <c r="H184" s="2"/>
      <c r="I184" s="2"/>
      <c r="J184" s="2"/>
      <c r="L184" s="2"/>
    </row>
    <row r="185" spans="1:28">
      <c r="AB185" s="71"/>
    </row>
    <row r="186" spans="1:28">
      <c r="AB186" s="71"/>
    </row>
    <row r="187" spans="1:28">
      <c r="AB187" s="71"/>
    </row>
    <row r="188" spans="1:28">
      <c r="AB188" s="71"/>
    </row>
    <row r="189" spans="1:28">
      <c r="W189" s="72"/>
      <c r="AB189" s="71"/>
    </row>
    <row r="190" spans="1:28">
      <c r="W190" s="72"/>
      <c r="AB190" s="71"/>
    </row>
    <row r="191" spans="1:28">
      <c r="W191" s="72"/>
    </row>
    <row r="193" spans="23:28">
      <c r="AB193" s="71"/>
    </row>
    <row r="194" spans="23:28">
      <c r="AB194" s="71"/>
    </row>
    <row r="195" spans="23:28">
      <c r="AB195" s="71"/>
    </row>
    <row r="196" spans="23:28">
      <c r="AB196" s="71"/>
    </row>
    <row r="197" spans="23:28">
      <c r="AB197" s="71"/>
    </row>
    <row r="198" spans="23:28">
      <c r="W198" s="72"/>
      <c r="AB198" s="71"/>
    </row>
    <row r="199" spans="23:28">
      <c r="W199" s="72"/>
    </row>
    <row r="200" spans="23:28">
      <c r="W200" s="72"/>
    </row>
    <row r="207" spans="23:28">
      <c r="W207" s="72"/>
    </row>
    <row r="208" spans="23:28">
      <c r="W208" s="72"/>
    </row>
    <row r="209" spans="23:23">
      <c r="W209" s="72"/>
    </row>
    <row r="219" spans="23:23">
      <c r="W219" s="72"/>
    </row>
    <row r="220" spans="23:23">
      <c r="W220" s="72"/>
    </row>
    <row r="221" spans="23:23">
      <c r="W221" s="72"/>
    </row>
    <row r="228" spans="23:23">
      <c r="W228" s="72"/>
    </row>
    <row r="229" spans="23:23">
      <c r="W229" s="72"/>
    </row>
    <row r="230" spans="23:23">
      <c r="W230" s="72"/>
    </row>
    <row r="237" spans="23:23">
      <c r="W237" s="72"/>
    </row>
    <row r="238" spans="23:23">
      <c r="W238" s="72"/>
    </row>
    <row r="239" spans="23:23">
      <c r="W239" s="72"/>
    </row>
    <row r="249" spans="23:23">
      <c r="W249" s="72"/>
    </row>
    <row r="250" spans="23:23">
      <c r="W250" s="72"/>
    </row>
    <row r="251" spans="23:23">
      <c r="W251" s="72"/>
    </row>
    <row r="258" spans="23:23">
      <c r="W258" s="72"/>
    </row>
    <row r="259" spans="23:23">
      <c r="W259" s="72"/>
    </row>
    <row r="260" spans="23:23">
      <c r="W260" s="72"/>
    </row>
    <row r="267" spans="23:23">
      <c r="W267" s="72"/>
    </row>
    <row r="268" spans="23:23">
      <c r="W268" s="72"/>
    </row>
    <row r="269" spans="23:23">
      <c r="W269" s="72"/>
    </row>
  </sheetData>
  <sheetProtection sheet="1" formatCells="0" formatColumns="0" formatRows="0" insertHyperlinks="0"/>
  <scenarios current="0" show="0">
    <scenario name="1999" locked="1" count="23" user="Mark Lawrence" comment="Created by Mark Lawrence on 24/08/00_x000d_Modified by Mark Lawrence on 24/08/00_x000d_Modified by Mark Lawrence on 25/08/00">
      <inputCells r="E6" val="3" numFmtId="9"/>
      <inputCells r="E7" val="1" numFmtId="9"/>
      <inputCells r="E13" val="1.25" numFmtId="9"/>
      <inputCells r="F9" val="1900" numFmtId="1"/>
      <inputCells r="E14" val="1" numFmtId="9"/>
      <inputCells r="E27" val="1" numFmtId="9"/>
      <inputCells r="E28" val="1" numFmtId="9"/>
      <inputCells r="E29" val="1" numFmtId="9"/>
      <inputCells r="E40" val="1" numFmtId="9"/>
      <inputCells r="E44" val="1" numFmtId="9"/>
      <inputCells r="E45" val="1" numFmtId="9"/>
      <inputCells r="E46" val="1" numFmtId="9"/>
      <inputCells r="E64" val="1" numFmtId="9"/>
      <inputCells r="F38" val="1" numFmtId="9"/>
      <inputCells r="F39" val="2" numFmtId="9"/>
      <inputCells r="F40" val="1.25" numFmtId="9"/>
      <inputCells r="F44" val="1" numFmtId="9"/>
      <inputCells r="F45" val="0.4" numFmtId="9"/>
      <inputCells r="F46" val="1" numFmtId="9"/>
      <inputCells r="F64" val="1" numFmtId="9"/>
      <inputCells r="F37" val="2.5" numFmtId="9"/>
      <inputCells r="G37" val="2" numFmtId="9"/>
      <inputCells r="F70" val="1.37" numFmtId="9"/>
    </scenario>
    <scenario name="Normal" locked="1" count="23" user="Mark Lawrence" comment="Created by Mark Lawrence on 24/08/00_x000d_Modified by Mark Lawrence on 25/08/00">
      <inputCells r="E6" val="1" numFmtId="9"/>
      <inputCells r="E7" val="1" numFmtId="9"/>
      <inputCells r="E13" val="1" numFmtId="9"/>
      <inputCells r="F9" val="1900" numFmtId="1"/>
      <inputCells r="E14" val="1" numFmtId="9"/>
      <inputCells r="E27" val="1" numFmtId="9"/>
      <inputCells r="E28" val="1" numFmtId="9"/>
      <inputCells r="E29" val="1" numFmtId="9"/>
      <inputCells r="E40" val="1" numFmtId="9"/>
      <inputCells r="E44" val="1" numFmtId="9"/>
      <inputCells r="E45" val="1" numFmtId="9"/>
      <inputCells r="E46" val="1" numFmtId="9"/>
      <inputCells r="E64" val="1" numFmtId="9"/>
      <inputCells r="F37" val="1" numFmtId="9"/>
      <inputCells r="F38" val="1" numFmtId="9"/>
      <inputCells r="F39" val="1" numFmtId="9"/>
      <inputCells r="F40" val="1" numFmtId="9"/>
      <inputCells r="F44" val="1" numFmtId="9"/>
      <inputCells r="F45" val="1" numFmtId="9"/>
      <inputCells r="F46" val="1" numFmtId="9"/>
      <inputCells r="F64" val="1" numFmtId="9"/>
      <inputCells r="G37" val="1" numFmtId="9"/>
      <inputCells r="F70" val="1" numFmtId="9"/>
    </scenario>
  </scenarios>
  <mergeCells count="8">
    <mergeCell ref="Z1:AA1"/>
    <mergeCell ref="AB1:AC1"/>
    <mergeCell ref="AD1:AE1"/>
    <mergeCell ref="AF1:AG1"/>
    <mergeCell ref="Z2:AA2"/>
    <mergeCell ref="AB2:AC2"/>
    <mergeCell ref="AD2:AE2"/>
    <mergeCell ref="AF2:AG2"/>
  </mergeCells>
  <phoneticPr fontId="1" type="noConversion"/>
  <conditionalFormatting sqref="N27:N29 U7:U22">
    <cfRule type="cellIs" dxfId="408" priority="244" operator="equal">
      <formula>16</formula>
    </cfRule>
    <cfRule type="cellIs" dxfId="407" priority="245" operator="equal">
      <formula>15</formula>
    </cfRule>
    <cfRule type="cellIs" dxfId="406" priority="246" operator="equal">
      <formula>14</formula>
    </cfRule>
    <cfRule type="cellIs" dxfId="405" priority="247" operator="equal">
      <formula>13</formula>
    </cfRule>
    <cfRule type="cellIs" dxfId="404" priority="248" operator="equal">
      <formula>12</formula>
    </cfRule>
    <cfRule type="cellIs" dxfId="403" priority="249" operator="equal">
      <formula>11</formula>
    </cfRule>
    <cfRule type="cellIs" dxfId="402" priority="250" operator="equal">
      <formula>10</formula>
    </cfRule>
    <cfRule type="cellIs" dxfId="401" priority="251" operator="equal">
      <formula>9</formula>
    </cfRule>
    <cfRule type="cellIs" dxfId="400" priority="252" operator="equal">
      <formula>8</formula>
    </cfRule>
    <cfRule type="cellIs" dxfId="399" priority="253" operator="equal">
      <formula>7</formula>
    </cfRule>
    <cfRule type="cellIs" dxfId="398" priority="254" operator="equal">
      <formula>6</formula>
    </cfRule>
    <cfRule type="cellIs" dxfId="397" priority="255" operator="equal">
      <formula>5</formula>
    </cfRule>
    <cfRule type="cellIs" dxfId="396" priority="256" operator="equal">
      <formula>4</formula>
    </cfRule>
    <cfRule type="cellIs" dxfId="395" priority="257" operator="equal">
      <formula>3</formula>
    </cfRule>
    <cfRule type="cellIs" dxfId="394" priority="258" operator="equal">
      <formula>2</formula>
    </cfRule>
    <cfRule type="cellIs" dxfId="393" priority="259" operator="equal">
      <formula>1</formula>
    </cfRule>
  </conditionalFormatting>
  <conditionalFormatting sqref="R31:T31">
    <cfRule type="cellIs" dxfId="392" priority="99" operator="greaterThan">
      <formula>0</formula>
    </cfRule>
  </conditionalFormatting>
  <conditionalFormatting sqref="R32:T32">
    <cfRule type="cellIs" dxfId="391" priority="98" operator="greaterThan">
      <formula>0</formula>
    </cfRule>
  </conditionalFormatting>
  <conditionalFormatting sqref="R30:T30">
    <cfRule type="cellIs" dxfId="390" priority="97" operator="greaterThan">
      <formula>0</formula>
    </cfRule>
  </conditionalFormatting>
  <conditionalFormatting sqref="N6:N26">
    <cfRule type="cellIs" dxfId="389" priority="81" operator="equal">
      <formula>16</formula>
    </cfRule>
    <cfRule type="cellIs" dxfId="388" priority="82" operator="equal">
      <formula>15</formula>
    </cfRule>
    <cfRule type="cellIs" dxfId="387" priority="83" operator="equal">
      <formula>14</formula>
    </cfRule>
    <cfRule type="cellIs" dxfId="386" priority="84" operator="equal">
      <formula>13</formula>
    </cfRule>
    <cfRule type="cellIs" dxfId="385" priority="85" operator="equal">
      <formula>12</formula>
    </cfRule>
    <cfRule type="cellIs" dxfId="384" priority="86" operator="equal">
      <formula>11</formula>
    </cfRule>
    <cfRule type="cellIs" dxfId="383" priority="87" operator="equal">
      <formula>10</formula>
    </cfRule>
    <cfRule type="cellIs" dxfId="382" priority="88" operator="equal">
      <formula>9</formula>
    </cfRule>
    <cfRule type="cellIs" dxfId="381" priority="89" operator="equal">
      <formula>8</formula>
    </cfRule>
    <cfRule type="cellIs" dxfId="380" priority="90" operator="equal">
      <formula>7</formula>
    </cfRule>
    <cfRule type="cellIs" dxfId="379" priority="91" operator="equal">
      <formula>6</formula>
    </cfRule>
    <cfRule type="cellIs" dxfId="378" priority="92" operator="equal">
      <formula>5</formula>
    </cfRule>
    <cfRule type="cellIs" dxfId="377" priority="93" operator="equal">
      <formula>4</formula>
    </cfRule>
    <cfRule type="cellIs" dxfId="376" priority="94" operator="equal">
      <formula>3</formula>
    </cfRule>
    <cfRule type="cellIs" dxfId="375" priority="95" operator="equal">
      <formula>2</formula>
    </cfRule>
    <cfRule type="cellIs" dxfId="374" priority="96" operator="equal">
      <formula>1</formula>
    </cfRule>
  </conditionalFormatting>
  <conditionalFormatting sqref="N113:N118">
    <cfRule type="cellIs" dxfId="373" priority="65" operator="equal">
      <formula>16</formula>
    </cfRule>
    <cfRule type="cellIs" dxfId="372" priority="66" operator="equal">
      <formula>15</formula>
    </cfRule>
    <cfRule type="cellIs" dxfId="371" priority="67" operator="equal">
      <formula>14</formula>
    </cfRule>
    <cfRule type="cellIs" dxfId="370" priority="68" operator="equal">
      <formula>13</formula>
    </cfRule>
    <cfRule type="cellIs" dxfId="369" priority="69" operator="equal">
      <formula>12</formula>
    </cfRule>
    <cfRule type="cellIs" dxfId="368" priority="70" operator="equal">
      <formula>11</formula>
    </cfRule>
    <cfRule type="cellIs" dxfId="367" priority="71" operator="equal">
      <formula>10</formula>
    </cfRule>
    <cfRule type="cellIs" dxfId="366" priority="72" operator="equal">
      <formula>9</formula>
    </cfRule>
    <cfRule type="cellIs" dxfId="365" priority="73" operator="equal">
      <formula>8</formula>
    </cfRule>
    <cfRule type="cellIs" dxfId="364" priority="74" operator="equal">
      <formula>7</formula>
    </cfRule>
    <cfRule type="cellIs" dxfId="363" priority="75" operator="equal">
      <formula>6</formula>
    </cfRule>
    <cfRule type="cellIs" dxfId="362" priority="76" operator="equal">
      <formula>5</formula>
    </cfRule>
    <cfRule type="cellIs" dxfId="361" priority="77" operator="equal">
      <formula>4</formula>
    </cfRule>
    <cfRule type="cellIs" dxfId="360" priority="78" operator="equal">
      <formula>3</formula>
    </cfRule>
    <cfRule type="cellIs" dxfId="359" priority="79" operator="equal">
      <formula>2</formula>
    </cfRule>
    <cfRule type="cellIs" dxfId="358" priority="80" operator="equal">
      <formula>1</formula>
    </cfRule>
  </conditionalFormatting>
  <conditionalFormatting sqref="N112">
    <cfRule type="cellIs" dxfId="357" priority="49" operator="equal">
      <formula>16</formula>
    </cfRule>
    <cfRule type="cellIs" dxfId="356" priority="50" operator="equal">
      <formula>15</formula>
    </cfRule>
    <cfRule type="cellIs" dxfId="355" priority="51" operator="equal">
      <formula>14</formula>
    </cfRule>
    <cfRule type="cellIs" dxfId="354" priority="52" operator="equal">
      <formula>13</formula>
    </cfRule>
    <cfRule type="cellIs" dxfId="353" priority="53" operator="equal">
      <formula>12</formula>
    </cfRule>
    <cfRule type="cellIs" dxfId="352" priority="54" operator="equal">
      <formula>11</formula>
    </cfRule>
    <cfRule type="cellIs" dxfId="351" priority="55" operator="equal">
      <formula>10</formula>
    </cfRule>
    <cfRule type="cellIs" dxfId="350" priority="56" operator="equal">
      <formula>9</formula>
    </cfRule>
    <cfRule type="cellIs" dxfId="349" priority="57" operator="equal">
      <formula>8</formula>
    </cfRule>
    <cfRule type="cellIs" dxfId="348" priority="58" operator="equal">
      <formula>7</formula>
    </cfRule>
    <cfRule type="cellIs" dxfId="347" priority="59" operator="equal">
      <formula>6</formula>
    </cfRule>
    <cfRule type="cellIs" dxfId="346" priority="60" operator="equal">
      <formula>5</formula>
    </cfRule>
    <cfRule type="cellIs" dxfId="345" priority="61" operator="equal">
      <formula>4</formula>
    </cfRule>
    <cfRule type="cellIs" dxfId="344" priority="62" operator="equal">
      <formula>3</formula>
    </cfRule>
    <cfRule type="cellIs" dxfId="343" priority="63" operator="equal">
      <formula>2</formula>
    </cfRule>
    <cfRule type="cellIs" dxfId="342" priority="64" operator="equal">
      <formula>1</formula>
    </cfRule>
  </conditionalFormatting>
  <conditionalFormatting sqref="N111">
    <cfRule type="cellIs" dxfId="341" priority="33" operator="equal">
      <formula>16</formula>
    </cfRule>
    <cfRule type="cellIs" dxfId="340" priority="34" operator="equal">
      <formula>15</formula>
    </cfRule>
    <cfRule type="cellIs" dxfId="339" priority="35" operator="equal">
      <formula>14</formula>
    </cfRule>
    <cfRule type="cellIs" dxfId="338" priority="36" operator="equal">
      <formula>13</formula>
    </cfRule>
    <cfRule type="cellIs" dxfId="337" priority="37" operator="equal">
      <formula>12</formula>
    </cfRule>
    <cfRule type="cellIs" dxfId="336" priority="38" operator="equal">
      <formula>11</formula>
    </cfRule>
    <cfRule type="cellIs" dxfId="335" priority="39" operator="equal">
      <formula>10</formula>
    </cfRule>
    <cfRule type="cellIs" dxfId="334" priority="40" operator="equal">
      <formula>9</formula>
    </cfRule>
    <cfRule type="cellIs" dxfId="333" priority="41" operator="equal">
      <formula>8</formula>
    </cfRule>
    <cfRule type="cellIs" dxfId="332" priority="42" operator="equal">
      <formula>7</formula>
    </cfRule>
    <cfRule type="cellIs" dxfId="331" priority="43" operator="equal">
      <formula>6</formula>
    </cfRule>
    <cfRule type="cellIs" dxfId="330" priority="44" operator="equal">
      <formula>5</formula>
    </cfRule>
    <cfRule type="cellIs" dxfId="329" priority="45" operator="equal">
      <formula>4</formula>
    </cfRule>
    <cfRule type="cellIs" dxfId="328" priority="46" operator="equal">
      <formula>3</formula>
    </cfRule>
    <cfRule type="cellIs" dxfId="327" priority="47" operator="equal">
      <formula>2</formula>
    </cfRule>
    <cfRule type="cellIs" dxfId="326" priority="48" operator="equal">
      <formula>1</formula>
    </cfRule>
  </conditionalFormatting>
  <conditionalFormatting sqref="N91:N104">
    <cfRule type="cellIs" dxfId="325" priority="17" operator="equal">
      <formula>16</formula>
    </cfRule>
    <cfRule type="cellIs" dxfId="324" priority="18" operator="equal">
      <formula>15</formula>
    </cfRule>
    <cfRule type="cellIs" dxfId="323" priority="19" operator="equal">
      <formula>14</formula>
    </cfRule>
    <cfRule type="cellIs" dxfId="322" priority="20" operator="equal">
      <formula>13</formula>
    </cfRule>
    <cfRule type="cellIs" dxfId="321" priority="21" operator="equal">
      <formula>12</formula>
    </cfRule>
    <cfRule type="cellIs" dxfId="320" priority="22" operator="equal">
      <formula>11</formula>
    </cfRule>
    <cfRule type="cellIs" dxfId="319" priority="23" operator="equal">
      <formula>10</formula>
    </cfRule>
    <cfRule type="cellIs" dxfId="318" priority="24" operator="equal">
      <formula>9</formula>
    </cfRule>
    <cfRule type="cellIs" dxfId="317" priority="25" operator="equal">
      <formula>8</formula>
    </cfRule>
    <cfRule type="cellIs" dxfId="316" priority="26" operator="equal">
      <formula>7</formula>
    </cfRule>
    <cfRule type="cellIs" dxfId="315" priority="27" operator="equal">
      <formula>6</formula>
    </cfRule>
    <cfRule type="cellIs" dxfId="314" priority="28" operator="equal">
      <formula>5</formula>
    </cfRule>
    <cfRule type="cellIs" dxfId="313" priority="29" operator="equal">
      <formula>4</formula>
    </cfRule>
    <cfRule type="cellIs" dxfId="312" priority="30" operator="equal">
      <formula>3</formula>
    </cfRule>
    <cfRule type="cellIs" dxfId="311" priority="31" operator="equal">
      <formula>2</formula>
    </cfRule>
    <cfRule type="cellIs" dxfId="310" priority="32" operator="equal">
      <formula>1</formula>
    </cfRule>
  </conditionalFormatting>
  <conditionalFormatting sqref="N105:N110">
    <cfRule type="cellIs" dxfId="309" priority="1" operator="equal">
      <formula>16</formula>
    </cfRule>
    <cfRule type="cellIs" dxfId="308" priority="2" operator="equal">
      <formula>15</formula>
    </cfRule>
    <cfRule type="cellIs" dxfId="307" priority="3" operator="equal">
      <formula>14</formula>
    </cfRule>
    <cfRule type="cellIs" dxfId="306" priority="4" operator="equal">
      <formula>13</formula>
    </cfRule>
    <cfRule type="cellIs" dxfId="305" priority="5" operator="equal">
      <formula>12</formula>
    </cfRule>
    <cfRule type="cellIs" dxfId="304" priority="6" operator="equal">
      <formula>11</formula>
    </cfRule>
    <cfRule type="cellIs" dxfId="303" priority="7" operator="equal">
      <formula>10</formula>
    </cfRule>
    <cfRule type="cellIs" dxfId="302" priority="8" operator="equal">
      <formula>9</formula>
    </cfRule>
    <cfRule type="cellIs" dxfId="301" priority="9" operator="equal">
      <formula>8</formula>
    </cfRule>
    <cfRule type="cellIs" dxfId="300" priority="10" operator="equal">
      <formula>7</formula>
    </cfRule>
    <cfRule type="cellIs" dxfId="299" priority="11" operator="equal">
      <formula>6</formula>
    </cfRule>
    <cfRule type="cellIs" dxfId="298" priority="12" operator="equal">
      <formula>5</formula>
    </cfRule>
    <cfRule type="cellIs" dxfId="297" priority="13" operator="equal">
      <formula>4</formula>
    </cfRule>
    <cfRule type="cellIs" dxfId="296" priority="14" operator="equal">
      <formula>3</formula>
    </cfRule>
    <cfRule type="cellIs" dxfId="295" priority="15" operator="equal">
      <formula>2</formula>
    </cfRule>
    <cfRule type="cellIs" dxfId="294" priority="16" operator="equal">
      <formula>1</formula>
    </cfRule>
  </conditionalFormatting>
  <pageMargins left="0.74803149606299213" right="0.74803149606299213" top="0.39370078740157483" bottom="0.39370078740157483" header="0.19685039370078741" footer="0.19685039370078741"/>
  <pageSetup paperSize="9" scale="36" orientation="landscape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M269"/>
  <sheetViews>
    <sheetView showGridLines="0" workbookViewId="0">
      <pane xSplit="1" ySplit="2" topLeftCell="B52" activePane="bottomRight" state="frozen"/>
      <selection pane="topRight" activeCell="B1" sqref="B1"/>
      <selection pane="bottomLeft" activeCell="A3" sqref="A3"/>
      <selection pane="bottomRight" sqref="A1:B1"/>
    </sheetView>
  </sheetViews>
  <sheetFormatPr baseColWidth="10" defaultColWidth="8" defaultRowHeight="15" x14ac:dyDescent="0"/>
  <cols>
    <col min="1" max="1" width="21.85546875" style="4" customWidth="1"/>
    <col min="2" max="6" width="6.85546875" style="4" customWidth="1"/>
    <col min="7" max="7" width="6.5703125" style="4" customWidth="1"/>
    <col min="8" max="8" width="6.140625" style="4" customWidth="1"/>
    <col min="9" max="14" width="6.85546875" style="4" customWidth="1"/>
    <col min="15" max="33" width="8.42578125" style="4" customWidth="1"/>
    <col min="34" max="36" width="8" style="4" customWidth="1"/>
    <col min="37" max="37" width="9.28515625" style="4" customWidth="1"/>
    <col min="38" max="52" width="8" style="4" customWidth="1"/>
    <col min="53" max="53" width="9.28515625" style="4" customWidth="1"/>
    <col min="54" max="213" width="8" style="4" customWidth="1"/>
    <col min="214" max="214" width="1.42578125" style="4" customWidth="1"/>
    <col min="215" max="16384" width="8" style="4"/>
  </cols>
  <sheetData>
    <row r="1" spans="1:91" ht="18">
      <c r="A1" s="73" t="str">
        <f>Poor!A1</f>
        <v>ZA3XX: 59300</v>
      </c>
      <c r="B1" s="29" t="str">
        <f>Poor!B1</f>
        <v>Open Access cropping</v>
      </c>
      <c r="C1" s="2"/>
      <c r="D1" s="2"/>
      <c r="E1" s="2" t="s">
        <v>45</v>
      </c>
      <c r="F1" s="2"/>
      <c r="G1" s="2"/>
      <c r="H1" s="2" t="s">
        <v>0</v>
      </c>
      <c r="I1" s="2"/>
      <c r="J1" s="3"/>
      <c r="L1" s="2"/>
      <c r="O1" s="2"/>
      <c r="P1" s="2"/>
      <c r="Q1" s="2"/>
      <c r="R1" s="2"/>
      <c r="T1" s="2"/>
      <c r="U1" s="56"/>
      <c r="V1" s="56"/>
      <c r="W1" s="110"/>
      <c r="X1" s="114" t="s">
        <v>67</v>
      </c>
      <c r="Y1" s="115" t="s">
        <v>58</v>
      </c>
      <c r="Z1" s="180" t="str">
        <f>Poor!Z1</f>
        <v>Apr-Jun</v>
      </c>
      <c r="AA1" s="181"/>
      <c r="AB1" s="180" t="str">
        <f>Poor!AB1</f>
        <v>Jul-Sep</v>
      </c>
      <c r="AC1" s="181"/>
      <c r="AD1" s="180" t="str">
        <f>Poor!AD1</f>
        <v>Oct-Dec</v>
      </c>
      <c r="AE1" s="181"/>
      <c r="AF1" s="180" t="str">
        <f>Poor!AF1</f>
        <v>Jan-Mar</v>
      </c>
      <c r="AG1" s="181"/>
      <c r="AH1" s="117"/>
      <c r="AI1" s="110"/>
      <c r="AJ1" s="180" t="str">
        <f>LEFT(Z1,4) &amp; MID(AB1,5,3)</f>
        <v>Apr-Sep</v>
      </c>
      <c r="AK1" s="181" t="str">
        <f>LEFT(AD1,4) &amp; MID(AF1,5,3)</f>
        <v>Oct-Mar</v>
      </c>
      <c r="AS1" s="5"/>
      <c r="AZ1" s="5"/>
      <c r="BI1" s="5"/>
      <c r="BP1" s="5"/>
      <c r="BX1" s="5"/>
      <c r="CE1" s="5"/>
      <c r="CM1" s="6"/>
    </row>
    <row r="2" spans="1:91">
      <c r="A2" s="7" t="s">
        <v>1</v>
      </c>
      <c r="B2" s="14"/>
      <c r="C2" s="11"/>
      <c r="D2" s="10"/>
      <c r="E2" s="7" t="s">
        <v>2</v>
      </c>
      <c r="F2" s="11"/>
      <c r="G2" s="11"/>
      <c r="H2" s="12"/>
      <c r="I2" s="7" t="s">
        <v>3</v>
      </c>
      <c r="J2" s="13"/>
      <c r="K2" s="7" t="s">
        <v>4</v>
      </c>
      <c r="L2" s="11"/>
      <c r="M2" s="14"/>
      <c r="O2" s="2"/>
      <c r="P2" s="2"/>
      <c r="Q2" s="2"/>
      <c r="R2" s="2"/>
      <c r="T2" s="2"/>
      <c r="U2" s="56"/>
      <c r="V2" s="56"/>
      <c r="W2" s="110"/>
      <c r="X2" s="118" t="s">
        <v>59</v>
      </c>
      <c r="Y2" s="115" t="s">
        <v>60</v>
      </c>
      <c r="Z2" s="258" t="str">
        <f>Poor!Z2</f>
        <v>Q1</v>
      </c>
      <c r="AA2" s="259"/>
      <c r="AB2" s="258" t="str">
        <f>Poor!AB2</f>
        <v>Q2</v>
      </c>
      <c r="AC2" s="259"/>
      <c r="AD2" s="258" t="str">
        <f>Poor!AD2</f>
        <v>Q3</v>
      </c>
      <c r="AE2" s="259"/>
      <c r="AF2" s="258" t="str">
        <f>Poor!AF2</f>
        <v>Q4</v>
      </c>
      <c r="AG2" s="259"/>
      <c r="AH2" s="117"/>
      <c r="AI2" s="110"/>
      <c r="AJ2" s="197" t="str">
        <f>Poor!AJ2</f>
        <v>H1</v>
      </c>
      <c r="AK2" s="198" t="str">
        <f>Poor!AK2</f>
        <v>H2</v>
      </c>
      <c r="CM2" s="6"/>
    </row>
    <row r="3" spans="1:91">
      <c r="A3" s="73" t="s">
        <v>46</v>
      </c>
      <c r="B3" s="2"/>
      <c r="C3" s="19"/>
      <c r="D3" s="16"/>
      <c r="E3" s="2"/>
      <c r="F3" s="2"/>
      <c r="H3" s="17"/>
      <c r="I3" s="2"/>
      <c r="J3" s="18"/>
      <c r="L3" s="2"/>
      <c r="O3" s="3" t="s">
        <v>6</v>
      </c>
      <c r="P3" s="19"/>
      <c r="Q3" s="56" t="s">
        <v>68</v>
      </c>
      <c r="R3" s="56"/>
      <c r="S3" s="67"/>
      <c r="T3" s="56"/>
      <c r="U3" s="56"/>
      <c r="V3" s="56"/>
      <c r="W3" s="110"/>
      <c r="X3" s="118"/>
      <c r="Y3" s="115" t="s">
        <v>61</v>
      </c>
      <c r="Z3" s="120"/>
      <c r="AA3" s="119"/>
      <c r="AB3" s="120"/>
      <c r="AC3" s="119"/>
      <c r="AD3" s="120"/>
      <c r="AE3" s="119"/>
      <c r="AF3" s="120"/>
      <c r="AG3" s="119"/>
      <c r="AH3" s="117"/>
      <c r="AI3" s="110"/>
      <c r="AJ3" s="120"/>
      <c r="AK3" s="119"/>
      <c r="AU3" s="21"/>
      <c r="AV3" s="21"/>
      <c r="AW3" s="21"/>
      <c r="AX3" s="21"/>
      <c r="AY3" s="20"/>
      <c r="BB3" s="21"/>
      <c r="BC3" s="21"/>
      <c r="BD3" s="21"/>
      <c r="BE3" s="21"/>
      <c r="BF3" s="21"/>
      <c r="BK3" s="21"/>
      <c r="BL3" s="21"/>
      <c r="BM3" s="21"/>
      <c r="BN3" s="21"/>
      <c r="BO3" s="20"/>
      <c r="BR3" s="21"/>
      <c r="BS3" s="21"/>
      <c r="BT3" s="21"/>
      <c r="BU3" s="21"/>
      <c r="BV3" s="21"/>
      <c r="BZ3" s="21"/>
      <c r="CA3" s="21"/>
      <c r="CB3" s="21"/>
      <c r="CC3" s="21"/>
      <c r="CD3" s="20"/>
      <c r="CG3" s="21"/>
      <c r="CH3" s="21"/>
      <c r="CI3" s="21"/>
      <c r="CJ3" s="21"/>
      <c r="CK3" s="21"/>
      <c r="CM3" s="6"/>
    </row>
    <row r="4" spans="1:91" ht="14" customHeight="1">
      <c r="A4" s="2"/>
      <c r="B4" s="19" t="s">
        <v>7</v>
      </c>
      <c r="C4" s="19" t="s">
        <v>8</v>
      </c>
      <c r="D4" s="16" t="s">
        <v>9</v>
      </c>
      <c r="E4" s="19" t="s">
        <v>10</v>
      </c>
      <c r="F4" s="2" t="s">
        <v>11</v>
      </c>
      <c r="H4" s="16" t="s">
        <v>12</v>
      </c>
      <c r="I4" s="19" t="s">
        <v>13</v>
      </c>
      <c r="J4" s="16" t="s">
        <v>14</v>
      </c>
      <c r="K4" s="19" t="s">
        <v>7</v>
      </c>
      <c r="L4" s="19" t="s">
        <v>15</v>
      </c>
      <c r="M4" s="19" t="str">
        <f>(J4)</f>
        <v>Curr.</v>
      </c>
      <c r="O4" s="19" t="s">
        <v>7</v>
      </c>
      <c r="P4" s="19"/>
      <c r="Q4" s="56" t="s">
        <v>69</v>
      </c>
      <c r="R4" s="56"/>
      <c r="S4" s="29"/>
      <c r="T4" s="56"/>
      <c r="U4" s="56"/>
      <c r="V4" s="56"/>
      <c r="W4" s="110"/>
      <c r="X4" s="118"/>
      <c r="Y4" s="115" t="s">
        <v>62</v>
      </c>
      <c r="Z4" s="120"/>
      <c r="AA4" s="119"/>
      <c r="AB4" s="120"/>
      <c r="AC4" s="119"/>
      <c r="AD4" s="120"/>
      <c r="AE4" s="119"/>
      <c r="AF4" s="120"/>
      <c r="AG4" s="119"/>
      <c r="AH4" s="117"/>
      <c r="AI4" s="110"/>
      <c r="AJ4" s="120"/>
      <c r="AK4" s="119"/>
      <c r="AU4" s="21"/>
      <c r="AV4" s="21"/>
      <c r="AW4" s="21"/>
      <c r="AX4" s="21"/>
      <c r="AY4" s="20"/>
      <c r="BB4" s="21"/>
      <c r="BC4" s="21"/>
      <c r="BD4" s="21"/>
      <c r="BE4" s="21"/>
      <c r="BF4" s="21"/>
      <c r="BK4" s="21"/>
      <c r="BL4" s="21"/>
      <c r="BM4" s="21"/>
      <c r="BN4" s="21"/>
      <c r="BO4" s="20"/>
      <c r="BR4" s="21"/>
      <c r="BS4" s="21"/>
      <c r="BT4" s="21"/>
      <c r="BU4" s="21"/>
      <c r="BV4" s="21"/>
      <c r="BZ4" s="21"/>
      <c r="CA4" s="21"/>
      <c r="CB4" s="21"/>
      <c r="CC4" s="21"/>
      <c r="CD4" s="20"/>
      <c r="CG4" s="21"/>
      <c r="CH4" s="21"/>
      <c r="CI4" s="21"/>
      <c r="CJ4" s="21"/>
      <c r="CK4" s="21"/>
      <c r="CM4" s="6"/>
    </row>
    <row r="5" spans="1:91" ht="14" customHeight="1">
      <c r="A5" s="2"/>
      <c r="B5" s="19" t="s">
        <v>16</v>
      </c>
      <c r="C5" s="19" t="s">
        <v>17</v>
      </c>
      <c r="D5" s="16" t="s">
        <v>16</v>
      </c>
      <c r="E5" s="19" t="s">
        <v>18</v>
      </c>
      <c r="F5" s="56" t="s">
        <v>129</v>
      </c>
      <c r="H5" s="16" t="s">
        <v>18</v>
      </c>
      <c r="I5" s="19" t="s">
        <v>16</v>
      </c>
      <c r="J5" s="16" t="s">
        <v>16</v>
      </c>
      <c r="K5" s="19" t="s">
        <v>16</v>
      </c>
      <c r="L5" s="19" t="s">
        <v>19</v>
      </c>
      <c r="M5" s="23" t="str">
        <f>(J5)</f>
        <v>Access</v>
      </c>
      <c r="O5" s="2" t="s">
        <v>20</v>
      </c>
      <c r="P5" s="19"/>
      <c r="Q5" s="56"/>
      <c r="R5" s="56"/>
      <c r="S5" s="29"/>
      <c r="T5" s="56"/>
      <c r="U5" s="56"/>
      <c r="V5" s="56"/>
      <c r="W5" s="110"/>
      <c r="X5" s="118"/>
      <c r="Y5" s="115"/>
      <c r="Z5" s="120"/>
      <c r="AA5" s="119"/>
      <c r="AB5" s="120"/>
      <c r="AC5" s="119"/>
      <c r="AD5" s="120"/>
      <c r="AE5" s="119"/>
      <c r="AF5" s="120"/>
      <c r="AG5" s="119"/>
      <c r="AH5" s="117"/>
      <c r="AI5" s="110"/>
      <c r="AJ5" s="120"/>
      <c r="AK5" s="119"/>
      <c r="AV5" s="21"/>
      <c r="AW5" s="21"/>
      <c r="AX5" s="21"/>
      <c r="BC5" s="21"/>
      <c r="BD5" s="21"/>
      <c r="BE5" s="21"/>
      <c r="BL5" s="21"/>
      <c r="BM5" s="21"/>
      <c r="BN5" s="21"/>
      <c r="BS5" s="21"/>
      <c r="BT5" s="21"/>
      <c r="BU5" s="21"/>
      <c r="CA5" s="21"/>
      <c r="CB5" s="21"/>
      <c r="CC5" s="21"/>
      <c r="CH5" s="21"/>
      <c r="CI5" s="21"/>
      <c r="CJ5" s="21"/>
    </row>
    <row r="6" spans="1:91" ht="14" customHeight="1">
      <c r="A6" s="74" t="str">
        <f>IF(Poor!A6=0,"",Poor!A6)</f>
        <v>Cows' milk - season 1</v>
      </c>
      <c r="B6" s="101">
        <v>6.4444393524283924E-2</v>
      </c>
      <c r="C6" s="102">
        <v>0</v>
      </c>
      <c r="D6" s="24">
        <f t="shared" ref="D6:D29" si="0">(B6+C6)</f>
        <v>6.4444393524283924E-2</v>
      </c>
      <c r="E6" s="75">
        <f>Poor!E6</f>
        <v>0.5</v>
      </c>
      <c r="F6" s="2" t="s">
        <v>21</v>
      </c>
      <c r="H6" s="24">
        <f t="shared" ref="H6:H29" si="1">(E6*F$7/F$9)</f>
        <v>0.5</v>
      </c>
      <c r="I6" s="22">
        <f t="shared" ref="I6:I29" si="2">(D6*H6)</f>
        <v>3.2222196762141962E-2</v>
      </c>
      <c r="J6" s="24">
        <f t="shared" ref="J6:J13" si="3">IF(I$32&lt;=1+I$131,I6,B6*H6+J$33*(I6-B6*H6))</f>
        <v>3.2222196762141962E-2</v>
      </c>
      <c r="K6" s="22">
        <f t="shared" ref="K6:K31" si="4">B6</f>
        <v>6.4444393524283924E-2</v>
      </c>
      <c r="L6" s="22">
        <f t="shared" ref="L6:L29" si="5">IF(K6="","",K6*H6)</f>
        <v>3.2222196762141962E-2</v>
      </c>
      <c r="M6" s="224">
        <f t="shared" ref="M6:M31" si="6">J6</f>
        <v>3.2222196762141962E-2</v>
      </c>
      <c r="N6" s="229">
        <v>3</v>
      </c>
      <c r="O6" s="22" t="s">
        <v>22</v>
      </c>
      <c r="P6" s="22"/>
      <c r="Q6" s="56"/>
      <c r="R6" s="70" t="s">
        <v>7</v>
      </c>
      <c r="S6" s="70" t="s">
        <v>70</v>
      </c>
      <c r="T6" s="70" t="s">
        <v>22</v>
      </c>
      <c r="U6" s="56"/>
      <c r="V6" s="56"/>
      <c r="W6" s="115"/>
      <c r="X6" s="118"/>
      <c r="Y6" s="183">
        <f>M6*4</f>
        <v>0.12888878704856785</v>
      </c>
      <c r="Z6" s="156">
        <f>Poor!Z6</f>
        <v>0.17</v>
      </c>
      <c r="AA6" s="121">
        <f>$M6*Z6*4</f>
        <v>2.1911093798256537E-2</v>
      </c>
      <c r="AB6" s="156">
        <f>Poor!AB6</f>
        <v>0.17</v>
      </c>
      <c r="AC6" s="121">
        <f t="shared" ref="AC6:AC29" si="7">$M6*AB6*4</f>
        <v>2.1911093798256537E-2</v>
      </c>
      <c r="AD6" s="156">
        <f>Poor!AD6</f>
        <v>0.33</v>
      </c>
      <c r="AE6" s="121">
        <f t="shared" ref="AE6:AE29" si="8">$M6*AD6*4</f>
        <v>4.2533299726027395E-2</v>
      </c>
      <c r="AF6" s="122">
        <f>1-SUM(Z6,AB6,AD6)</f>
        <v>0.32999999999999996</v>
      </c>
      <c r="AG6" s="121">
        <f>$M6*AF6*4</f>
        <v>4.2533299726027388E-2</v>
      </c>
      <c r="AH6" s="123">
        <f>SUM(Z6,AB6,AD6,AF6)</f>
        <v>1</v>
      </c>
      <c r="AI6" s="183">
        <f>SUM(AA6,AC6,AE6,AG6)/4</f>
        <v>3.2222196762141969E-2</v>
      </c>
      <c r="AJ6" s="120">
        <f>(AA6+AC6)/2</f>
        <v>2.1911093798256537E-2</v>
      </c>
      <c r="AK6" s="119">
        <f>(AE6+AG6)/2</f>
        <v>4.2533299726027388E-2</v>
      </c>
      <c r="AS6" s="25"/>
      <c r="AT6" s="25"/>
      <c r="AU6" s="25"/>
      <c r="AV6" s="25"/>
      <c r="AW6" s="25"/>
      <c r="AX6" s="25"/>
      <c r="AZ6" s="25"/>
      <c r="BA6" s="25"/>
      <c r="BB6" s="25"/>
      <c r="BC6" s="25"/>
      <c r="BD6" s="25"/>
      <c r="BE6" s="25"/>
      <c r="BF6" s="25"/>
      <c r="BI6" s="25"/>
      <c r="BJ6" s="25"/>
      <c r="BK6" s="25"/>
      <c r="BL6" s="25"/>
      <c r="BM6" s="25"/>
      <c r="BN6" s="25"/>
      <c r="BP6" s="25"/>
      <c r="BQ6" s="25"/>
      <c r="BR6" s="25"/>
      <c r="BS6" s="25"/>
      <c r="BT6" s="25"/>
      <c r="BU6" s="25"/>
      <c r="BV6" s="25"/>
      <c r="BX6" s="25"/>
      <c r="BY6" s="25"/>
      <c r="BZ6" s="25"/>
      <c r="CA6" s="25"/>
      <c r="CB6" s="25"/>
      <c r="CC6" s="25"/>
      <c r="CE6" s="25"/>
      <c r="CF6" s="25"/>
      <c r="CG6" s="25"/>
      <c r="CH6" s="25"/>
      <c r="CI6" s="25"/>
      <c r="CJ6" s="25"/>
      <c r="CK6" s="25"/>
    </row>
    <row r="7" spans="1:91" ht="14" customHeight="1">
      <c r="A7" s="74" t="str">
        <f>IF(Poor!A7=0,"",Poor!A7)</f>
        <v>Cows' milk - season 2</v>
      </c>
      <c r="B7" s="101">
        <v>6.2567372353673724E-3</v>
      </c>
      <c r="C7" s="102">
        <v>0</v>
      </c>
      <c r="D7" s="24">
        <f t="shared" si="0"/>
        <v>6.2567372353673724E-3</v>
      </c>
      <c r="E7" s="75">
        <f>Poor!E7</f>
        <v>0.5</v>
      </c>
      <c r="F7" s="27">
        <v>8800</v>
      </c>
      <c r="H7" s="24">
        <f t="shared" si="1"/>
        <v>0.5</v>
      </c>
      <c r="I7" s="22">
        <f t="shared" si="2"/>
        <v>3.1283686176836862E-3</v>
      </c>
      <c r="J7" s="24">
        <f t="shared" si="3"/>
        <v>3.1283686176836862E-3</v>
      </c>
      <c r="K7" s="22">
        <f t="shared" si="4"/>
        <v>6.2567372353673724E-3</v>
      </c>
      <c r="L7" s="22">
        <f t="shared" si="5"/>
        <v>3.1283686176836862E-3</v>
      </c>
      <c r="M7" s="224">
        <f t="shared" si="6"/>
        <v>3.1283686176836862E-3</v>
      </c>
      <c r="N7" s="229">
        <v>3</v>
      </c>
      <c r="O7" s="2"/>
      <c r="P7" s="22"/>
      <c r="Q7" s="59" t="s">
        <v>71</v>
      </c>
      <c r="R7" s="222">
        <f>IF($B$81=0,0,(SUMIF($N$6:$N$28,$U7,K$6:K$28)+SUMIF($N$91:$N$118,$U7,K$91:K$118))*$B$83*$H$84*Poor!$B$81/$B$81)</f>
        <v>5826.549801134769</v>
      </c>
      <c r="S7" s="222">
        <f>IF($B$81=0,0,(SUMIF($N$6:$N$28,$U7,L$6:L$28)+SUMIF($N$91:$N$118,$U7,L$91:L$118))*$I$83*Poor!$B$81/$B$81)</f>
        <v>6963.2150415399174</v>
      </c>
      <c r="T7" s="222">
        <f>IF($B$81=0,0,(SUMIF($N$6:$N$28,$U7,M$6:M$28)+SUMIF($N$91:$N$118,$U7,M$91:M$118))*$I$83*Poor!$B$81/$B$81)</f>
        <v>8895.0557632413274</v>
      </c>
      <c r="U7" s="223">
        <v>1</v>
      </c>
      <c r="V7" s="56"/>
      <c r="W7" s="115"/>
      <c r="X7" s="118">
        <f>Poor!X7</f>
        <v>4</v>
      </c>
      <c r="Y7" s="183">
        <f t="shared" ref="Y7:Y29" si="9">M7*4</f>
        <v>1.2513474470734745E-2</v>
      </c>
      <c r="Z7" s="125">
        <f>IF($Y7=0,0,AA7/$Y7)</f>
        <v>0</v>
      </c>
      <c r="AA7" s="121">
        <f>IF($X7=1,IF(SUM(AA$6,AA$12:AA$29)&lt;1,IF((1-SUM(AA$6,AA$12:AA$29))*$M7/SUM($M$7*IF($X$7=1,1,0),$M$8*IF($X$8=1,1,0),$M$9*IF($X$9=1,1,0),$M$10*IF($X$10=1,1,0),$M$11*IF($X$11=1,1,0))&lt;Y7,(1-SUM(AA$6,AA$12:AA$29))*$M7/SUM($M$7*IF($X$7=1,1,0),$M$8*IF($X$8=1,1,0),$M$9*IF($X$9=1,1,0),$M$10*IF($X$10=1,1,0),$M$11*IF($X$11=1,1,0)),Y7),0),0)</f>
        <v>0</v>
      </c>
      <c r="AB7" s="125">
        <f>IF($Y7=0,0,AC7/$Y7)</f>
        <v>0</v>
      </c>
      <c r="AC7" s="121">
        <f>IF($X7&lt;3,IF(SUM(AC$6,AC$12:AC$29)&lt;1,IF(SUM(AC$6,AC$12:AC$29)+SUM((Y$7-AA$7)*IF($X$7&lt;3,1,0),(Y$8-AA$8)*IF($X$8&lt;3,1,0),(Y$9-AA$9)*IF($X$9&lt;3,1,0),(Y$10-AA$10)*IF($X$10&lt;3,1,0),(Y$11-AA$11)*IF($X$11&lt;3,1,0))&lt;1,Y7-AA7,IF((1-SUM(AC$6,AC$12:AC$29))*$M7/SUM($M$7*IF($X$7&lt;3,1,0),$M$8*IF($X$8&lt;3,1,0),$M$9*IF($X$9&lt;3,1,0),$M$10*IF($X$10&lt;3,1,0),$M$11*IF($X$11&lt;3,1,0))&lt;Y7-AA7,(1-SUM(AC$6,AC$12:AC$29))*$M7/SUM($M$7*IF($X$7&lt;3,1,0),$M$8*IF($X$8&lt;3,1,0),$M$9*IF($X$9&lt;3,1,0),$M$10*IF($X$10&lt;3,1,0),$M$11*IF($X$11&lt;3,1,0)),Y7-AA7)),0),0)</f>
        <v>0</v>
      </c>
      <c r="AD7" s="125">
        <f>IF($Y7=0,0,AE7/$Y7)</f>
        <v>0</v>
      </c>
      <c r="AE7" s="121">
        <f>IF($X7&lt;4,IF(SUM(AE$6:AE$6,AE$12:AE$29)&lt;1,IF(SUM(AE$6:AE$6,AE$12:AE$29)+SUM((Y$7-AA$7-AC$7)*IF($X$7&lt;3,1,0),(Y$8-AA$8-AC$8)*IF($X$8&lt;3,1,0),(Y$9-AA$9-AC$9)*IF($X$9&lt;3,1,0),(Y$10-AA$10-AC$10)*IF($X$10&lt;3,1,0),(Y$11-AA$11-AC$11)*IF($X$11&lt;3,1,0))&lt;1,Y7-AA7-AC7,IF((1-SUM(AE$6:AE$6,AE$12:AE$29))*$M7/SUM($M$7*IF($X$7&lt;4,1,0),$M$8*IF($X$8&lt;4,1,0),$M$9*IF($X$9&lt;4,1,0),$M$10*IF($X$10&lt;4,1,0),$M$11*IF($X$11&lt;4,1,0))&lt;Y7-AA7-AC7,(1-SUM(AE$6:AE$6,AE$12:AE$29))*$M7/SUM($M$7*IF($X$7&lt;4,1,0),$M$8*IF($X$8&lt;4,1,0),$M$9*IF($X$9&lt;4,1,0),$M$10*IF($X$10&lt;4,1,0),$M$11*IF($X$11&lt;4,1,0)),Y7-AA7-AC7)),0),0)</f>
        <v>0</v>
      </c>
      <c r="AF7" s="122">
        <f t="shared" ref="AF7:AF29" si="10">1-SUM(Z7,AB7,AD7)</f>
        <v>1</v>
      </c>
      <c r="AG7" s="121">
        <f t="shared" ref="AG7:AG29" si="11">$M7*AF7*4</f>
        <v>1.2513474470734745E-2</v>
      </c>
      <c r="AH7" s="123">
        <f t="shared" ref="AH7:AH30" si="12">SUM(Z7,AB7,AD7,AF7)</f>
        <v>1</v>
      </c>
      <c r="AI7" s="183">
        <f t="shared" ref="AI7:AI30" si="13">SUM(AA7,AC7,AE7,AG7)/4</f>
        <v>3.1283686176836862E-3</v>
      </c>
      <c r="AJ7" s="120">
        <f t="shared" ref="AJ7:AJ31" si="14">(AA7+AC7)/2</f>
        <v>0</v>
      </c>
      <c r="AK7" s="119">
        <f t="shared" ref="AK7:AK31" si="15">(AE7+AG7)/2</f>
        <v>6.2567372353673724E-3</v>
      </c>
      <c r="AS7" s="25"/>
      <c r="AT7" s="25"/>
      <c r="AU7" s="25"/>
      <c r="AV7" s="25"/>
      <c r="AW7" s="25"/>
      <c r="AX7" s="25"/>
      <c r="AZ7" s="25"/>
      <c r="BA7" s="25"/>
      <c r="BB7" s="25"/>
      <c r="BC7" s="25"/>
      <c r="BD7" s="25"/>
      <c r="BE7" s="25"/>
      <c r="BF7" s="25"/>
      <c r="BI7" s="25"/>
      <c r="BJ7" s="25"/>
      <c r="BK7" s="25"/>
      <c r="BL7" s="25"/>
      <c r="BM7" s="25"/>
      <c r="BN7" s="25"/>
      <c r="BP7" s="25"/>
      <c r="BQ7" s="25"/>
      <c r="BR7" s="25"/>
      <c r="BS7" s="25"/>
      <c r="BT7" s="25"/>
      <c r="BU7" s="25"/>
      <c r="BV7" s="25"/>
      <c r="BX7" s="25"/>
      <c r="BY7" s="25"/>
      <c r="BZ7" s="25"/>
      <c r="CA7" s="25"/>
      <c r="CB7" s="25"/>
      <c r="CC7" s="25"/>
      <c r="CE7" s="25"/>
      <c r="CF7" s="25"/>
      <c r="CG7" s="25"/>
      <c r="CH7" s="25"/>
      <c r="CI7" s="25"/>
      <c r="CJ7" s="25"/>
      <c r="CK7" s="25"/>
    </row>
    <row r="8" spans="1:91" ht="14" customHeight="1">
      <c r="A8" s="74" t="str">
        <f>IF(Poor!A8=0,"",Poor!A8)</f>
        <v>Own meat</v>
      </c>
      <c r="B8" s="101">
        <v>2.5636751504773764E-2</v>
      </c>
      <c r="C8" s="102">
        <v>0</v>
      </c>
      <c r="D8" s="24">
        <f t="shared" si="0"/>
        <v>2.5636751504773764E-2</v>
      </c>
      <c r="E8" s="75">
        <f>Poor!E8</f>
        <v>0.5</v>
      </c>
      <c r="F8" s="22" t="s">
        <v>23</v>
      </c>
      <c r="H8" s="24">
        <f t="shared" si="1"/>
        <v>0.5</v>
      </c>
      <c r="I8" s="22">
        <f t="shared" si="2"/>
        <v>1.2818375752386882E-2</v>
      </c>
      <c r="J8" s="24">
        <f t="shared" si="3"/>
        <v>1.2818375752386882E-2</v>
      </c>
      <c r="K8" s="22">
        <f t="shared" si="4"/>
        <v>2.5636751504773764E-2</v>
      </c>
      <c r="L8" s="22">
        <f t="shared" si="5"/>
        <v>1.2818375752386882E-2</v>
      </c>
      <c r="M8" s="224">
        <f t="shared" si="6"/>
        <v>1.2818375752386882E-2</v>
      </c>
      <c r="N8" s="229">
        <v>3</v>
      </c>
      <c r="O8" s="2"/>
      <c r="P8" s="22"/>
      <c r="Q8" s="59" t="s">
        <v>72</v>
      </c>
      <c r="R8" s="222">
        <f>IF($B$81=0,0,(SUMIF($N$6:$N$28,$U8,K$6:K$28)+SUMIF($N$91:$N$118,$U8,K$91:K$118))*$B$83*$H$84*Poor!$B$81/$B$81)</f>
        <v>22480.232477817626</v>
      </c>
      <c r="S8" s="222">
        <f>IF($B$81=0,0,(SUMIF($N$6:$N$28,$U8,L$6:L$28)+SUMIF($N$91:$N$118,$U8,L$91:L$118))*$I$83*Poor!$B$81/$B$81)</f>
        <v>21732.992000000002</v>
      </c>
      <c r="T8" s="222">
        <f>IF($B$81=0,0,(SUMIF($N$6:$N$28,$U8,M$6:M$28)+SUMIF($N$91:$N$118,$U8,M$91:M$118))*$I$83*Poor!$B$81/$B$81)</f>
        <v>20239.935551658353</v>
      </c>
      <c r="U8" s="223">
        <v>2</v>
      </c>
      <c r="V8" s="56"/>
      <c r="W8" s="115"/>
      <c r="X8" s="118">
        <f>Poor!X8</f>
        <v>1</v>
      </c>
      <c r="Y8" s="183">
        <f t="shared" si="9"/>
        <v>5.1273503009547527E-2</v>
      </c>
      <c r="Z8" s="125">
        <f>IF($Y8=0,0,AA8/$Y8)</f>
        <v>0.32611485943261326</v>
      </c>
      <c r="AA8" s="121">
        <f>IF($X8=1,IF(SUM(AA$6,AA$12:AA$29)&lt;1,IF((1-SUM(AA$6,AA$12:AA$29))*$M8/SUM($M$7*IF($X$7=1,1,0),$M$8*IF($X$8=1,1,0),$M$9*IF($X$9=1,1,0),$M$10*IF($X$10=1,1,0),$M$11*IF($X$11=1,1,0))&lt;Y8,(1-SUM(AA$6,AA$12:AA$29))*$M8/SUM($M$7*IF($X$7=1,1,0),$M$8*IF($X$8=1,1,0),$M$9*IF($X$9=1,1,0),$M$10*IF($X$10=1,1,0),$M$11*IF($X$11=1,1,0)),Y8),0),0)</f>
        <v>1.6721051226576265E-2</v>
      </c>
      <c r="AB8" s="125">
        <f>IF($Y8=0,0,AC8/$Y8)</f>
        <v>0.40578142898689862</v>
      </c>
      <c r="AC8" s="121">
        <f>IF($X8&lt;3,IF(SUM(AC$6,AC$12:AC$29)&lt;1,IF(SUM(AC$6,AC$12:AC$29)+SUM((Y$7-AA$7)*IF($X$7&lt;3,1,0),(Y$8-AA$8)*IF($X$8&lt;3,1,0),(Y$9-AA$9)*IF($X$9&lt;3,1,0),(Y$10-AA$10)*IF($X$10&lt;3,1,0),(Y$11-AA$11)*IF($X$11&lt;3,1,0))&lt;1,Y8-AA8,IF((1-SUM(AC$6,AC$12:AC$29))*$M8/SUM($M$7*IF($X$7&lt;3,1,0),$M$8*IF($X$8&lt;3,1,0),$M$9*IF($X$9&lt;3,1,0),$M$10*IF($X$10&lt;3,1,0),$M$11*IF($X$11&lt;3,1,0))&lt;Y8-AA8,(1-SUM(AC$6,AC$12:AC$29))*$M8/SUM($M$7*IF($X$7&lt;3,1,0),$M$8*IF($X$8&lt;3,1,0),$M$9*IF($X$9&lt;3,1,0),$M$10*IF($X$10&lt;3,1,0),$M$11*IF($X$11&lt;3,1,0)),Y8-AA8)),0),0)</f>
        <v>2.0805835320378243E-2</v>
      </c>
      <c r="AD8" s="125">
        <f>IF($Y8=0,0,AE8/$Y8)</f>
        <v>0.26810371158048812</v>
      </c>
      <c r="AE8" s="121">
        <f>IF($X8&lt;4,IF(SUM(AE$6:AE$6,AE$12:AE$29)&lt;1,IF(SUM(AE$6:AE$6,AE$12:AE$29)+SUM((Y$7-AA$7-AC$7)*IF($X$7&lt;3,1,0),(Y$8-AA$8-AC$8)*IF($X$8&lt;3,1,0),(Y$9-AA$9-AC$9)*IF($X$9&lt;3,1,0),(Y$10-AA$10-AC$10)*IF($X$10&lt;3,1,0),(Y$11-AA$11-AC$11)*IF($X$11&lt;3,1,0))&lt;1,Y8-AA8-AC8,IF((1-SUM(AE$6:AE$6,AE$12:AE$29))*$M8/SUM($M$7*IF($X$7&lt;4,1,0),$M$8*IF($X$8&lt;4,1,0),$M$9*IF($X$9&lt;4,1,0),$M$10*IF($X$10&lt;4,1,0),$M$11*IF($X$11&lt;4,1,0))&lt;Y8-AA8-AC8,(1-SUM(AE$6:AE$6,AE$12:AE$29))*$M8/SUM($M$7*IF($X$7&lt;4,1,0),$M$8*IF($X$8&lt;4,1,0),$M$9*IF($X$9&lt;4,1,0),$M$10*IF($X$10&lt;4,1,0),$M$11*IF($X$11&lt;4,1,0)),Y8-AA8-AC8)),0),0)</f>
        <v>1.3746616462593019E-2</v>
      </c>
      <c r="AF8" s="122">
        <f t="shared" si="10"/>
        <v>0</v>
      </c>
      <c r="AG8" s="121">
        <f t="shared" si="11"/>
        <v>0</v>
      </c>
      <c r="AH8" s="123">
        <f t="shared" si="12"/>
        <v>1</v>
      </c>
      <c r="AI8" s="183">
        <f t="shared" si="13"/>
        <v>1.2818375752386882E-2</v>
      </c>
      <c r="AJ8" s="120">
        <f t="shared" si="14"/>
        <v>1.8763443273477252E-2</v>
      </c>
      <c r="AK8" s="119">
        <f t="shared" si="15"/>
        <v>6.8733082312965096E-3</v>
      </c>
      <c r="AS8" s="25"/>
      <c r="AT8" s="25"/>
      <c r="AU8" s="25"/>
      <c r="AV8" s="25"/>
      <c r="AW8" s="25"/>
      <c r="AX8" s="25"/>
      <c r="AZ8" s="25"/>
      <c r="BA8" s="25"/>
      <c r="BB8" s="25"/>
      <c r="BC8" s="25"/>
      <c r="BD8" s="25"/>
      <c r="BE8" s="25"/>
      <c r="BF8" s="25"/>
      <c r="BI8" s="25"/>
      <c r="BJ8" s="25"/>
      <c r="BK8" s="25"/>
      <c r="BL8" s="25"/>
      <c r="BM8" s="25"/>
      <c r="BN8" s="25"/>
      <c r="BP8" s="25"/>
      <c r="BQ8" s="25"/>
      <c r="BR8" s="25"/>
      <c r="BS8" s="25"/>
      <c r="BT8" s="25"/>
      <c r="BU8" s="25"/>
      <c r="BV8" s="25"/>
      <c r="BX8" s="25"/>
      <c r="BY8" s="25"/>
      <c r="BZ8" s="25"/>
      <c r="CA8" s="25"/>
      <c r="CB8" s="25"/>
      <c r="CC8" s="25"/>
      <c r="CE8" s="25"/>
      <c r="CF8" s="25"/>
      <c r="CG8" s="25"/>
      <c r="CH8" s="25"/>
      <c r="CI8" s="25"/>
      <c r="CJ8" s="25"/>
      <c r="CK8" s="25"/>
    </row>
    <row r="9" spans="1:91" ht="14" customHeight="1">
      <c r="A9" s="74" t="str">
        <f>IF(Poor!A9=0,"",Poor!A9)</f>
        <v>Green cons - Season 1: no of months</v>
      </c>
      <c r="B9" s="101">
        <v>3.8888888888888892E-3</v>
      </c>
      <c r="C9" s="102">
        <v>0</v>
      </c>
      <c r="D9" s="24">
        <f t="shared" si="0"/>
        <v>3.8888888888888892E-3</v>
      </c>
      <c r="E9" s="75">
        <f>Poor!E9</f>
        <v>1</v>
      </c>
      <c r="F9" s="76">
        <f>Poor!F9</f>
        <v>8800</v>
      </c>
      <c r="H9" s="24">
        <f t="shared" si="1"/>
        <v>1</v>
      </c>
      <c r="I9" s="22">
        <f t="shared" si="2"/>
        <v>3.8888888888888892E-3</v>
      </c>
      <c r="J9" s="24">
        <f t="shared" si="3"/>
        <v>3.8888888888888892E-3</v>
      </c>
      <c r="K9" s="22">
        <f t="shared" si="4"/>
        <v>3.8888888888888892E-3</v>
      </c>
      <c r="L9" s="22">
        <f t="shared" si="5"/>
        <v>3.8888888888888892E-3</v>
      </c>
      <c r="M9" s="224">
        <f t="shared" si="6"/>
        <v>3.8888888888888892E-3</v>
      </c>
      <c r="N9" s="229">
        <v>1</v>
      </c>
      <c r="O9" s="2"/>
      <c r="P9" s="22"/>
      <c r="Q9" s="59" t="s">
        <v>73</v>
      </c>
      <c r="R9" s="222">
        <f>IF($B$81=0,0,(SUMIF($N$6:$N$28,$U9,K$6:K$28)+SUMIF($N$91:$N$118,$U9,K$91:K$118))*$B$83*$H$84*Poor!$B$81/$B$81)</f>
        <v>1459.2244439662368</v>
      </c>
      <c r="S9" s="222">
        <f>IF($B$81=0,0,(SUMIF($N$6:$N$28,$U9,L$6:L$28)+SUMIF($N$91:$N$118,$U9,L$91:L$118))*$I$83*Poor!$B$81/$B$81)</f>
        <v>817.53928819432997</v>
      </c>
      <c r="T9" s="222">
        <f>IF($B$81=0,0,(SUMIF($N$6:$N$28,$U9,M$6:M$28)+SUMIF($N$91:$N$118,$U9,M$91:M$118))*$I$83*Poor!$B$81/$B$81)</f>
        <v>817.53928819432997</v>
      </c>
      <c r="U9" s="223">
        <v>3</v>
      </c>
      <c r="V9" s="56"/>
      <c r="W9" s="115"/>
      <c r="X9" s="118">
        <f>Poor!X9</f>
        <v>1</v>
      </c>
      <c r="Y9" s="183">
        <f t="shared" si="9"/>
        <v>1.5555555555555557E-2</v>
      </c>
      <c r="Z9" s="125">
        <f>IF($Y9=0,0,AA9/$Y9)</f>
        <v>0.32611485943261326</v>
      </c>
      <c r="AA9" s="121">
        <f>IF($X9=1,IF(SUM(AA$6,AA$12:AA$29)&lt;1,IF((1-SUM(AA$6,AA$12:AA$29))*$M9/SUM($M$7*IF($X$7=1,1,0),$M$8*IF($X$8=1,1,0),$M$9*IF($X$9=1,1,0),$M$10*IF($X$10=1,1,0),$M$11*IF($X$11=1,1,0))&lt;Y9,(1-SUM(AA$6,AA$12:AA$29))*$M9/SUM($M$7*IF($X$7=1,1,0),$M$8*IF($X$8=1,1,0),$M$9*IF($X$9=1,1,0),$M$10*IF($X$10=1,1,0),$M$11*IF($X$11=1,1,0)),Y9),0),0)</f>
        <v>5.072897813396207E-3</v>
      </c>
      <c r="AB9" s="125">
        <f>IF($Y9=0,0,AC9/$Y9)</f>
        <v>0.40578142898689856</v>
      </c>
      <c r="AC9" s="121">
        <f>IF($X9&lt;3,IF(SUM(AC$6,AC$12:AC$29)&lt;1,IF(SUM(AC$6,AC$12:AC$29)+SUM((Y$7-AA$7)*IF($X$7&lt;3,1,0),(Y$8-AA$8)*IF($X$8&lt;3,1,0),(Y$9-AA$9)*IF($X$9&lt;3,1,0),(Y$10-AA$10)*IF($X$10&lt;3,1,0),(Y$11-AA$11)*IF($X$11&lt;3,1,0))&lt;1,Y9-AA9,IF((1-SUM(AC$6,AC$12:AC$29))*$M9/SUM($M$7*IF($X$7&lt;3,1,0),$M$8*IF($X$8&lt;3,1,0),$M$9*IF($X$9&lt;3,1,0),$M$10*IF($X$10&lt;3,1,0),$M$11*IF($X$11&lt;3,1,0))&lt;Y9-AA9,(1-SUM(AC$6,AC$12:AC$29))*$M9/SUM($M$7*IF($X$7&lt;3,1,0),$M$8*IF($X$8&lt;3,1,0),$M$9*IF($X$9&lt;3,1,0),$M$10*IF($X$10&lt;3,1,0),$M$11*IF($X$11&lt;3,1,0)),Y9-AA9)),0),0)</f>
        <v>6.312155562018423E-3</v>
      </c>
      <c r="AD9" s="125">
        <f>IF($Y9=0,0,AE9/$Y9)</f>
        <v>0.26810371158048818</v>
      </c>
      <c r="AE9" s="121">
        <f>IF($X9&lt;4,IF(SUM(AE$6:AE$6,AE$12:AE$29)&lt;1,IF(SUM(AE$6:AE$6,AE$12:AE$29)+SUM((Y$7-AA$7-AC$7)*IF($X$7&lt;3,1,0),(Y$8-AA$8-AC$8)*IF($X$8&lt;3,1,0),(Y$9-AA$9-AC$9)*IF($X$9&lt;3,1,0),(Y$10-AA$10-AC$10)*IF($X$10&lt;3,1,0),(Y$11-AA$11-AC$11)*IF($X$11&lt;3,1,0))&lt;1,Y9-AA9-AC9,IF((1-SUM(AE$6:AE$6,AE$12:AE$29))*$M9/SUM($M$7*IF($X$7&lt;4,1,0),$M$8*IF($X$8&lt;4,1,0),$M$9*IF($X$9&lt;4,1,0),$M$10*IF($X$10&lt;4,1,0),$M$11*IF($X$11&lt;4,1,0))&lt;Y9-AA9-AC9,(1-SUM(AE$6:AE$6,AE$12:AE$29))*$M9/SUM($M$7*IF($X$7&lt;4,1,0),$M$8*IF($X$8&lt;4,1,0),$M$9*IF($X$9&lt;4,1,0),$M$10*IF($X$10&lt;4,1,0),$M$11*IF($X$11&lt;4,1,0)),Y9-AA9-AC9)),0),0)</f>
        <v>4.1705021801409278E-3</v>
      </c>
      <c r="AF9" s="122">
        <f t="shared" si="10"/>
        <v>0</v>
      </c>
      <c r="AG9" s="121">
        <f t="shared" si="11"/>
        <v>0</v>
      </c>
      <c r="AH9" s="123">
        <f t="shared" si="12"/>
        <v>1</v>
      </c>
      <c r="AI9" s="183">
        <f t="shared" si="13"/>
        <v>3.8888888888888892E-3</v>
      </c>
      <c r="AJ9" s="120">
        <f t="shared" si="14"/>
        <v>5.6925266877073145E-3</v>
      </c>
      <c r="AK9" s="119">
        <f t="shared" si="15"/>
        <v>2.0852510900704639E-3</v>
      </c>
      <c r="AS9" s="25"/>
      <c r="AT9" s="25"/>
      <c r="AU9" s="25"/>
      <c r="AV9" s="25"/>
      <c r="AW9" s="25"/>
      <c r="AX9" s="25"/>
      <c r="AZ9" s="25"/>
      <c r="BA9" s="25"/>
      <c r="BB9" s="25"/>
      <c r="BC9" s="25"/>
      <c r="BD9" s="25"/>
      <c r="BE9" s="25"/>
      <c r="BF9" s="25"/>
      <c r="BI9" s="25"/>
      <c r="BJ9" s="25"/>
      <c r="BK9" s="25"/>
      <c r="BL9" s="25"/>
      <c r="BM9" s="25"/>
      <c r="BN9" s="25"/>
      <c r="BP9" s="25"/>
      <c r="BQ9" s="25"/>
      <c r="BR9" s="25"/>
      <c r="BS9" s="25"/>
      <c r="BT9" s="25"/>
      <c r="BU9" s="25"/>
      <c r="BV9" s="25"/>
      <c r="BX9" s="25"/>
      <c r="BY9" s="25"/>
      <c r="BZ9" s="25"/>
      <c r="CA9" s="25"/>
      <c r="CB9" s="25"/>
      <c r="CC9" s="25"/>
      <c r="CE9" s="25"/>
      <c r="CF9" s="25"/>
      <c r="CG9" s="25"/>
      <c r="CH9" s="25"/>
      <c r="CI9" s="25"/>
      <c r="CJ9" s="25"/>
      <c r="CK9" s="25"/>
    </row>
    <row r="10" spans="1:91" ht="14" customHeight="1">
      <c r="A10" s="74" t="str">
        <f>IF(Poor!A10=0,"",Poor!A10)</f>
        <v xml:space="preserve">Green beans </v>
      </c>
      <c r="B10" s="101">
        <v>9.4444444444444445E-3</v>
      </c>
      <c r="C10" s="102">
        <v>0</v>
      </c>
      <c r="D10" s="24">
        <f t="shared" si="0"/>
        <v>9.4444444444444445E-3</v>
      </c>
      <c r="E10" s="75">
        <f>Poor!E10</f>
        <v>1</v>
      </c>
      <c r="H10" s="24">
        <f t="shared" si="1"/>
        <v>1</v>
      </c>
      <c r="I10" s="22">
        <f t="shared" si="2"/>
        <v>9.4444444444444445E-3</v>
      </c>
      <c r="J10" s="24">
        <f t="shared" si="3"/>
        <v>9.4444444444444445E-3</v>
      </c>
      <c r="K10" s="22">
        <f t="shared" si="4"/>
        <v>9.4444444444444445E-3</v>
      </c>
      <c r="L10" s="22">
        <f t="shared" si="5"/>
        <v>9.4444444444444445E-3</v>
      </c>
      <c r="M10" s="224">
        <f t="shared" si="6"/>
        <v>9.4444444444444445E-3</v>
      </c>
      <c r="N10" s="229">
        <v>1</v>
      </c>
      <c r="O10" s="2"/>
      <c r="P10" s="22"/>
      <c r="Q10" s="59" t="s">
        <v>74</v>
      </c>
      <c r="R10" s="222">
        <f>IF($B$81=0,0,(SUMIF($N$6:$N$28,$U10,K$6:K$28)+SUMIF($N$91:$N$118,$U10,K$91:K$118))*$B$83*$H$84*Poor!$B$81/$B$81)</f>
        <v>0</v>
      </c>
      <c r="S10" s="222">
        <f>IF($B$81=0,0,(SUMIF($N$6:$N$28,$U10,L$6:L$28)+SUMIF($N$91:$N$118,$U10,L$91:L$118))*$I$83*Poor!$B$81/$B$81)</f>
        <v>0</v>
      </c>
      <c r="T10" s="222">
        <f>IF($B$81=0,0,(SUMIF($N$6:$N$28,$U10,M$6:M$28)+SUMIF($N$91:$N$118,$U10,M$91:M$118))*$I$83*Poor!$B$81/$B$81)</f>
        <v>0</v>
      </c>
      <c r="U10" s="223">
        <v>4</v>
      </c>
      <c r="V10" s="56"/>
      <c r="W10" s="115"/>
      <c r="X10" s="118">
        <f>Poor!X10</f>
        <v>1</v>
      </c>
      <c r="Y10" s="183">
        <f t="shared" si="9"/>
        <v>3.7777777777777778E-2</v>
      </c>
      <c r="Z10" s="125">
        <f>IF($Y10=0,0,AA10/$Y10)</f>
        <v>0.32611485943261326</v>
      </c>
      <c r="AA10" s="121">
        <f>IF($X10=1,IF(SUM(AA$6,AA$12:AA$29)&lt;1,IF((1-SUM(AA$6,AA$12:AA$29))*$M10/SUM($M$7*IF($X$7=1,1,0),$M$8*IF($X$8=1,1,0),$M$9*IF($X$9=1,1,0),$M$10*IF($X$10=1,1,0),$M$11*IF($X$11=1,1,0))&lt;Y10,(1-SUM(AA$6,AA$12:AA$29))*$M10/SUM($M$7*IF($X$7=1,1,0),$M$8*IF($X$8=1,1,0),$M$9*IF($X$9=1,1,0),$M$10*IF($X$10=1,1,0),$M$11*IF($X$11=1,1,0)),Y10),0),0)</f>
        <v>1.2319894689676501E-2</v>
      </c>
      <c r="AB10" s="125">
        <f>IF($Y10=0,0,AC10/$Y10)</f>
        <v>0.40578142898689862</v>
      </c>
      <c r="AC10" s="121">
        <f>IF($X10&lt;3,IF(SUM(AC$6,AC$12:AC$29)&lt;1,IF(SUM(AC$6,AC$12:AC$29)+SUM((Y$7-AA$7)*IF($X$7&lt;3,1,0),(Y$8-AA$8)*IF($X$8&lt;3,1,0),(Y$9-AA$9)*IF($X$9&lt;3,1,0),(Y$10-AA$10)*IF($X$10&lt;3,1,0),(Y$11-AA$11)*IF($X$11&lt;3,1,0))&lt;1,Y10-AA10,IF((1-SUM(AC$6,AC$12:AC$29))*$M10/SUM($M$7*IF($X$7&lt;3,1,0),$M$8*IF($X$8&lt;3,1,0),$M$9*IF($X$9&lt;3,1,0),$M$10*IF($X$10&lt;3,1,0),$M$11*IF($X$11&lt;3,1,0))&lt;Y10-AA10,(1-SUM(AC$6,AC$12:AC$29))*$M10/SUM($M$7*IF($X$7&lt;3,1,0),$M$8*IF($X$8&lt;3,1,0),$M$9*IF($X$9&lt;3,1,0),$M$10*IF($X$10&lt;3,1,0),$M$11*IF($X$11&lt;3,1,0)),Y10-AA10)),0),0)</f>
        <v>1.532952065061617E-2</v>
      </c>
      <c r="AD10" s="125">
        <f>IF($Y10=0,0,AE10/$Y10)</f>
        <v>0.26810371158048812</v>
      </c>
      <c r="AE10" s="121">
        <f>IF($X10&lt;4,IF(SUM(AE$6:AE$6,AE$12:AE$29)&lt;1,IF(SUM(AE$6:AE$6,AE$12:AE$29)+SUM((Y$7-AA$7-AC$7)*IF($X$7&lt;3,1,0),(Y$8-AA$8-AC$8)*IF($X$8&lt;3,1,0),(Y$9-AA$9-AC$9)*IF($X$9&lt;3,1,0),(Y$10-AA$10-AC$10)*IF($X$10&lt;3,1,0),(Y$11-AA$11-AC$11)*IF($X$11&lt;3,1,0))&lt;1,Y10-AA10-AC10,IF((1-SUM(AE$6:AE$6,AE$12:AE$29))*$M10/SUM($M$7*IF($X$7&lt;4,1,0),$M$8*IF($X$8&lt;4,1,0),$M$9*IF($X$9&lt;4,1,0),$M$10*IF($X$10&lt;4,1,0),$M$11*IF($X$11&lt;4,1,0))&lt;Y10-AA10-AC10,(1-SUM(AE$6:AE$6,AE$12:AE$29))*$M10/SUM($M$7*IF($X$7&lt;4,1,0),$M$8*IF($X$8&lt;4,1,0),$M$9*IF($X$9&lt;4,1,0),$M$10*IF($X$10&lt;4,1,0),$M$11*IF($X$11&lt;4,1,0)),Y10-AA10-AC10)),0),0)</f>
        <v>1.0128362437485107E-2</v>
      </c>
      <c r="AF10" s="122">
        <f t="shared" si="10"/>
        <v>0</v>
      </c>
      <c r="AG10" s="121">
        <f t="shared" si="11"/>
        <v>0</v>
      </c>
      <c r="AH10" s="123">
        <f t="shared" si="12"/>
        <v>1</v>
      </c>
      <c r="AI10" s="183">
        <f t="shared" si="13"/>
        <v>9.4444444444444445E-3</v>
      </c>
      <c r="AJ10" s="120">
        <f t="shared" si="14"/>
        <v>1.3824707670146336E-2</v>
      </c>
      <c r="AK10" s="119">
        <f t="shared" si="15"/>
        <v>5.0641812187425536E-3</v>
      </c>
      <c r="AS10" s="25"/>
      <c r="AT10" s="25"/>
      <c r="AU10" s="25"/>
      <c r="AV10" s="25"/>
      <c r="AW10" s="25"/>
      <c r="AX10" s="25"/>
      <c r="AZ10" s="25"/>
      <c r="BA10" s="25"/>
      <c r="BB10" s="25"/>
      <c r="BC10" s="25"/>
      <c r="BD10" s="25"/>
      <c r="BE10" s="25"/>
      <c r="BF10" s="25"/>
      <c r="BI10" s="25"/>
      <c r="BJ10" s="25"/>
      <c r="BK10" s="25"/>
      <c r="BL10" s="25"/>
      <c r="BM10" s="25"/>
      <c r="BN10" s="25"/>
      <c r="BP10" s="25"/>
      <c r="BQ10" s="25"/>
      <c r="BR10" s="25"/>
      <c r="BS10" s="25"/>
      <c r="BT10" s="25"/>
      <c r="BU10" s="25"/>
      <c r="BV10" s="25"/>
      <c r="BX10" s="25"/>
      <c r="BY10" s="25"/>
      <c r="BZ10" s="25"/>
      <c r="CA10" s="25"/>
      <c r="CB10" s="25"/>
      <c r="CC10" s="25"/>
      <c r="CE10" s="25"/>
      <c r="CF10" s="25"/>
      <c r="CG10" s="25"/>
      <c r="CH10" s="25"/>
      <c r="CI10" s="25"/>
      <c r="CJ10" s="25"/>
      <c r="CK10" s="25"/>
    </row>
    <row r="11" spans="1:91" ht="14" customHeight="1">
      <c r="A11" s="74" t="str">
        <f>IF(Poor!A11=0,"",Poor!A11)</f>
        <v>Maize: kg produced</v>
      </c>
      <c r="B11" s="101">
        <v>0.26966066780821918</v>
      </c>
      <c r="C11" s="102">
        <v>0.4398689041095889</v>
      </c>
      <c r="D11" s="24">
        <f t="shared" si="0"/>
        <v>0.70952957191780808</v>
      </c>
      <c r="E11" s="75">
        <f>Poor!E11</f>
        <v>1.0900000000000001</v>
      </c>
      <c r="H11" s="24">
        <f t="shared" si="1"/>
        <v>1.0900000000000001</v>
      </c>
      <c r="I11" s="22">
        <f t="shared" si="2"/>
        <v>0.77338723339041082</v>
      </c>
      <c r="J11" s="24">
        <f t="shared" si="3"/>
        <v>0.39190776925323506</v>
      </c>
      <c r="K11" s="22">
        <f t="shared" si="4"/>
        <v>0.26966066780821918</v>
      </c>
      <c r="L11" s="22">
        <f t="shared" si="5"/>
        <v>0.2939301279109589</v>
      </c>
      <c r="M11" s="224">
        <f t="shared" si="6"/>
        <v>0.39190776925323506</v>
      </c>
      <c r="N11" s="229">
        <v>1</v>
      </c>
      <c r="O11" s="2"/>
      <c r="P11" s="22"/>
      <c r="Q11" s="59" t="s">
        <v>75</v>
      </c>
      <c r="R11" s="222">
        <f>IF($B$81=0,0,(SUMIF($N$6:$N$28,$U11,K$6:K$28)+SUMIF($N$91:$N$118,$U11,K$91:K$118))*$B$83*$H$84*Poor!$B$81/$B$81)</f>
        <v>17821.954030550129</v>
      </c>
      <c r="S11" s="222">
        <f>IF($B$81=0,0,(SUMIF($N$6:$N$28,$U11,L$6:L$28)+SUMIF($N$91:$N$118,$U11,L$91:L$118))*$I$83*Poor!$B$81/$B$81)</f>
        <v>11519.497142857143</v>
      </c>
      <c r="T11" s="222">
        <f>IF($B$81=0,0,(SUMIF($N$6:$N$28,$U11,M$6:M$28)+SUMIF($N$91:$N$118,$U11,M$91:M$118))*$I$83*Poor!$B$81/$B$81)</f>
        <v>12000.847399437745</v>
      </c>
      <c r="U11" s="223">
        <v>5</v>
      </c>
      <c r="V11" s="56"/>
      <c r="W11" s="115"/>
      <c r="X11" s="118">
        <f>Poor!X11</f>
        <v>1</v>
      </c>
      <c r="Y11" s="183">
        <f t="shared" si="9"/>
        <v>1.5676310770129402</v>
      </c>
      <c r="Z11" s="125">
        <f>IF($Y11=0,0,AA11/$Y11)</f>
        <v>0.32611485943261331</v>
      </c>
      <c r="AA11" s="121">
        <f>IF($X11=1,IF(SUM(AA$6,AA$12:AA$29)&lt;1,IF((1-SUM(AA$6,AA$12:AA$29))*$M11/SUM($M$7*IF($X$7=1,1,0),$M$8*IF($X$8=1,1,0),$M$9*IF($X$9=1,1,0),$M$10*IF($X$10=1,1,0),$M$11*IF($X$11=1,1,0))&lt;Y11,(1-SUM(AA$6,AA$12:AA$29))*$M11/SUM($M$7*IF($X$7=1,1,0),$M$8*IF($X$8=1,1,0),$M$9*IF($X$9=1,1,0),$M$10*IF($X$10=1,1,0),$M$11*IF($X$11=1,1,0)),Y11),0),0)</f>
        <v>0.51122778832227123</v>
      </c>
      <c r="AB11" s="125">
        <f>IF($Y11=0,0,AC11/$Y11)</f>
        <v>0.40578142898689862</v>
      </c>
      <c r="AC11" s="121">
        <f>IF($X11&lt;3,IF(SUM(AC$6,AC$12:AC$29)&lt;1,IF(SUM(AC$6,AC$12:AC$29)+SUM((Y$7-AA$7)*IF($X$7&lt;3,1,0),(Y$8-AA$8)*IF($X$8&lt;3,1,0),(Y$9-AA$9)*IF($X$9&lt;3,1,0),(Y$10-AA$10)*IF($X$10&lt;3,1,0),(Y$11-AA$11)*IF($X$11&lt;3,1,0))&lt;1,Y11-AA11,IF((1-SUM(AC$6,AC$12:AC$29))*$M11/SUM($M$7*IF($X$7&lt;3,1,0),$M$8*IF($X$8&lt;3,1,0),$M$9*IF($X$9&lt;3,1,0),$M$10*IF($X$10&lt;3,1,0),$M$11*IF($X$11&lt;3,1,0))&lt;Y11-AA11,(1-SUM(AC$6,AC$12:AC$29))*$M11/SUM($M$7*IF($X$7&lt;3,1,0),$M$8*IF($X$8&lt;3,1,0),$M$9*IF($X$9&lt;3,1,0),$M$10*IF($X$10&lt;3,1,0),$M$11*IF($X$11&lt;3,1,0)),Y11-AA11)),0),0)</f>
        <v>0.63611557855458178</v>
      </c>
      <c r="AD11" s="125">
        <f>IF($Y11=0,0,AE11/$Y11)</f>
        <v>0.26810371158048818</v>
      </c>
      <c r="AE11" s="121">
        <f>IF($X11&lt;4,IF(SUM(AE$6:AE$6,AE$12:AE$29)&lt;1,IF(SUM(AE$6:AE$6,AE$12:AE$29)+SUM((Y$7-AA$7-AC$7)*IF($X$7&lt;3,1,0),(Y$8-AA$8-AC$8)*IF($X$8&lt;3,1,0),(Y$9-AA$9-AC$9)*IF($X$9&lt;3,1,0),(Y$10-AA$10-AC$10)*IF($X$10&lt;3,1,0),(Y$11-AA$11-AC$11)*IF($X$11&lt;3,1,0))&lt;1,Y11-AA11-AC11,IF((1-SUM(AE$6:AE$6,AE$12:AE$29))*$M11/SUM($M$7*IF($X$7&lt;4,1,0),$M$8*IF($X$8&lt;4,1,0),$M$9*IF($X$9&lt;4,1,0),$M$10*IF($X$10&lt;4,1,0),$M$11*IF($X$11&lt;4,1,0))&lt;Y11-AA11-AC11,(1-SUM(AE$6:AE$6,AE$12:AE$29))*$M11/SUM($M$7*IF($X$7&lt;4,1,0),$M$8*IF($X$8&lt;4,1,0),$M$9*IF($X$9&lt;4,1,0),$M$10*IF($X$10&lt;4,1,0),$M$11*IF($X$11&lt;4,1,0)),Y11-AA11-AC11)),0),0)</f>
        <v>0.42028771013608734</v>
      </c>
      <c r="AF11" s="122">
        <f t="shared" si="10"/>
        <v>0</v>
      </c>
      <c r="AG11" s="121">
        <f t="shared" si="11"/>
        <v>0</v>
      </c>
      <c r="AH11" s="123">
        <f t="shared" si="12"/>
        <v>1</v>
      </c>
      <c r="AI11" s="183">
        <f t="shared" si="13"/>
        <v>0.39190776925323512</v>
      </c>
      <c r="AJ11" s="120">
        <f t="shared" si="14"/>
        <v>0.57367168343842656</v>
      </c>
      <c r="AK11" s="119">
        <f t="shared" si="15"/>
        <v>0.21014385506804367</v>
      </c>
      <c r="AS11" s="25"/>
      <c r="AT11" s="25"/>
      <c r="AU11" s="25"/>
      <c r="AV11" s="25"/>
      <c r="AW11" s="25"/>
      <c r="AX11" s="25"/>
      <c r="AZ11" s="25"/>
      <c r="BA11" s="25"/>
      <c r="BB11" s="25"/>
      <c r="BC11" s="25"/>
      <c r="BD11" s="25"/>
      <c r="BE11" s="25"/>
      <c r="BF11" s="25"/>
      <c r="BI11" s="25"/>
      <c r="BJ11" s="25"/>
      <c r="BK11" s="25"/>
      <c r="BL11" s="25"/>
      <c r="BM11" s="25"/>
      <c r="BN11" s="25"/>
      <c r="BP11" s="25"/>
      <c r="BQ11" s="25"/>
      <c r="BR11" s="25"/>
      <c r="BS11" s="25"/>
      <c r="BT11" s="25"/>
      <c r="BU11" s="25"/>
      <c r="BV11" s="25"/>
      <c r="BX11" s="25"/>
      <c r="BY11" s="25"/>
      <c r="BZ11" s="25"/>
      <c r="CA11" s="25"/>
      <c r="CB11" s="25"/>
      <c r="CC11" s="25"/>
      <c r="CE11" s="25"/>
      <c r="CF11" s="25"/>
      <c r="CG11" s="25"/>
      <c r="CH11" s="25"/>
      <c r="CI11" s="25"/>
      <c r="CJ11" s="25"/>
      <c r="CK11" s="25"/>
    </row>
    <row r="12" spans="1:91" ht="14" customHeight="1">
      <c r="A12" s="74" t="str">
        <f>IF(Poor!A12=0,"",Poor!A12)</f>
        <v>Maize (irrigated): kg produced</v>
      </c>
      <c r="B12" s="101">
        <v>1.4786429794520545E-2</v>
      </c>
      <c r="C12" s="102">
        <v>1.5772191780821922E-2</v>
      </c>
      <c r="D12" s="24">
        <f t="shared" si="0"/>
        <v>3.0558621575342469E-2</v>
      </c>
      <c r="E12" s="75">
        <f>Poor!E12</f>
        <v>1.0900000000000001</v>
      </c>
      <c r="H12" s="24">
        <f t="shared" si="1"/>
        <v>1.0900000000000001</v>
      </c>
      <c r="I12" s="22">
        <f t="shared" si="2"/>
        <v>3.3308897517123293E-2</v>
      </c>
      <c r="J12" s="24">
        <f t="shared" si="3"/>
        <v>1.9630350994276343E-2</v>
      </c>
      <c r="K12" s="22">
        <f t="shared" si="4"/>
        <v>1.4786429794520545E-2</v>
      </c>
      <c r="L12" s="22">
        <f t="shared" si="5"/>
        <v>1.6117208476027396E-2</v>
      </c>
      <c r="M12" s="224">
        <f t="shared" si="6"/>
        <v>1.9630350994276343E-2</v>
      </c>
      <c r="N12" s="229">
        <v>1</v>
      </c>
      <c r="O12" s="2"/>
      <c r="P12" s="22"/>
      <c r="Q12" s="126" t="s">
        <v>124</v>
      </c>
      <c r="R12" s="222">
        <f>IF($B$81=0,0,(SUMIF($N$6:$N$28,$U12,K$6:K$28)+SUMIF($N$91:$N$118,$U12,K$91:K$118))*$B$83*$H$84*Poor!$B$81/$B$81)</f>
        <v>0</v>
      </c>
      <c r="S12" s="222">
        <f>IF($B$81=0,0,(SUMIF($N$6:$N$28,$U12,L$6:L$28)+SUMIF($N$91:$N$118,$U12,L$91:L$118))*$I$83*Poor!$B$81/$B$81)</f>
        <v>0</v>
      </c>
      <c r="T12" s="222">
        <f>IF($B$81=0,0,(SUMIF($N$6:$N$28,$U12,M$6:M$28)+SUMIF($N$91:$N$118,$U12,M$91:M$118))*$I$83*Poor!$B$81/$B$81)</f>
        <v>0</v>
      </c>
      <c r="U12" s="223">
        <v>6</v>
      </c>
      <c r="V12" s="56"/>
      <c r="W12" s="117"/>
      <c r="X12" s="118"/>
      <c r="Y12" s="183">
        <f t="shared" si="9"/>
        <v>7.8521403977105372E-2</v>
      </c>
      <c r="Z12" s="156">
        <f>Poor!Z12</f>
        <v>0</v>
      </c>
      <c r="AA12" s="121">
        <f>$M12*Z12*4</f>
        <v>0</v>
      </c>
      <c r="AB12" s="156">
        <f>Poor!AB12</f>
        <v>0</v>
      </c>
      <c r="AC12" s="121">
        <f>$M12*AB12*4</f>
        <v>0</v>
      </c>
      <c r="AD12" s="156">
        <f>Poor!AD12</f>
        <v>0.67</v>
      </c>
      <c r="AE12" s="121">
        <f>$M12*AD12*4</f>
        <v>5.2609340664660602E-2</v>
      </c>
      <c r="AF12" s="122">
        <f>1-SUM(Z12,AB12,AD12)</f>
        <v>0.32999999999999996</v>
      </c>
      <c r="AG12" s="121">
        <f>$M12*AF12*4</f>
        <v>2.5912063312444771E-2</v>
      </c>
      <c r="AH12" s="123">
        <f t="shared" si="12"/>
        <v>1</v>
      </c>
      <c r="AI12" s="183">
        <f t="shared" si="13"/>
        <v>1.9630350994276343E-2</v>
      </c>
      <c r="AJ12" s="120">
        <f t="shared" si="14"/>
        <v>0</v>
      </c>
      <c r="AK12" s="119">
        <f t="shared" si="15"/>
        <v>3.9260701988552686E-2</v>
      </c>
      <c r="AS12" s="25"/>
      <c r="AT12" s="25"/>
      <c r="AU12" s="25"/>
      <c r="AV12" s="25"/>
      <c r="AW12" s="25"/>
      <c r="AX12" s="25"/>
      <c r="AZ12" s="25"/>
      <c r="BA12" s="25"/>
      <c r="BB12" s="25"/>
      <c r="BC12" s="25"/>
      <c r="BD12" s="25"/>
      <c r="BE12" s="25"/>
      <c r="BF12" s="25"/>
      <c r="BI12" s="25"/>
      <c r="BJ12" s="25"/>
      <c r="BK12" s="25"/>
      <c r="BL12" s="25"/>
      <c r="BM12" s="25"/>
      <c r="BN12" s="25"/>
      <c r="BP12" s="25"/>
      <c r="BQ12" s="25"/>
      <c r="BR12" s="25"/>
      <c r="BS12" s="25"/>
      <c r="BT12" s="25"/>
      <c r="BU12" s="25"/>
      <c r="BV12" s="25"/>
      <c r="BX12" s="25"/>
      <c r="BY12" s="25"/>
      <c r="BZ12" s="25"/>
      <c r="CA12" s="25"/>
      <c r="CB12" s="25"/>
      <c r="CC12" s="25"/>
      <c r="CE12" s="25"/>
      <c r="CF12" s="25"/>
      <c r="CG12" s="25"/>
      <c r="CH12" s="25"/>
      <c r="CI12" s="25"/>
      <c r="CJ12" s="25"/>
      <c r="CK12" s="25"/>
    </row>
    <row r="13" spans="1:91" ht="14" customHeight="1">
      <c r="A13" s="74" t="str">
        <f>IF(Poor!A13=0,"",Poor!A13)</f>
        <v>Beans: kg produced</v>
      </c>
      <c r="B13" s="101">
        <v>3.5514225404732258E-2</v>
      </c>
      <c r="C13" s="102">
        <v>3.3141155043586502E-3</v>
      </c>
      <c r="D13" s="24">
        <f t="shared" si="0"/>
        <v>3.882834090909091E-2</v>
      </c>
      <c r="E13" s="75">
        <f>Poor!E13</f>
        <v>1</v>
      </c>
      <c r="H13" s="24">
        <f t="shared" si="1"/>
        <v>1</v>
      </c>
      <c r="I13" s="22">
        <f t="shared" si="2"/>
        <v>3.882834090909091E-2</v>
      </c>
      <c r="J13" s="24">
        <f t="shared" si="3"/>
        <v>3.6191468929840147E-2</v>
      </c>
      <c r="K13" s="22">
        <f t="shared" si="4"/>
        <v>3.5514225404732258E-2</v>
      </c>
      <c r="L13" s="22">
        <f t="shared" si="5"/>
        <v>3.5514225404732258E-2</v>
      </c>
      <c r="M13" s="225">
        <f t="shared" si="6"/>
        <v>3.6191468929840147E-2</v>
      </c>
      <c r="N13" s="229">
        <v>1</v>
      </c>
      <c r="O13" s="2"/>
      <c r="P13" s="22"/>
      <c r="Q13" s="59" t="s">
        <v>76</v>
      </c>
      <c r="R13" s="222">
        <f>IF($B$81=0,0,(SUMIF($N$6:$N$28,$U13,K$6:K$28)+SUMIF($N$91:$N$118,$U13,K$91:K$118))*$B$83*$H$84*Poor!$B$81/$B$81)</f>
        <v>0</v>
      </c>
      <c r="S13" s="222">
        <f>IF($B$81=0,0,(SUMIF($N$6:$N$28,$U13,L$6:L$28)+SUMIF($N$91:$N$118,$U13,L$91:L$118))*$I$83*Poor!$B$81/$B$81)</f>
        <v>0</v>
      </c>
      <c r="T13" s="222">
        <f>IF($B$81=0,0,(SUMIF($N$6:$N$28,$U13,M$6:M$28)+SUMIF($N$91:$N$118,$U13,M$91:M$118))*$I$83*Poor!$B$81/$B$81)</f>
        <v>0</v>
      </c>
      <c r="U13" s="223">
        <v>7</v>
      </c>
      <c r="V13" s="56"/>
      <c r="W13" s="110"/>
      <c r="X13" s="118"/>
      <c r="Y13" s="183">
        <f t="shared" si="9"/>
        <v>0.14476587571936059</v>
      </c>
      <c r="Z13" s="156">
        <f>Poor!Z13</f>
        <v>1</v>
      </c>
      <c r="AA13" s="121">
        <f>$M13*Z13*4</f>
        <v>0.14476587571936059</v>
      </c>
      <c r="AB13" s="156">
        <f>Poor!AB13</f>
        <v>0</v>
      </c>
      <c r="AC13" s="121">
        <f>$M13*AB13*4</f>
        <v>0</v>
      </c>
      <c r="AD13" s="156">
        <f>Poor!AD13</f>
        <v>0</v>
      </c>
      <c r="AE13" s="121">
        <f>$M13*AD13*4</f>
        <v>0</v>
      </c>
      <c r="AF13" s="122">
        <f>1-SUM(Z13,AB13,AD13)</f>
        <v>0</v>
      </c>
      <c r="AG13" s="121">
        <f>$M13*AF13*4</f>
        <v>0</v>
      </c>
      <c r="AH13" s="123">
        <f t="shared" si="12"/>
        <v>1</v>
      </c>
      <c r="AI13" s="183">
        <f t="shared" si="13"/>
        <v>3.6191468929840147E-2</v>
      </c>
      <c r="AJ13" s="120">
        <f t="shared" si="14"/>
        <v>7.2382937859680294E-2</v>
      </c>
      <c r="AK13" s="119">
        <f t="shared" si="15"/>
        <v>0</v>
      </c>
      <c r="AS13" s="25"/>
      <c r="AT13" s="25"/>
      <c r="AU13" s="25"/>
      <c r="AV13" s="25"/>
      <c r="AW13" s="25"/>
      <c r="AX13" s="25"/>
      <c r="AZ13" s="25"/>
      <c r="BA13" s="25"/>
      <c r="BB13" s="25"/>
      <c r="BC13" s="25"/>
      <c r="BD13" s="25"/>
      <c r="BE13" s="25"/>
      <c r="BF13" s="25"/>
      <c r="BI13" s="25"/>
      <c r="BJ13" s="25"/>
      <c r="BK13" s="25"/>
      <c r="BL13" s="25"/>
      <c r="BM13" s="25"/>
      <c r="BN13" s="25"/>
      <c r="BP13" s="25"/>
      <c r="BQ13" s="25"/>
      <c r="BR13" s="25"/>
      <c r="BS13" s="25"/>
      <c r="BT13" s="25"/>
      <c r="BU13" s="25"/>
      <c r="BV13" s="25"/>
      <c r="BX13" s="25"/>
      <c r="BY13" s="25"/>
      <c r="BZ13" s="25"/>
      <c r="CA13" s="25"/>
      <c r="CB13" s="25"/>
      <c r="CC13" s="25"/>
      <c r="CE13" s="25"/>
      <c r="CF13" s="25"/>
      <c r="CG13" s="25"/>
      <c r="CH13" s="25"/>
      <c r="CI13" s="25"/>
      <c r="CJ13" s="25"/>
      <c r="CK13" s="25"/>
    </row>
    <row r="14" spans="1:91" ht="14" customHeight="1">
      <c r="A14" s="74" t="str">
        <f>IF(Poor!A14=0,"",Poor!A14)</f>
        <v>Cowpeas: kg produced</v>
      </c>
      <c r="B14" s="101">
        <v>3.3238916562889163E-3</v>
      </c>
      <c r="C14" s="102">
        <v>0</v>
      </c>
      <c r="D14" s="24">
        <f t="shared" si="0"/>
        <v>3.3238916562889163E-3</v>
      </c>
      <c r="E14" s="75">
        <f>Poor!E14</f>
        <v>1</v>
      </c>
      <c r="F14" s="22"/>
      <c r="H14" s="24">
        <f t="shared" si="1"/>
        <v>1</v>
      </c>
      <c r="I14" s="22">
        <f t="shared" si="2"/>
        <v>3.3238916562889163E-3</v>
      </c>
      <c r="J14" s="24">
        <f>IF(I$32&lt;=1+I131,I14,B14*H14+J$33*(I14-B14*H14))</f>
        <v>3.3238916562889163E-3</v>
      </c>
      <c r="K14" s="22">
        <f t="shared" si="4"/>
        <v>3.3238916562889163E-3</v>
      </c>
      <c r="L14" s="22">
        <f t="shared" si="5"/>
        <v>3.3238916562889163E-3</v>
      </c>
      <c r="M14" s="225">
        <f t="shared" si="6"/>
        <v>3.3238916562889163E-3</v>
      </c>
      <c r="N14" s="229">
        <v>1</v>
      </c>
      <c r="O14" s="2"/>
      <c r="P14" s="22"/>
      <c r="Q14" s="126" t="s">
        <v>77</v>
      </c>
      <c r="R14" s="222">
        <f>IF($B$81=0,0,(SUMIF($N$6:$N$28,$U14,K$6:K$28)+SUMIF($N$91:$N$118,$U14,K$91:K$118))*$B$83*$H$84*Poor!$B$81/$B$81)</f>
        <v>44596.9576779583</v>
      </c>
      <c r="S14" s="222">
        <f>IF($B$81=0,0,(SUMIF($N$6:$N$28,$U14,L$6:L$28)+SUMIF($N$91:$N$118,$U14,L$91:L$118))*$I$83*Poor!$B$81/$B$81)</f>
        <v>28589.714285714286</v>
      </c>
      <c r="T14" s="222">
        <f>IF($B$81=0,0,(SUMIF($N$6:$N$28,$U14,M$6:M$28)+SUMIF($N$91:$N$118,$U14,M$91:M$118))*$I$83*Poor!$B$81/$B$81)</f>
        <v>28589.714285714286</v>
      </c>
      <c r="U14" s="223">
        <v>8</v>
      </c>
      <c r="V14" s="56"/>
      <c r="W14" s="110"/>
      <c r="X14" s="118"/>
      <c r="Y14" s="183">
        <f>M14*4</f>
        <v>1.3295566625155665E-2</v>
      </c>
      <c r="Z14" s="156">
        <f>Poor!Z14</f>
        <v>0</v>
      </c>
      <c r="AA14" s="121">
        <f t="shared" ref="AA14:AA29" si="16">$M14*Z14*4</f>
        <v>0</v>
      </c>
      <c r="AB14" s="156">
        <f>Poor!AB14</f>
        <v>1</v>
      </c>
      <c r="AC14" s="121">
        <f t="shared" si="7"/>
        <v>1.3295566625155665E-2</v>
      </c>
      <c r="AD14" s="156">
        <f>Poor!AD14</f>
        <v>0</v>
      </c>
      <c r="AE14" s="121">
        <f t="shared" si="8"/>
        <v>0</v>
      </c>
      <c r="AF14" s="122">
        <f t="shared" si="10"/>
        <v>0</v>
      </c>
      <c r="AG14" s="121">
        <f t="shared" si="11"/>
        <v>0</v>
      </c>
      <c r="AH14" s="128">
        <f>SUM(Z14,AB14,AD14,AF14)</f>
        <v>1</v>
      </c>
      <c r="AI14" s="183">
        <f>SUM(AA14,AC14,AE14,AG14)/4</f>
        <v>3.3238916562889163E-3</v>
      </c>
      <c r="AJ14" s="120">
        <f t="shared" si="14"/>
        <v>6.6477833125778325E-3</v>
      </c>
      <c r="AK14" s="119">
        <f t="shared" si="15"/>
        <v>0</v>
      </c>
      <c r="AS14" s="25"/>
      <c r="AT14" s="25"/>
      <c r="AU14" s="25"/>
      <c r="AV14" s="25"/>
      <c r="AW14" s="25"/>
      <c r="AX14" s="25"/>
      <c r="AZ14" s="25"/>
      <c r="BA14" s="25"/>
      <c r="BB14" s="25"/>
      <c r="BC14" s="25"/>
      <c r="BD14" s="25"/>
      <c r="BE14" s="25"/>
      <c r="BF14" s="25"/>
      <c r="BI14" s="25"/>
      <c r="BJ14" s="25"/>
      <c r="BK14" s="25"/>
      <c r="BL14" s="25"/>
      <c r="BM14" s="25"/>
      <c r="BN14" s="25"/>
      <c r="BP14" s="25"/>
      <c r="BQ14" s="25"/>
      <c r="BR14" s="25"/>
      <c r="BS14" s="25"/>
      <c r="BT14" s="25"/>
      <c r="BU14" s="25"/>
      <c r="BV14" s="25"/>
      <c r="BX14" s="25"/>
      <c r="BY14" s="25"/>
      <c r="BZ14" s="25"/>
      <c r="CA14" s="25"/>
      <c r="CB14" s="25"/>
      <c r="CC14" s="25"/>
      <c r="CE14" s="25"/>
      <c r="CF14" s="25"/>
      <c r="CG14" s="25"/>
      <c r="CH14" s="25"/>
      <c r="CI14" s="25"/>
      <c r="CJ14" s="25"/>
      <c r="CK14" s="25"/>
    </row>
    <row r="15" spans="1:91" ht="14" customHeight="1">
      <c r="A15" s="74" t="str">
        <f>IF(Poor!A15=0,"",Poor!A15)</f>
        <v>Potato: kg produced</v>
      </c>
      <c r="B15" s="101">
        <v>1.4482726811493934E-3</v>
      </c>
      <c r="C15" s="102">
        <v>2.8965453622987873E-3</v>
      </c>
      <c r="D15" s="24">
        <f t="shared" si="0"/>
        <v>4.3448180434481811E-3</v>
      </c>
      <c r="E15" s="75">
        <f>Poor!E15</f>
        <v>1</v>
      </c>
      <c r="F15" s="22"/>
      <c r="H15" s="24">
        <f t="shared" si="1"/>
        <v>1</v>
      </c>
      <c r="I15" s="22">
        <f t="shared" si="2"/>
        <v>4.3448180434481811E-3</v>
      </c>
      <c r="J15" s="24">
        <f>IF(I$32&lt;=1+I131,I15,B15*H15+J$33*(I15-B15*H15))</f>
        <v>2.0401852409917391E-3</v>
      </c>
      <c r="K15" s="22">
        <f t="shared" si="4"/>
        <v>1.4482726811493934E-3</v>
      </c>
      <c r="L15" s="22">
        <f t="shared" si="5"/>
        <v>1.4482726811493934E-3</v>
      </c>
      <c r="M15" s="226">
        <f t="shared" si="6"/>
        <v>2.0401852409917391E-3</v>
      </c>
      <c r="N15" s="229">
        <v>1</v>
      </c>
      <c r="O15" s="2"/>
      <c r="P15" s="22"/>
      <c r="Q15" s="59" t="s">
        <v>126</v>
      </c>
      <c r="R15" s="222">
        <f>IF($B$81=0,0,(SUMIF($N$6:$N$28,$U15,K$6:K$28)+SUMIF($N$91:$N$118,$U15,K$91:K$118))*$B$83*$H$84*Poor!$B$81/$B$81)</f>
        <v>2243.8720844255745</v>
      </c>
      <c r="S15" s="222">
        <f>IF($B$81=0,0,(SUMIF($N$6:$N$28,$U15,L$6:L$28)+SUMIF($N$91:$N$118,$U15,L$91:L$118))*$I$83*Poor!$B$81/$B$81)</f>
        <v>1798.0952380952383</v>
      </c>
      <c r="T15" s="222">
        <f>IF($B$81=0,0,(SUMIF($N$6:$N$28,$U15,M$6:M$28)+SUMIF($N$91:$N$118,$U15,M$91:M$118))*$I$83*Poor!$B$81/$B$81)</f>
        <v>1798.0952380952383</v>
      </c>
      <c r="U15" s="223">
        <v>9</v>
      </c>
      <c r="V15" s="56"/>
      <c r="W15" s="110"/>
      <c r="X15" s="118"/>
      <c r="Y15" s="183">
        <f t="shared" si="9"/>
        <v>8.1607409639669563E-3</v>
      </c>
      <c r="Z15" s="156">
        <f>Poor!Z15</f>
        <v>0.25</v>
      </c>
      <c r="AA15" s="121">
        <f t="shared" si="16"/>
        <v>2.0401852409917391E-3</v>
      </c>
      <c r="AB15" s="156">
        <f>Poor!AB15</f>
        <v>0.25</v>
      </c>
      <c r="AC15" s="121">
        <f t="shared" si="7"/>
        <v>2.0401852409917391E-3</v>
      </c>
      <c r="AD15" s="156">
        <f>Poor!AD15</f>
        <v>0.25</v>
      </c>
      <c r="AE15" s="121">
        <f t="shared" si="8"/>
        <v>2.0401852409917391E-3</v>
      </c>
      <c r="AF15" s="122">
        <f t="shared" si="10"/>
        <v>0.25</v>
      </c>
      <c r="AG15" s="121">
        <f t="shared" si="11"/>
        <v>2.0401852409917391E-3</v>
      </c>
      <c r="AH15" s="123">
        <f t="shared" si="12"/>
        <v>1</v>
      </c>
      <c r="AI15" s="183">
        <f t="shared" si="13"/>
        <v>2.0401852409917391E-3</v>
      </c>
      <c r="AJ15" s="120">
        <f t="shared" si="14"/>
        <v>2.0401852409917391E-3</v>
      </c>
      <c r="AK15" s="119">
        <f t="shared" si="15"/>
        <v>2.0401852409917391E-3</v>
      </c>
      <c r="AS15" s="25"/>
      <c r="AT15" s="25"/>
      <c r="AU15" s="25"/>
      <c r="AV15" s="25"/>
      <c r="AW15" s="25"/>
      <c r="AX15" s="25"/>
      <c r="AZ15" s="25"/>
      <c r="BA15" s="25"/>
      <c r="BB15" s="25"/>
      <c r="BC15" s="25"/>
      <c r="BD15" s="25"/>
      <c r="BE15" s="25"/>
      <c r="BF15" s="25"/>
      <c r="BI15" s="25"/>
      <c r="BJ15" s="25"/>
      <c r="BK15" s="25"/>
      <c r="BL15" s="25"/>
      <c r="BM15" s="25"/>
      <c r="BN15" s="25"/>
      <c r="BP15" s="25"/>
      <c r="BQ15" s="25"/>
      <c r="BR15" s="25"/>
      <c r="BS15" s="25"/>
      <c r="BT15" s="25"/>
      <c r="BU15" s="25"/>
      <c r="BV15" s="25"/>
      <c r="BX15" s="25"/>
      <c r="BY15" s="25"/>
      <c r="BZ15" s="25"/>
      <c r="CA15" s="25"/>
      <c r="CB15" s="25"/>
      <c r="CC15" s="25"/>
      <c r="CE15" s="25"/>
      <c r="CF15" s="25"/>
      <c r="CG15" s="25"/>
      <c r="CH15" s="25"/>
      <c r="CI15" s="25"/>
      <c r="CJ15" s="25"/>
      <c r="CK15" s="25"/>
    </row>
    <row r="16" spans="1:91" ht="14" customHeight="1">
      <c r="A16" s="74" t="str">
        <f>IF(Poor!A16=0,"",Poor!A16)</f>
        <v>Sweet potato: no. local meas</v>
      </c>
      <c r="B16" s="101">
        <v>1.7191977999169782E-2</v>
      </c>
      <c r="C16" s="102">
        <v>4.1958229555832303E-2</v>
      </c>
      <c r="D16" s="24">
        <f t="shared" si="0"/>
        <v>5.9150207555002082E-2</v>
      </c>
      <c r="E16" s="75">
        <f>Poor!E16</f>
        <v>1</v>
      </c>
      <c r="F16" s="22"/>
      <c r="H16" s="24">
        <f t="shared" si="1"/>
        <v>1</v>
      </c>
      <c r="I16" s="22">
        <f t="shared" si="2"/>
        <v>5.9150207555002082E-2</v>
      </c>
      <c r="J16" s="24">
        <f>IF(I$32&lt;=1+I131,I16,B16*H16+J$33*(I16-B16*H16))</f>
        <v>2.5766193126646731E-2</v>
      </c>
      <c r="K16" s="22">
        <f t="shared" si="4"/>
        <v>1.7191977999169782E-2</v>
      </c>
      <c r="L16" s="22">
        <f t="shared" si="5"/>
        <v>1.7191977999169782E-2</v>
      </c>
      <c r="M16" s="224">
        <f t="shared" si="6"/>
        <v>2.5766193126646731E-2</v>
      </c>
      <c r="N16" s="229">
        <v>1</v>
      </c>
      <c r="O16" s="2"/>
      <c r="P16" s="22"/>
      <c r="Q16" s="126" t="s">
        <v>78</v>
      </c>
      <c r="R16" s="222">
        <f>IF($B$81=0,0,(SUMIF($N$6:$N$28,$U16,K$6:K$28)+SUMIF($N$91:$N$118,$U16,K$91:K$118))*$B$83*$H$84*Poor!$B$81/$B$81)</f>
        <v>673.16162532767248</v>
      </c>
      <c r="S16" s="222">
        <f>IF($B$81=0,0,(SUMIF($N$6:$N$28,$U16,L$6:L$28)+SUMIF($N$91:$N$118,$U16,L$91:L$118))*$I$83*Poor!$B$81/$B$81)</f>
        <v>365.71428571428572</v>
      </c>
      <c r="T16" s="222">
        <f>IF($B$81=0,0,(SUMIF($N$6:$N$28,$U16,M$6:M$28)+SUMIF($N$91:$N$118,$U16,M$91:M$118))*$I$83*Poor!$B$81/$B$81)</f>
        <v>380.66111733278029</v>
      </c>
      <c r="U16" s="223">
        <v>10</v>
      </c>
      <c r="V16" s="56"/>
      <c r="W16" s="110"/>
      <c r="X16" s="118"/>
      <c r="Y16" s="183">
        <f t="shared" si="9"/>
        <v>0.10306477250658692</v>
      </c>
      <c r="Z16" s="156">
        <f>Poor!Z16</f>
        <v>0</v>
      </c>
      <c r="AA16" s="121">
        <f t="shared" si="16"/>
        <v>0</v>
      </c>
      <c r="AB16" s="156">
        <f>Poor!AB16</f>
        <v>0</v>
      </c>
      <c r="AC16" s="121">
        <f t="shared" si="7"/>
        <v>0</v>
      </c>
      <c r="AD16" s="156">
        <f>Poor!AD16</f>
        <v>0</v>
      </c>
      <c r="AE16" s="121">
        <f t="shared" si="8"/>
        <v>0</v>
      </c>
      <c r="AF16" s="122">
        <f t="shared" si="10"/>
        <v>1</v>
      </c>
      <c r="AG16" s="121">
        <f t="shared" si="11"/>
        <v>0.10306477250658692</v>
      </c>
      <c r="AH16" s="123">
        <f t="shared" si="12"/>
        <v>1</v>
      </c>
      <c r="AI16" s="183">
        <f t="shared" si="13"/>
        <v>2.5766193126646731E-2</v>
      </c>
      <c r="AJ16" s="120">
        <f t="shared" si="14"/>
        <v>0</v>
      </c>
      <c r="AK16" s="119">
        <f t="shared" si="15"/>
        <v>5.1532386253293462E-2</v>
      </c>
      <c r="AS16" s="25"/>
      <c r="AT16" s="25"/>
      <c r="AU16" s="25"/>
      <c r="AV16" s="25"/>
      <c r="AW16" s="25"/>
      <c r="AX16" s="25"/>
      <c r="AZ16" s="25"/>
      <c r="BA16" s="25"/>
      <c r="BB16" s="25"/>
      <c r="BC16" s="25"/>
      <c r="BD16" s="25"/>
      <c r="BE16" s="25"/>
      <c r="BF16" s="25"/>
      <c r="BI16" s="25"/>
      <c r="BJ16" s="25"/>
      <c r="BK16" s="25"/>
      <c r="BL16" s="25"/>
      <c r="BM16" s="25"/>
      <c r="BN16" s="25"/>
      <c r="BP16" s="25"/>
      <c r="BQ16" s="25"/>
      <c r="BR16" s="25"/>
      <c r="BS16" s="25"/>
      <c r="BT16" s="25"/>
      <c r="BU16" s="25"/>
      <c r="BV16" s="25"/>
      <c r="BX16" s="25"/>
      <c r="BY16" s="25"/>
      <c r="BZ16" s="25"/>
      <c r="CA16" s="25"/>
      <c r="CB16" s="25"/>
      <c r="CC16" s="25"/>
      <c r="CE16" s="25"/>
      <c r="CF16" s="25"/>
      <c r="CG16" s="25"/>
      <c r="CH16" s="25"/>
      <c r="CI16" s="25"/>
      <c r="CJ16" s="25"/>
      <c r="CK16" s="25"/>
    </row>
    <row r="17" spans="1:89" ht="14" customHeight="1">
      <c r="A17" s="74" t="str">
        <f>IF(Poor!A17=0,"",Poor!A17)</f>
        <v>Water melon: no. local meas</v>
      </c>
      <c r="B17" s="101">
        <v>3.7226805728518054E-3</v>
      </c>
      <c r="C17" s="102">
        <v>0</v>
      </c>
      <c r="D17" s="24">
        <f t="shared" si="0"/>
        <v>3.7226805728518054E-3</v>
      </c>
      <c r="E17" s="75">
        <f>Poor!E17</f>
        <v>1</v>
      </c>
      <c r="F17" s="22"/>
      <c r="H17" s="24">
        <f t="shared" si="1"/>
        <v>1</v>
      </c>
      <c r="I17" s="22">
        <f t="shared" si="2"/>
        <v>3.7226805728518054E-3</v>
      </c>
      <c r="J17" s="24">
        <f t="shared" ref="J17:J25" si="17">IF(I$32&lt;=1+I131,I17,B17*H17+J$33*(I17-B17*H17))</f>
        <v>3.7226805728518054E-3</v>
      </c>
      <c r="K17" s="22">
        <f t="shared" si="4"/>
        <v>3.7226805728518054E-3</v>
      </c>
      <c r="L17" s="22">
        <f t="shared" si="5"/>
        <v>3.7226805728518054E-3</v>
      </c>
      <c r="M17" s="225">
        <f t="shared" si="6"/>
        <v>3.7226805728518054E-3</v>
      </c>
      <c r="N17" s="229">
        <v>1</v>
      </c>
      <c r="O17" s="2"/>
      <c r="P17" s="22"/>
      <c r="Q17" s="126" t="s">
        <v>125</v>
      </c>
      <c r="R17" s="222">
        <f>IF($B$81=0,0,(SUMIF($N$6:$N$28,$U17,K$6:K$28)+SUMIF($N$91:$N$118,$U17,K$91:K$118))*$B$83*$H$84*Poor!$B$81/$B$81)</f>
        <v>60360.159071047958</v>
      </c>
      <c r="S17" s="222">
        <f>IF($B$81=0,0,(SUMIF($N$6:$N$28,$U17,L$6:L$28)+SUMIF($N$91:$N$118,$U17,L$91:L$118))*$I$83*Poor!$B$81/$B$81)</f>
        <v>38695.009523809524</v>
      </c>
      <c r="T17" s="222">
        <f>IF($B$81=0,0,(SUMIF($N$6:$N$28,$U17,M$6:M$28)+SUMIF($N$91:$N$118,$U17,M$91:M$118))*$I$83*Poor!$B$81/$B$81)</f>
        <v>38695.009523809524</v>
      </c>
      <c r="U17" s="223">
        <v>11</v>
      </c>
      <c r="V17" s="56"/>
      <c r="W17" s="110"/>
      <c r="X17" s="118"/>
      <c r="Y17" s="183">
        <f t="shared" si="9"/>
        <v>1.4890722291407222E-2</v>
      </c>
      <c r="Z17" s="156">
        <f>Poor!Z17</f>
        <v>0.29409999999999997</v>
      </c>
      <c r="AA17" s="121">
        <f t="shared" si="16"/>
        <v>4.3793614259028633E-3</v>
      </c>
      <c r="AB17" s="156">
        <f>Poor!AB17</f>
        <v>0.17649999999999999</v>
      </c>
      <c r="AC17" s="121">
        <f t="shared" si="7"/>
        <v>2.6282124844333745E-3</v>
      </c>
      <c r="AD17" s="156">
        <f>Poor!AD17</f>
        <v>0.23530000000000001</v>
      </c>
      <c r="AE17" s="121">
        <f t="shared" si="8"/>
        <v>3.5037869551681196E-3</v>
      </c>
      <c r="AF17" s="122">
        <f t="shared" si="10"/>
        <v>0.29410000000000003</v>
      </c>
      <c r="AG17" s="121">
        <f t="shared" si="11"/>
        <v>4.3793614259028642E-3</v>
      </c>
      <c r="AH17" s="123">
        <f t="shared" si="12"/>
        <v>1</v>
      </c>
      <c r="AI17" s="183">
        <f t="shared" si="13"/>
        <v>3.7226805728518058E-3</v>
      </c>
      <c r="AJ17" s="120">
        <f t="shared" si="14"/>
        <v>3.5037869551681191E-3</v>
      </c>
      <c r="AK17" s="119">
        <f t="shared" si="15"/>
        <v>3.9415741905354917E-3</v>
      </c>
      <c r="AS17" s="25"/>
      <c r="AT17" s="25"/>
      <c r="AU17" s="25"/>
      <c r="AV17" s="25"/>
      <c r="AW17" s="25"/>
      <c r="AX17" s="25"/>
      <c r="AZ17" s="25"/>
      <c r="BA17" s="25"/>
      <c r="BB17" s="25"/>
      <c r="BC17" s="25"/>
      <c r="BD17" s="25"/>
      <c r="BE17" s="25"/>
      <c r="BF17" s="25"/>
      <c r="BI17" s="25"/>
      <c r="BJ17" s="25"/>
      <c r="BK17" s="25"/>
      <c r="BL17" s="25"/>
      <c r="BM17" s="25"/>
      <c r="BN17" s="25"/>
      <c r="BP17" s="25"/>
      <c r="BQ17" s="25"/>
      <c r="BR17" s="25"/>
      <c r="BS17" s="25"/>
      <c r="BT17" s="25"/>
      <c r="BU17" s="25"/>
      <c r="BV17" s="25"/>
      <c r="BX17" s="25"/>
      <c r="BY17" s="25"/>
      <c r="BZ17" s="25"/>
      <c r="CA17" s="25"/>
      <c r="CB17" s="25"/>
      <c r="CC17" s="25"/>
      <c r="CE17" s="25"/>
      <c r="CF17" s="25"/>
      <c r="CG17" s="25"/>
      <c r="CH17" s="25"/>
      <c r="CI17" s="25"/>
      <c r="CJ17" s="25"/>
      <c r="CK17" s="25"/>
    </row>
    <row r="18" spans="1:89" ht="14" customHeight="1">
      <c r="A18" s="74" t="str">
        <f>IF(Poor!A18=0,"",Poor!A18)</f>
        <v>Groundnuts (dry): no. local meas</v>
      </c>
      <c r="B18" s="101">
        <v>1.8777241594022415E-2</v>
      </c>
      <c r="C18" s="102">
        <v>1.1266344956413451E-2</v>
      </c>
      <c r="D18" s="24">
        <f t="shared" ref="D18:D25" si="18">(B18+C18)</f>
        <v>3.0043586550435868E-2</v>
      </c>
      <c r="E18" s="75">
        <f>Poor!E18</f>
        <v>1</v>
      </c>
      <c r="F18" s="22"/>
      <c r="H18" s="24">
        <f t="shared" ref="H18:H25" si="19">(E18*F$7/F$9)</f>
        <v>1</v>
      </c>
      <c r="I18" s="22">
        <f t="shared" ref="I18:I25" si="20">(D18*H18)</f>
        <v>3.0043586550435868E-2</v>
      </c>
      <c r="J18" s="24">
        <f t="shared" si="17"/>
        <v>2.1079532857959365E-2</v>
      </c>
      <c r="K18" s="22">
        <f t="shared" ref="K18:K25" si="21">B18</f>
        <v>1.8777241594022415E-2</v>
      </c>
      <c r="L18" s="22">
        <f t="shared" ref="L18:L25" si="22">IF(K18="","",K18*H18)</f>
        <v>1.8777241594022415E-2</v>
      </c>
      <c r="M18" s="225">
        <f t="shared" ref="M18:M25" si="23">J18</f>
        <v>2.1079532857959365E-2</v>
      </c>
      <c r="N18" s="229">
        <v>1</v>
      </c>
      <c r="O18" s="2"/>
      <c r="P18" s="22"/>
      <c r="Q18" s="59" t="s">
        <v>79</v>
      </c>
      <c r="R18" s="222">
        <f>IF($B$81=0,0,(SUMIF($N$6:$N$28,$U18,K$6:K$28)+SUMIF($N$91:$N$118,$U18,K$91:K$118))*$B$83*$H$84*Poor!$B$81/$B$81)</f>
        <v>667.85464453449299</v>
      </c>
      <c r="S18" s="222">
        <f>IF($B$81=0,0,(SUMIF($N$6:$N$28,$U18,L$6:L$28)+SUMIF($N$91:$N$118,$U18,L$91:L$118))*$I$83*Poor!$B$81/$B$81)</f>
        <v>748.33917834594592</v>
      </c>
      <c r="T18" s="222">
        <f>IF($B$81=0,0,(SUMIF($N$6:$N$28,$U18,M$6:M$28)+SUMIF($N$91:$N$118,$U18,M$91:M$118))*$I$83*Poor!$B$81/$B$81)</f>
        <v>748.33917834594592</v>
      </c>
      <c r="U18" s="223">
        <v>12</v>
      </c>
      <c r="V18" s="56"/>
      <c r="W18" s="110"/>
      <c r="X18" s="118"/>
      <c r="Y18" s="183"/>
      <c r="Z18" s="156"/>
      <c r="AA18" s="121"/>
      <c r="AB18" s="156"/>
      <c r="AC18" s="121"/>
      <c r="AD18" s="156"/>
      <c r="AE18" s="121"/>
      <c r="AF18" s="122"/>
      <c r="AG18" s="121"/>
      <c r="AH18" s="123"/>
      <c r="AI18" s="183"/>
      <c r="AJ18" s="120"/>
      <c r="AK18" s="119"/>
      <c r="AS18" s="25"/>
      <c r="AT18" s="25"/>
      <c r="AU18" s="25"/>
      <c r="AV18" s="25"/>
      <c r="AW18" s="25"/>
      <c r="AX18" s="25"/>
      <c r="AZ18" s="25"/>
      <c r="BA18" s="25"/>
      <c r="BB18" s="25"/>
      <c r="BC18" s="25"/>
      <c r="BD18" s="25"/>
      <c r="BE18" s="25"/>
      <c r="BF18" s="25"/>
      <c r="BI18" s="25"/>
      <c r="BJ18" s="25"/>
      <c r="BK18" s="25"/>
      <c r="BL18" s="25"/>
      <c r="BM18" s="25"/>
      <c r="BN18" s="25"/>
      <c r="BP18" s="25"/>
      <c r="BQ18" s="25"/>
      <c r="BR18" s="25"/>
      <c r="BS18" s="25"/>
      <c r="BT18" s="25"/>
      <c r="BU18" s="25"/>
      <c r="BV18" s="25"/>
      <c r="BX18" s="25"/>
      <c r="BY18" s="25"/>
      <c r="BZ18" s="25"/>
      <c r="CA18" s="25"/>
      <c r="CB18" s="25"/>
      <c r="CC18" s="25"/>
      <c r="CE18" s="25"/>
      <c r="CF18" s="25"/>
      <c r="CG18" s="25"/>
      <c r="CH18" s="25"/>
      <c r="CI18" s="25"/>
      <c r="CJ18" s="25"/>
      <c r="CK18" s="25"/>
    </row>
    <row r="19" spans="1:89" ht="14" customHeight="1">
      <c r="A19" s="74" t="str">
        <f>IF(Poor!A19=0,"",Poor!A19)</f>
        <v>Other crop: Rape</v>
      </c>
      <c r="B19" s="101">
        <v>6.9096357409713571E-3</v>
      </c>
      <c r="C19" s="102">
        <v>9.1259339975093467E-4</v>
      </c>
      <c r="D19" s="24">
        <f t="shared" si="18"/>
        <v>7.8222291407222914E-3</v>
      </c>
      <c r="E19" s="75">
        <f>Poor!E19</f>
        <v>1</v>
      </c>
      <c r="F19" s="22"/>
      <c r="H19" s="24">
        <f t="shared" si="19"/>
        <v>1</v>
      </c>
      <c r="I19" s="22">
        <f t="shared" si="20"/>
        <v>7.8222291407222914E-3</v>
      </c>
      <c r="J19" s="24">
        <f t="shared" si="17"/>
        <v>7.0961253096736765E-3</v>
      </c>
      <c r="K19" s="22">
        <f t="shared" si="21"/>
        <v>6.9096357409713571E-3</v>
      </c>
      <c r="L19" s="22">
        <f t="shared" si="22"/>
        <v>6.9096357409713571E-3</v>
      </c>
      <c r="M19" s="225">
        <f t="shared" si="23"/>
        <v>7.0961253096736765E-3</v>
      </c>
      <c r="N19" s="229">
        <v>1</v>
      </c>
      <c r="O19" s="2"/>
      <c r="P19" s="22"/>
      <c r="Q19" s="59" t="s">
        <v>80</v>
      </c>
      <c r="R19" s="222">
        <f>IF($B$81=0,0,(SUMIF($N$6:$N$28,$U19,K$6:K$28)+SUMIF($N$91:$N$118,$U19,K$91:K$118))*$B$83*$H$84*Poor!$B$81/$B$81)</f>
        <v>47.648473426967655</v>
      </c>
      <c r="S19" s="222">
        <f>IF($B$81=0,0,(SUMIF($N$6:$N$28,$U19,L$6:L$28)+SUMIF($N$91:$N$118,$U19,L$91:L$118))*$I$83*Poor!$B$81/$B$81)</f>
        <v>53.390688745796396</v>
      </c>
      <c r="T19" s="222">
        <f>IF($B$81=0,0,(SUMIF($N$6:$N$28,$U19,M$6:M$28)+SUMIF($N$91:$N$118,$U19,M$91:M$118))*$I$83*Poor!$B$81/$B$81)</f>
        <v>53.390688745796396</v>
      </c>
      <c r="U19" s="223">
        <v>13</v>
      </c>
      <c r="V19" s="56"/>
      <c r="W19" s="110"/>
      <c r="X19" s="118"/>
      <c r="Y19" s="183"/>
      <c r="Z19" s="156"/>
      <c r="AA19" s="121"/>
      <c r="AB19" s="156"/>
      <c r="AC19" s="121"/>
      <c r="AD19" s="156"/>
      <c r="AE19" s="121"/>
      <c r="AF19" s="122"/>
      <c r="AG19" s="121"/>
      <c r="AH19" s="123"/>
      <c r="AI19" s="183"/>
      <c r="AJ19" s="120"/>
      <c r="AK19" s="119"/>
      <c r="AS19" s="25"/>
      <c r="AT19" s="25"/>
      <c r="AU19" s="25"/>
      <c r="AV19" s="25"/>
      <c r="AW19" s="25"/>
      <c r="AX19" s="25"/>
      <c r="AZ19" s="25"/>
      <c r="BA19" s="25"/>
      <c r="BB19" s="25"/>
      <c r="BC19" s="25"/>
      <c r="BD19" s="25"/>
      <c r="BE19" s="25"/>
      <c r="BF19" s="25"/>
      <c r="BI19" s="25"/>
      <c r="BJ19" s="25"/>
      <c r="BK19" s="25"/>
      <c r="BL19" s="25"/>
      <c r="BM19" s="25"/>
      <c r="BN19" s="25"/>
      <c r="BP19" s="25"/>
      <c r="BQ19" s="25"/>
      <c r="BR19" s="25"/>
      <c r="BS19" s="25"/>
      <c r="BT19" s="25"/>
      <c r="BU19" s="25"/>
      <c r="BV19" s="25"/>
      <c r="BX19" s="25"/>
      <c r="BY19" s="25"/>
      <c r="BZ19" s="25"/>
      <c r="CA19" s="25"/>
      <c r="CB19" s="25"/>
      <c r="CC19" s="25"/>
      <c r="CE19" s="25"/>
      <c r="CF19" s="25"/>
      <c r="CG19" s="25"/>
      <c r="CH19" s="25"/>
      <c r="CI19" s="25"/>
      <c r="CJ19" s="25"/>
      <c r="CK19" s="25"/>
    </row>
    <row r="20" spans="1:89" ht="14" customHeight="1">
      <c r="A20" s="74" t="str">
        <f>IF(Poor!A20=0,"",Poor!A20)</f>
        <v>Other crop: pumpkin</v>
      </c>
      <c r="B20" s="101">
        <v>0</v>
      </c>
      <c r="C20" s="102">
        <v>0</v>
      </c>
      <c r="D20" s="24">
        <f t="shared" si="18"/>
        <v>0</v>
      </c>
      <c r="E20" s="75">
        <f>Poor!E20</f>
        <v>1</v>
      </c>
      <c r="F20" s="22"/>
      <c r="H20" s="24">
        <f t="shared" si="19"/>
        <v>1</v>
      </c>
      <c r="I20" s="22">
        <f t="shared" si="20"/>
        <v>0</v>
      </c>
      <c r="J20" s="24">
        <f t="shared" si="17"/>
        <v>0</v>
      </c>
      <c r="K20" s="22">
        <f t="shared" si="21"/>
        <v>0</v>
      </c>
      <c r="L20" s="22">
        <f t="shared" si="22"/>
        <v>0</v>
      </c>
      <c r="M20" s="225">
        <f t="shared" si="23"/>
        <v>0</v>
      </c>
      <c r="N20" s="229">
        <v>1</v>
      </c>
      <c r="O20" s="2"/>
      <c r="P20" s="22"/>
      <c r="Q20" s="59" t="s">
        <v>81</v>
      </c>
      <c r="R20" s="222">
        <f>IF($B$81=0,0,(SUMIF($N$6:$N$28,$U20,K$6:K$28)+SUMIF($N$91:$N$118,$U20,K$91:K$118))*$B$83*$H$84*Poor!$B$81/$B$81)</f>
        <v>13328.600181487915</v>
      </c>
      <c r="S20" s="222">
        <f>IF($B$81=0,0,(SUMIF($N$6:$N$28,$U20,L$6:L$28)+SUMIF($N$91:$N$118,$U20,L$91:L$118))*$I$83*Poor!$B$81/$B$81)</f>
        <v>0</v>
      </c>
      <c r="T20" s="222">
        <f>IF($B$81=0,0,(SUMIF($N$6:$N$28,$U20,M$6:M$28)+SUMIF($N$91:$N$118,$U20,M$91:M$118))*$I$83*Poor!$B$81/$B$81)</f>
        <v>0</v>
      </c>
      <c r="U20" s="223">
        <v>14</v>
      </c>
      <c r="V20" s="56"/>
      <c r="W20" s="110"/>
      <c r="X20" s="118"/>
      <c r="Y20" s="183"/>
      <c r="Z20" s="156"/>
      <c r="AA20" s="121"/>
      <c r="AB20" s="156"/>
      <c r="AC20" s="121"/>
      <c r="AD20" s="156"/>
      <c r="AE20" s="121"/>
      <c r="AF20" s="122"/>
      <c r="AG20" s="121"/>
      <c r="AH20" s="123"/>
      <c r="AI20" s="183"/>
      <c r="AJ20" s="120"/>
      <c r="AK20" s="119"/>
      <c r="AS20" s="25"/>
      <c r="AT20" s="25"/>
      <c r="AU20" s="25"/>
      <c r="AV20" s="25"/>
      <c r="AW20" s="25"/>
      <c r="AX20" s="25"/>
      <c r="AZ20" s="25"/>
      <c r="BA20" s="25"/>
      <c r="BB20" s="25"/>
      <c r="BC20" s="25"/>
      <c r="BD20" s="25"/>
      <c r="BE20" s="25"/>
      <c r="BF20" s="25"/>
      <c r="BI20" s="25"/>
      <c r="BJ20" s="25"/>
      <c r="BK20" s="25"/>
      <c r="BL20" s="25"/>
      <c r="BM20" s="25"/>
      <c r="BN20" s="25"/>
      <c r="BP20" s="25"/>
      <c r="BQ20" s="25"/>
      <c r="BR20" s="25"/>
      <c r="BS20" s="25"/>
      <c r="BT20" s="25"/>
      <c r="BU20" s="25"/>
      <c r="BV20" s="25"/>
      <c r="BX20" s="25"/>
      <c r="BY20" s="25"/>
      <c r="BZ20" s="25"/>
      <c r="CA20" s="25"/>
      <c r="CB20" s="25"/>
      <c r="CC20" s="25"/>
      <c r="CE20" s="25"/>
      <c r="CF20" s="25"/>
      <c r="CG20" s="25"/>
      <c r="CH20" s="25"/>
      <c r="CI20" s="25"/>
      <c r="CJ20" s="25"/>
      <c r="CK20" s="25"/>
    </row>
    <row r="21" spans="1:89" ht="14" customHeight="1">
      <c r="A21" s="74" t="str">
        <f>IF(Poor!A21=0,"",Poor!A21)</f>
        <v>WILD FOODS -- see worksheet Data 3</v>
      </c>
      <c r="B21" s="101">
        <v>0</v>
      </c>
      <c r="C21" s="102">
        <v>0</v>
      </c>
      <c r="D21" s="24">
        <f t="shared" si="18"/>
        <v>0</v>
      </c>
      <c r="E21" s="75">
        <f>Poor!E21</f>
        <v>1</v>
      </c>
      <c r="F21" s="22"/>
      <c r="H21" s="24">
        <f t="shared" si="19"/>
        <v>1</v>
      </c>
      <c r="I21" s="22">
        <f t="shared" si="20"/>
        <v>0</v>
      </c>
      <c r="J21" s="24">
        <f t="shared" si="17"/>
        <v>0</v>
      </c>
      <c r="K21" s="22">
        <f t="shared" si="21"/>
        <v>0</v>
      </c>
      <c r="L21" s="22">
        <f t="shared" si="22"/>
        <v>0</v>
      </c>
      <c r="M21" s="225">
        <f t="shared" si="23"/>
        <v>0</v>
      </c>
      <c r="N21" s="229">
        <v>1</v>
      </c>
      <c r="O21" s="2"/>
      <c r="P21" s="22"/>
      <c r="Q21" s="59" t="s">
        <v>82</v>
      </c>
      <c r="R21" s="222">
        <f>IF($B$81=0,0,(SUMIF($N$6:$N$28,$U21,K$6:K$28)+SUMIF($N$91:$N$118,$U21,K$91:K$118))*$B$83*$H$84*Poor!$B$81/$B$81)</f>
        <v>2468.2592928681324</v>
      </c>
      <c r="S21" s="222">
        <f>IF($B$81=0,0,(SUMIF($N$6:$N$28,$U21,L$6:L$28)+SUMIF($N$91:$N$118,$U21,L$91:L$118))*$I$83*Poor!$B$81/$B$81)</f>
        <v>1860.5714285714291</v>
      </c>
      <c r="T21" s="222">
        <f>IF($B$81=0,0,(SUMIF($N$6:$N$28,$U21,M$6:M$28)+SUMIF($N$91:$N$118,$U21,M$91:M$118))*$I$83*Poor!$B$81/$B$81)</f>
        <v>1860.5714285714291</v>
      </c>
      <c r="U21" s="223">
        <v>15</v>
      </c>
      <c r="V21" s="56"/>
      <c r="W21" s="110"/>
      <c r="X21" s="118"/>
      <c r="Y21" s="183"/>
      <c r="Z21" s="156"/>
      <c r="AA21" s="121"/>
      <c r="AB21" s="156"/>
      <c r="AC21" s="121"/>
      <c r="AD21" s="156"/>
      <c r="AE21" s="121"/>
      <c r="AF21" s="122"/>
      <c r="AG21" s="121"/>
      <c r="AH21" s="123"/>
      <c r="AI21" s="183"/>
      <c r="AJ21" s="120"/>
      <c r="AK21" s="119"/>
      <c r="AS21" s="25"/>
      <c r="AT21" s="25"/>
      <c r="AU21" s="25"/>
      <c r="AV21" s="25"/>
      <c r="AW21" s="25"/>
      <c r="AX21" s="25"/>
      <c r="AZ21" s="25"/>
      <c r="BA21" s="25"/>
      <c r="BB21" s="25"/>
      <c r="BC21" s="25"/>
      <c r="BD21" s="25"/>
      <c r="BE21" s="25"/>
      <c r="BF21" s="25"/>
      <c r="BI21" s="25"/>
      <c r="BJ21" s="25"/>
      <c r="BK21" s="25"/>
      <c r="BL21" s="25"/>
      <c r="BM21" s="25"/>
      <c r="BN21" s="25"/>
      <c r="BP21" s="25"/>
      <c r="BQ21" s="25"/>
      <c r="BR21" s="25"/>
      <c r="BS21" s="25"/>
      <c r="BT21" s="25"/>
      <c r="BU21" s="25"/>
      <c r="BV21" s="25"/>
      <c r="BX21" s="25"/>
      <c r="BY21" s="25"/>
      <c r="BZ21" s="25"/>
      <c r="CA21" s="25"/>
      <c r="CB21" s="25"/>
      <c r="CC21" s="25"/>
      <c r="CE21" s="25"/>
      <c r="CF21" s="25"/>
      <c r="CG21" s="25"/>
      <c r="CH21" s="25"/>
      <c r="CI21" s="25"/>
      <c r="CJ21" s="25"/>
      <c r="CK21" s="25"/>
    </row>
    <row r="22" spans="1:89" ht="14" customHeight="1">
      <c r="A22" s="74" t="str">
        <f>IF(Poor!A22=0,"",Poor!A22)</f>
        <v>Labour: Weeding, ploughing</v>
      </c>
      <c r="B22" s="101">
        <v>0</v>
      </c>
      <c r="C22" s="102">
        <v>0</v>
      </c>
      <c r="D22" s="24">
        <f t="shared" si="18"/>
        <v>0</v>
      </c>
      <c r="E22" s="75">
        <f>Poor!E22</f>
        <v>1</v>
      </c>
      <c r="F22" s="22"/>
      <c r="H22" s="24">
        <f t="shared" si="19"/>
        <v>1</v>
      </c>
      <c r="I22" s="22">
        <f t="shared" si="20"/>
        <v>0</v>
      </c>
      <c r="J22" s="24">
        <f t="shared" si="17"/>
        <v>0</v>
      </c>
      <c r="K22" s="22">
        <f t="shared" si="21"/>
        <v>0</v>
      </c>
      <c r="L22" s="22">
        <f t="shared" si="22"/>
        <v>0</v>
      </c>
      <c r="M22" s="225">
        <f t="shared" si="23"/>
        <v>0</v>
      </c>
      <c r="N22" s="229">
        <v>7</v>
      </c>
      <c r="O22" s="2"/>
      <c r="P22" s="22"/>
      <c r="Q22" s="59" t="s">
        <v>83</v>
      </c>
      <c r="R22" s="222">
        <f>IF($B$81=0,0,(SUMIF($N$6:$N$28,$U22,K$6:K$28)+SUMIF($N$91:$N$118,$U22,K$91:K$118))*$B$83*$H$84*Poor!$B$81/$B$81)</f>
        <v>4712.1313772937074</v>
      </c>
      <c r="S22" s="222">
        <f>IF($B$81=0,0,(SUMIF($N$6:$N$28,$U22,L$6:L$28)+SUMIF($N$91:$N$118,$U22,L$91:L$118))*$I$83*Poor!$B$81/$B$81)</f>
        <v>3200</v>
      </c>
      <c r="T22" s="222">
        <f>IF($B$81=0,0,(SUMIF($N$6:$N$28,$U22,M$6:M$28)+SUMIF($N$91:$N$118,$U22,M$91:M$118))*$I$83*Poor!$B$81/$B$81)</f>
        <v>3200</v>
      </c>
      <c r="U22" s="223">
        <v>16</v>
      </c>
      <c r="V22" s="56"/>
      <c r="W22" s="110"/>
      <c r="X22" s="118"/>
      <c r="Y22" s="183"/>
      <c r="Z22" s="156"/>
      <c r="AA22" s="121"/>
      <c r="AB22" s="156"/>
      <c r="AC22" s="121"/>
      <c r="AD22" s="156"/>
      <c r="AE22" s="121"/>
      <c r="AF22" s="122"/>
      <c r="AG22" s="121"/>
      <c r="AH22" s="123"/>
      <c r="AI22" s="183"/>
      <c r="AJ22" s="120"/>
      <c r="AK22" s="119"/>
      <c r="AS22" s="25"/>
      <c r="AT22" s="25"/>
      <c r="AU22" s="25"/>
      <c r="AV22" s="25"/>
      <c r="AW22" s="25"/>
      <c r="AX22" s="25"/>
      <c r="AZ22" s="25"/>
      <c r="BA22" s="25"/>
      <c r="BB22" s="25"/>
      <c r="BC22" s="25"/>
      <c r="BD22" s="25"/>
      <c r="BE22" s="25"/>
      <c r="BF22" s="25"/>
      <c r="BI22" s="25"/>
      <c r="BJ22" s="25"/>
      <c r="BK22" s="25"/>
      <c r="BL22" s="25"/>
      <c r="BM22" s="25"/>
      <c r="BN22" s="25"/>
      <c r="BP22" s="25"/>
      <c r="BQ22" s="25"/>
      <c r="BR22" s="25"/>
      <c r="BS22" s="25"/>
      <c r="BT22" s="25"/>
      <c r="BU22" s="25"/>
      <c r="BV22" s="25"/>
      <c r="BX22" s="25"/>
      <c r="BY22" s="25"/>
      <c r="BZ22" s="25"/>
      <c r="CA22" s="25"/>
      <c r="CB22" s="25"/>
      <c r="CC22" s="25"/>
      <c r="CE22" s="25"/>
      <c r="CF22" s="25"/>
      <c r="CG22" s="25"/>
      <c r="CH22" s="25"/>
      <c r="CI22" s="25"/>
      <c r="CJ22" s="25"/>
      <c r="CK22" s="25"/>
    </row>
    <row r="23" spans="1:89" ht="14" customHeight="1" thickBot="1">
      <c r="A23" s="74" t="str">
        <f>IF(Poor!A23=0,"",Poor!A23)</f>
        <v>Labour: Weeding</v>
      </c>
      <c r="B23" s="101">
        <v>0</v>
      </c>
      <c r="C23" s="102">
        <v>0</v>
      </c>
      <c r="D23" s="24">
        <f t="shared" si="18"/>
        <v>0</v>
      </c>
      <c r="E23" s="75">
        <f>Poor!E23</f>
        <v>1</v>
      </c>
      <c r="F23" s="22"/>
      <c r="H23" s="24">
        <f t="shared" si="19"/>
        <v>1</v>
      </c>
      <c r="I23" s="22">
        <f t="shared" si="20"/>
        <v>0</v>
      </c>
      <c r="J23" s="24">
        <f t="shared" si="17"/>
        <v>0</v>
      </c>
      <c r="K23" s="22">
        <f t="shared" si="21"/>
        <v>0</v>
      </c>
      <c r="L23" s="22">
        <f t="shared" si="22"/>
        <v>0</v>
      </c>
      <c r="M23" s="225">
        <f t="shared" si="23"/>
        <v>0</v>
      </c>
      <c r="N23" s="229">
        <v>7</v>
      </c>
      <c r="O23" s="2"/>
      <c r="P23" s="22"/>
      <c r="Q23" s="171" t="s">
        <v>100</v>
      </c>
      <c r="R23" s="179">
        <f>SUM(R7:R22)</f>
        <v>176686.60518183949</v>
      </c>
      <c r="S23" s="179">
        <f>SUM(S7:S22)</f>
        <v>116344.07810158792</v>
      </c>
      <c r="T23" s="179">
        <f>SUM(T7:T22)</f>
        <v>117279.15946314677</v>
      </c>
      <c r="U23" s="56"/>
      <c r="V23" s="56"/>
      <c r="W23" s="110"/>
      <c r="X23" s="118"/>
      <c r="Y23" s="183"/>
      <c r="Z23" s="156"/>
      <c r="AA23" s="121"/>
      <c r="AB23" s="156"/>
      <c r="AC23" s="121"/>
      <c r="AD23" s="156"/>
      <c r="AE23" s="121"/>
      <c r="AF23" s="122"/>
      <c r="AG23" s="121"/>
      <c r="AH23" s="123"/>
      <c r="AI23" s="183"/>
      <c r="AJ23" s="120"/>
      <c r="AK23" s="119"/>
      <c r="AS23" s="25"/>
      <c r="AT23" s="25"/>
      <c r="AU23" s="25"/>
      <c r="AV23" s="25"/>
      <c r="AW23" s="25"/>
      <c r="AX23" s="25"/>
      <c r="AZ23" s="25"/>
      <c r="BA23" s="25"/>
      <c r="BB23" s="25"/>
      <c r="BC23" s="25"/>
      <c r="BD23" s="25"/>
      <c r="BE23" s="25"/>
      <c r="BF23" s="25"/>
      <c r="BI23" s="25"/>
      <c r="BJ23" s="25"/>
      <c r="BK23" s="25"/>
      <c r="BL23" s="25"/>
      <c r="BM23" s="25"/>
      <c r="BN23" s="25"/>
      <c r="BP23" s="25"/>
      <c r="BQ23" s="25"/>
      <c r="BR23" s="25"/>
      <c r="BS23" s="25"/>
      <c r="BT23" s="25"/>
      <c r="BU23" s="25"/>
      <c r="BV23" s="25"/>
      <c r="BX23" s="25"/>
      <c r="BY23" s="25"/>
      <c r="BZ23" s="25"/>
      <c r="CA23" s="25"/>
      <c r="CB23" s="25"/>
      <c r="CC23" s="25"/>
      <c r="CE23" s="25"/>
      <c r="CF23" s="25"/>
      <c r="CG23" s="25"/>
      <c r="CH23" s="25"/>
      <c r="CI23" s="25"/>
      <c r="CJ23" s="25"/>
      <c r="CK23" s="25"/>
    </row>
    <row r="24" spans="1:89" ht="14" customHeight="1" thickTop="1">
      <c r="A24" s="74" t="str">
        <f>IF(Poor!A24=0,"",Poor!A24)</f>
        <v>Gifts/remittances: cereal</v>
      </c>
      <c r="B24" s="101">
        <v>3.1457484433374846E-3</v>
      </c>
      <c r="C24" s="102">
        <v>0</v>
      </c>
      <c r="D24" s="24">
        <f t="shared" si="18"/>
        <v>3.1457484433374846E-3</v>
      </c>
      <c r="E24" s="75">
        <f>Poor!E24</f>
        <v>1</v>
      </c>
      <c r="F24" s="22"/>
      <c r="H24" s="24">
        <f t="shared" si="19"/>
        <v>1</v>
      </c>
      <c r="I24" s="22">
        <f t="shared" si="20"/>
        <v>3.1457484433374846E-3</v>
      </c>
      <c r="J24" s="24">
        <f t="shared" si="17"/>
        <v>3.1457484433374846E-3</v>
      </c>
      <c r="K24" s="22">
        <f t="shared" si="21"/>
        <v>3.1457484433374846E-3</v>
      </c>
      <c r="L24" s="22">
        <f t="shared" si="22"/>
        <v>3.1457484433374846E-3</v>
      </c>
      <c r="M24" s="225">
        <f t="shared" si="23"/>
        <v>3.1457484433374846E-3</v>
      </c>
      <c r="N24" s="229">
        <v>13</v>
      </c>
      <c r="O24" s="2"/>
      <c r="P24" s="22"/>
      <c r="Q24" s="59" t="s">
        <v>137</v>
      </c>
      <c r="R24" s="41">
        <f>IF($B$81=0,0,(SUM(($B$70*$H$70))+((1-$D$29)*$I$83))*Poor!$B$81/$B$81)</f>
        <v>40474.951687871129</v>
      </c>
      <c r="S24" s="41">
        <f>IF($B$81=0,0,(SUM(($B$70*$H$70))+((1-$D$29)*$I$83))*Poor!$B$81/$B$81)</f>
        <v>40474.951687871129</v>
      </c>
      <c r="T24" s="41">
        <f>IF($B$81=0,0,(SUM(($B$70*$H$70))+((1-$D$29)*$I$83))*Poor!$B$81/$B$81)</f>
        <v>40474.951687871129</v>
      </c>
      <c r="U24" s="56"/>
      <c r="V24" s="56"/>
      <c r="W24" s="110"/>
      <c r="X24" s="118"/>
      <c r="Y24" s="183"/>
      <c r="Z24" s="156"/>
      <c r="AA24" s="121"/>
      <c r="AB24" s="156"/>
      <c r="AC24" s="121"/>
      <c r="AD24" s="156"/>
      <c r="AE24" s="121"/>
      <c r="AF24" s="122"/>
      <c r="AG24" s="121"/>
      <c r="AH24" s="123"/>
      <c r="AI24" s="183"/>
      <c r="AJ24" s="120"/>
      <c r="AK24" s="119"/>
      <c r="AS24" s="25"/>
      <c r="AT24" s="25"/>
      <c r="AU24" s="25"/>
      <c r="AV24" s="25"/>
      <c r="AW24" s="25"/>
      <c r="AX24" s="25"/>
      <c r="AZ24" s="25"/>
      <c r="BA24" s="25"/>
      <c r="BB24" s="25"/>
      <c r="BC24" s="25"/>
      <c r="BD24" s="25"/>
      <c r="BE24" s="25"/>
      <c r="BF24" s="25"/>
      <c r="BI24" s="25"/>
      <c r="BJ24" s="25"/>
      <c r="BK24" s="25"/>
      <c r="BL24" s="25"/>
      <c r="BM24" s="25"/>
      <c r="BN24" s="25"/>
      <c r="BP24" s="25"/>
      <c r="BQ24" s="25"/>
      <c r="BR24" s="25"/>
      <c r="BS24" s="25"/>
      <c r="BT24" s="25"/>
      <c r="BU24" s="25"/>
      <c r="BV24" s="25"/>
      <c r="BX24" s="25"/>
      <c r="BY24" s="25"/>
      <c r="BZ24" s="25"/>
      <c r="CA24" s="25"/>
      <c r="CB24" s="25"/>
      <c r="CC24" s="25"/>
      <c r="CE24" s="25"/>
      <c r="CF24" s="25"/>
      <c r="CG24" s="25"/>
      <c r="CH24" s="25"/>
      <c r="CI24" s="25"/>
      <c r="CJ24" s="25"/>
      <c r="CK24" s="25"/>
    </row>
    <row r="25" spans="1:89" ht="14" customHeight="1">
      <c r="A25" s="74" t="str">
        <f>IF(Poor!A25=0,"",Poor!A25)</f>
        <v>Gifts/remittances: sugar</v>
      </c>
      <c r="B25" s="101">
        <v>0</v>
      </c>
      <c r="C25" s="102">
        <v>0</v>
      </c>
      <c r="D25" s="24">
        <f t="shared" si="18"/>
        <v>0</v>
      </c>
      <c r="E25" s="75">
        <f>Poor!E25</f>
        <v>1</v>
      </c>
      <c r="F25" s="22"/>
      <c r="H25" s="24">
        <f t="shared" si="19"/>
        <v>1</v>
      </c>
      <c r="I25" s="22">
        <f t="shared" si="20"/>
        <v>0</v>
      </c>
      <c r="J25" s="24">
        <f t="shared" si="17"/>
        <v>0</v>
      </c>
      <c r="K25" s="22">
        <f t="shared" si="21"/>
        <v>0</v>
      </c>
      <c r="L25" s="22">
        <f t="shared" si="22"/>
        <v>0</v>
      </c>
      <c r="M25" s="225">
        <f t="shared" si="23"/>
        <v>0</v>
      </c>
      <c r="N25" s="229">
        <v>13</v>
      </c>
      <c r="O25" s="2"/>
      <c r="P25" s="22"/>
      <c r="Q25" s="142" t="s">
        <v>138</v>
      </c>
      <c r="R25" s="41">
        <f>IF($B$81=0,0,(SUM(($B$70*$H$70),($B$71*$H$71))+((1-$D$29)*$I$83))*Poor!$B$81/$B$81)</f>
        <v>59912.960576760015</v>
      </c>
      <c r="S25" s="41">
        <f>IF($B$81=0,0,(SUM(($B$70*$H$70),($B$71*$H$71))+((1-$D$29)*$I$83))*Poor!$B$81/$B$81)</f>
        <v>59912.960576760015</v>
      </c>
      <c r="T25" s="41">
        <f>IF($B$81=0,0,(SUM(($B$70*$H$70),($B$71*$H$71))+((1-$D$29)*$I$83))*Poor!$B$81/$B$81)</f>
        <v>59912.960576760015</v>
      </c>
      <c r="U25" s="56"/>
      <c r="V25" s="56"/>
      <c r="W25" s="110"/>
      <c r="X25" s="118"/>
      <c r="Y25" s="183"/>
      <c r="Z25" s="156"/>
      <c r="AA25" s="121"/>
      <c r="AB25" s="156"/>
      <c r="AC25" s="121"/>
      <c r="AD25" s="156"/>
      <c r="AE25" s="121"/>
      <c r="AF25" s="122"/>
      <c r="AG25" s="121"/>
      <c r="AH25" s="123"/>
      <c r="AI25" s="183"/>
      <c r="AJ25" s="120"/>
      <c r="AK25" s="119"/>
      <c r="AS25" s="25"/>
      <c r="AT25" s="25"/>
      <c r="AU25" s="25"/>
      <c r="AV25" s="25"/>
      <c r="AW25" s="25"/>
      <c r="AX25" s="25"/>
      <c r="AZ25" s="25"/>
      <c r="BA25" s="25"/>
      <c r="BB25" s="25"/>
      <c r="BC25" s="25"/>
      <c r="BD25" s="25"/>
      <c r="BE25" s="25"/>
      <c r="BF25" s="25"/>
      <c r="BI25" s="25"/>
      <c r="BJ25" s="25"/>
      <c r="BK25" s="25"/>
      <c r="BL25" s="25"/>
      <c r="BM25" s="25"/>
      <c r="BN25" s="25"/>
      <c r="BP25" s="25"/>
      <c r="BQ25" s="25"/>
      <c r="BR25" s="25"/>
      <c r="BS25" s="25"/>
      <c r="BT25" s="25"/>
      <c r="BU25" s="25"/>
      <c r="BV25" s="25"/>
      <c r="BX25" s="25"/>
      <c r="BY25" s="25"/>
      <c r="BZ25" s="25"/>
      <c r="CA25" s="25"/>
      <c r="CB25" s="25"/>
      <c r="CC25" s="25"/>
      <c r="CE25" s="25"/>
      <c r="CF25" s="25"/>
      <c r="CG25" s="25"/>
      <c r="CH25" s="25"/>
      <c r="CI25" s="25"/>
      <c r="CJ25" s="25"/>
      <c r="CK25" s="25"/>
    </row>
    <row r="26" spans="1:89" ht="14" customHeight="1">
      <c r="A26" s="74" t="str">
        <f>IF(Poor!A26=0,"",Poor!A26)</f>
        <v>Food aid</v>
      </c>
      <c r="B26" s="101">
        <v>4.409171075837743E-2</v>
      </c>
      <c r="C26" s="102">
        <v>0</v>
      </c>
      <c r="D26" s="24">
        <f t="shared" si="0"/>
        <v>4.409171075837743E-2</v>
      </c>
      <c r="E26" s="75">
        <f>Poor!E26</f>
        <v>1</v>
      </c>
      <c r="F26" s="22"/>
      <c r="H26" s="24">
        <f t="shared" si="1"/>
        <v>1</v>
      </c>
      <c r="I26" s="22">
        <f t="shared" si="2"/>
        <v>4.409171075837743E-2</v>
      </c>
      <c r="J26" s="24">
        <f>IF(I$32&lt;=1+I131,I26,B26*H26+J$33*(I26-B26*H26))</f>
        <v>4.409171075837743E-2</v>
      </c>
      <c r="K26" s="22">
        <f t="shared" si="4"/>
        <v>4.409171075837743E-2</v>
      </c>
      <c r="L26" s="22">
        <f t="shared" si="5"/>
        <v>4.409171075837743E-2</v>
      </c>
      <c r="M26" s="224">
        <f t="shared" si="6"/>
        <v>4.409171075837743E-2</v>
      </c>
      <c r="N26" s="229">
        <v>12</v>
      </c>
      <c r="O26" s="2"/>
      <c r="P26" s="22"/>
      <c r="Q26" s="59" t="s">
        <v>139</v>
      </c>
      <c r="R26" s="41">
        <f>IF($B$81=0,0,(SUM(($B$70*$H$70),($B$71*$H$71),($B$72*$H$72))+((1-$D$29)*$I$83))*Poor!$B$81/$B$81)</f>
        <v>94209.829148188597</v>
      </c>
      <c r="S26" s="41">
        <f>IF($B$81=0,0,(SUM(($B$70*$H$70),($B$71*$H$71),($B$72*$H$72))+((1-$D$29)*$I$83))*Poor!$B$81/$B$81)</f>
        <v>94209.829148188597</v>
      </c>
      <c r="T26" s="41">
        <f>IF($B$81=0,0,(SUM(($B$70*$H$70),($B$71*$H$71),($B$72*$H$72))+((1-$D$29)*$I$83))*Poor!$B$81/$B$81)</f>
        <v>94209.829148188597</v>
      </c>
      <c r="U26" s="56"/>
      <c r="V26" s="56"/>
      <c r="W26" s="110"/>
      <c r="X26" s="118"/>
      <c r="Y26" s="183">
        <f t="shared" si="9"/>
        <v>0.17636684303350972</v>
      </c>
      <c r="Z26" s="156">
        <f>Poor!Z26</f>
        <v>0.25</v>
      </c>
      <c r="AA26" s="121">
        <f t="shared" si="16"/>
        <v>4.409171075837743E-2</v>
      </c>
      <c r="AB26" s="156">
        <f>Poor!AB26</f>
        <v>0.25</v>
      </c>
      <c r="AC26" s="121">
        <f t="shared" si="7"/>
        <v>4.409171075837743E-2</v>
      </c>
      <c r="AD26" s="156">
        <f>Poor!AD26</f>
        <v>0.25</v>
      </c>
      <c r="AE26" s="121">
        <f t="shared" si="8"/>
        <v>4.409171075837743E-2</v>
      </c>
      <c r="AF26" s="122">
        <f t="shared" si="10"/>
        <v>0.25</v>
      </c>
      <c r="AG26" s="121">
        <f t="shared" si="11"/>
        <v>4.409171075837743E-2</v>
      </c>
      <c r="AH26" s="123">
        <f t="shared" si="12"/>
        <v>1</v>
      </c>
      <c r="AI26" s="183">
        <f t="shared" si="13"/>
        <v>4.409171075837743E-2</v>
      </c>
      <c r="AJ26" s="120">
        <f t="shared" si="14"/>
        <v>4.409171075837743E-2</v>
      </c>
      <c r="AK26" s="119">
        <f t="shared" si="15"/>
        <v>4.409171075837743E-2</v>
      </c>
      <c r="AS26" s="25"/>
      <c r="AT26" s="25"/>
      <c r="AU26" s="25"/>
      <c r="AV26" s="25"/>
      <c r="AW26" s="25"/>
      <c r="AX26" s="25"/>
      <c r="AZ26" s="25"/>
      <c r="BA26" s="25"/>
      <c r="BB26" s="25"/>
      <c r="BC26" s="25"/>
      <c r="BD26" s="25"/>
      <c r="BE26" s="25"/>
      <c r="BF26" s="25"/>
      <c r="BI26" s="25"/>
      <c r="BJ26" s="25"/>
      <c r="BK26" s="25"/>
      <c r="BL26" s="25"/>
      <c r="BM26" s="25"/>
      <c r="BN26" s="25"/>
      <c r="BP26" s="25"/>
      <c r="BQ26" s="25"/>
      <c r="BR26" s="25"/>
      <c r="BS26" s="25"/>
      <c r="BT26" s="25"/>
      <c r="BU26" s="25"/>
      <c r="BV26" s="25"/>
      <c r="BX26" s="25"/>
      <c r="BY26" s="25"/>
      <c r="BZ26" s="25"/>
      <c r="CA26" s="25"/>
      <c r="CB26" s="25"/>
      <c r="CC26" s="25"/>
      <c r="CE26" s="25"/>
      <c r="CF26" s="25"/>
      <c r="CG26" s="25"/>
      <c r="CH26" s="25"/>
      <c r="CI26" s="25"/>
      <c r="CJ26" s="25"/>
      <c r="CK26" s="25"/>
    </row>
    <row r="27" spans="1:89" ht="14" customHeight="1">
      <c r="A27" s="74" t="str">
        <f>IF(Poor!A27=0,"",Poor!A27)</f>
        <v>Purchase - other</v>
      </c>
      <c r="B27" s="101">
        <v>1.7232216064757163E-2</v>
      </c>
      <c r="C27" s="102">
        <v>-1.7232216064757163E-2</v>
      </c>
      <c r="D27" s="24">
        <f>(B27+C27)</f>
        <v>0</v>
      </c>
      <c r="E27" s="75">
        <f>Poor!E27</f>
        <v>1</v>
      </c>
      <c r="F27" s="22"/>
      <c r="H27" s="24">
        <f t="shared" si="1"/>
        <v>1</v>
      </c>
      <c r="I27" s="22">
        <f t="shared" si="2"/>
        <v>0</v>
      </c>
      <c r="J27" s="24">
        <f>IF(I$32&lt;=1+I131,I27,B27*H27+J$33*(I27-B27*H27))</f>
        <v>1.3710791800042109E-2</v>
      </c>
      <c r="K27" s="22">
        <f t="shared" si="4"/>
        <v>1.7232216064757163E-2</v>
      </c>
      <c r="L27" s="22">
        <f t="shared" si="5"/>
        <v>1.7232216064757163E-2</v>
      </c>
      <c r="M27" s="226">
        <f t="shared" si="6"/>
        <v>1.3710791800042109E-2</v>
      </c>
      <c r="N27" s="229"/>
      <c r="O27" s="2"/>
      <c r="P27" s="22"/>
      <c r="Q27" s="126" t="s">
        <v>140</v>
      </c>
      <c r="R27" s="41"/>
      <c r="S27" s="41"/>
      <c r="T27" s="41"/>
      <c r="U27" s="56"/>
      <c r="V27" s="56"/>
      <c r="W27" s="110"/>
      <c r="X27" s="118"/>
      <c r="Y27" s="183">
        <f t="shared" si="9"/>
        <v>5.4843167200168436E-2</v>
      </c>
      <c r="Z27" s="156">
        <f>Poor!Z27</f>
        <v>0.25</v>
      </c>
      <c r="AA27" s="121">
        <f t="shared" si="16"/>
        <v>1.3710791800042109E-2</v>
      </c>
      <c r="AB27" s="156">
        <f>Poor!AB27</f>
        <v>0.25</v>
      </c>
      <c r="AC27" s="121">
        <f t="shared" si="7"/>
        <v>1.3710791800042109E-2</v>
      </c>
      <c r="AD27" s="156">
        <f>Poor!AD27</f>
        <v>0.25</v>
      </c>
      <c r="AE27" s="121">
        <f t="shared" si="8"/>
        <v>1.3710791800042109E-2</v>
      </c>
      <c r="AF27" s="122">
        <f t="shared" si="10"/>
        <v>0.25</v>
      </c>
      <c r="AG27" s="121">
        <f t="shared" si="11"/>
        <v>1.3710791800042109E-2</v>
      </c>
      <c r="AH27" s="123">
        <f t="shared" si="12"/>
        <v>1</v>
      </c>
      <c r="AI27" s="183">
        <f t="shared" si="13"/>
        <v>1.3710791800042109E-2</v>
      </c>
      <c r="AJ27" s="120">
        <f t="shared" si="14"/>
        <v>1.3710791800042109E-2</v>
      </c>
      <c r="AK27" s="119">
        <f t="shared" si="15"/>
        <v>1.3710791800042109E-2</v>
      </c>
      <c r="AS27" s="25"/>
      <c r="AT27" s="25"/>
      <c r="AU27" s="25"/>
      <c r="AV27" s="25"/>
      <c r="AW27" s="25"/>
      <c r="AX27" s="25"/>
      <c r="AZ27" s="25"/>
      <c r="BA27" s="25"/>
      <c r="BB27" s="25"/>
      <c r="BC27" s="25"/>
      <c r="BD27" s="25"/>
      <c r="BE27" s="25"/>
      <c r="BF27" s="25"/>
      <c r="BI27" s="25"/>
      <c r="BJ27" s="25"/>
      <c r="BK27" s="25"/>
      <c r="BL27" s="25"/>
      <c r="BM27" s="25"/>
      <c r="BN27" s="25"/>
      <c r="BP27" s="25"/>
      <c r="BQ27" s="25"/>
      <c r="BR27" s="25"/>
      <c r="BS27" s="25"/>
      <c r="BT27" s="25"/>
      <c r="BU27" s="25"/>
      <c r="BV27" s="25"/>
      <c r="BX27" s="25"/>
      <c r="BY27" s="25"/>
      <c r="BZ27" s="25"/>
      <c r="CA27" s="25"/>
      <c r="CB27" s="25"/>
      <c r="CC27" s="25"/>
      <c r="CE27" s="25"/>
      <c r="CF27" s="25"/>
      <c r="CG27" s="25"/>
      <c r="CH27" s="25"/>
      <c r="CI27" s="25"/>
      <c r="CJ27" s="25"/>
      <c r="CK27" s="25"/>
    </row>
    <row r="28" spans="1:89" ht="14" customHeight="1">
      <c r="A28" s="74" t="str">
        <f>IF(Poor!A28=0,"",Poor!A28)</f>
        <v>Purchase - desirable</v>
      </c>
      <c r="B28" s="101">
        <v>3.441205479452055E-3</v>
      </c>
      <c r="C28" s="102">
        <v>-3.441205479452055E-3</v>
      </c>
      <c r="D28" s="24">
        <f t="shared" si="0"/>
        <v>0</v>
      </c>
      <c r="E28" s="75">
        <f>Poor!E28</f>
        <v>1</v>
      </c>
      <c r="F28" s="22"/>
      <c r="H28" s="24">
        <f t="shared" si="1"/>
        <v>1</v>
      </c>
      <c r="I28" s="22">
        <f t="shared" si="2"/>
        <v>0</v>
      </c>
      <c r="J28" s="24">
        <f>IF(I$32&lt;=1+I131,I28,B28*H28+J$33*(I28-B28*H28))</f>
        <v>2.7379909637058105E-3</v>
      </c>
      <c r="K28" s="22">
        <f t="shared" si="4"/>
        <v>3.441205479452055E-3</v>
      </c>
      <c r="L28" s="22">
        <f t="shared" si="5"/>
        <v>3.441205479452055E-3</v>
      </c>
      <c r="M28" s="224">
        <f t="shared" si="6"/>
        <v>2.7379909637058105E-3</v>
      </c>
      <c r="N28" s="229"/>
      <c r="O28" s="2"/>
      <c r="P28" s="22"/>
      <c r="V28" s="56"/>
      <c r="W28" s="110"/>
      <c r="X28" s="118"/>
      <c r="Y28" s="183">
        <f t="shared" si="9"/>
        <v>1.0951963854823242E-2</v>
      </c>
      <c r="Z28" s="156">
        <f>Poor!Z28</f>
        <v>0</v>
      </c>
      <c r="AA28" s="121">
        <f t="shared" si="16"/>
        <v>0</v>
      </c>
      <c r="AB28" s="156">
        <f>Poor!AB28</f>
        <v>0</v>
      </c>
      <c r="AC28" s="121">
        <f t="shared" si="7"/>
        <v>0</v>
      </c>
      <c r="AD28" s="156">
        <f>Poor!AD28</f>
        <v>0.5</v>
      </c>
      <c r="AE28" s="121">
        <f t="shared" si="8"/>
        <v>5.475981927411621E-3</v>
      </c>
      <c r="AF28" s="122">
        <f t="shared" si="10"/>
        <v>0.5</v>
      </c>
      <c r="AG28" s="121">
        <f t="shared" si="11"/>
        <v>5.475981927411621E-3</v>
      </c>
      <c r="AH28" s="123">
        <f t="shared" si="12"/>
        <v>1</v>
      </c>
      <c r="AI28" s="183">
        <f t="shared" si="13"/>
        <v>2.7379909637058105E-3</v>
      </c>
      <c r="AJ28" s="120">
        <f t="shared" si="14"/>
        <v>0</v>
      </c>
      <c r="AK28" s="119">
        <f t="shared" si="15"/>
        <v>5.475981927411621E-3</v>
      </c>
      <c r="AS28" s="25"/>
      <c r="AT28" s="25"/>
      <c r="AU28" s="25"/>
      <c r="AV28" s="25"/>
      <c r="AW28" s="25"/>
      <c r="AX28" s="25"/>
      <c r="AZ28" s="25"/>
      <c r="BA28" s="25"/>
      <c r="BB28" s="25"/>
      <c r="BC28" s="25"/>
      <c r="BD28" s="25"/>
      <c r="BE28" s="25"/>
      <c r="BF28" s="25"/>
      <c r="BI28" s="25"/>
      <c r="BJ28" s="25"/>
      <c r="BK28" s="25"/>
      <c r="BL28" s="25"/>
      <c r="BM28" s="25"/>
      <c r="BN28" s="25"/>
      <c r="BP28" s="25"/>
      <c r="BQ28" s="25"/>
      <c r="BR28" s="25"/>
      <c r="BS28" s="25"/>
      <c r="BT28" s="25"/>
      <c r="BU28" s="25"/>
      <c r="BV28" s="25"/>
      <c r="BX28" s="25"/>
      <c r="BY28" s="25"/>
      <c r="BZ28" s="25"/>
      <c r="CA28" s="25"/>
      <c r="CB28" s="25"/>
      <c r="CC28" s="25"/>
      <c r="CE28" s="25"/>
      <c r="CF28" s="25"/>
      <c r="CG28" s="25"/>
      <c r="CH28" s="25"/>
      <c r="CI28" s="25"/>
      <c r="CJ28" s="25"/>
      <c r="CK28" s="25"/>
    </row>
    <row r="29" spans="1:89" ht="14" customHeight="1">
      <c r="A29" s="74" t="str">
        <f>IF(Poor!A29=0,"",Poor!A29)</f>
        <v>Purchase - fpl non staple</v>
      </c>
      <c r="B29" s="101">
        <v>0.2235339949875467</v>
      </c>
      <c r="C29" s="102">
        <v>1.102778954450397E-3</v>
      </c>
      <c r="D29" s="24">
        <f t="shared" si="0"/>
        <v>0.2246367739419971</v>
      </c>
      <c r="E29" s="75">
        <f>Poor!E29</f>
        <v>1</v>
      </c>
      <c r="F29" s="22"/>
      <c r="H29" s="24">
        <f t="shared" si="1"/>
        <v>1</v>
      </c>
      <c r="I29" s="22">
        <f t="shared" si="2"/>
        <v>0.2246367739419971</v>
      </c>
      <c r="J29" s="24">
        <f>IF(I$32&lt;=1+I131,I29,B29*H29+J$33*(I29-B29*H29))</f>
        <v>0.22375934920514851</v>
      </c>
      <c r="K29" s="22">
        <f t="shared" si="4"/>
        <v>0.2235339949875467</v>
      </c>
      <c r="L29" s="22">
        <f t="shared" si="5"/>
        <v>0.2235339949875467</v>
      </c>
      <c r="M29" s="224">
        <f t="shared" si="6"/>
        <v>0.22375934920514851</v>
      </c>
      <c r="N29" s="229"/>
      <c r="P29" s="22"/>
      <c r="V29" s="56"/>
      <c r="W29" s="110"/>
      <c r="X29" s="118"/>
      <c r="Y29" s="183">
        <f t="shared" si="9"/>
        <v>0.89503739682059402</v>
      </c>
      <c r="Z29" s="156">
        <f>Poor!Z29</f>
        <v>0.25</v>
      </c>
      <c r="AA29" s="121">
        <f t="shared" si="16"/>
        <v>0.22375934920514851</v>
      </c>
      <c r="AB29" s="156">
        <f>Poor!AB29</f>
        <v>0.25</v>
      </c>
      <c r="AC29" s="121">
        <f t="shared" si="7"/>
        <v>0.22375934920514851</v>
      </c>
      <c r="AD29" s="156">
        <f>Poor!AD29</f>
        <v>0.25</v>
      </c>
      <c r="AE29" s="121">
        <f t="shared" si="8"/>
        <v>0.22375934920514851</v>
      </c>
      <c r="AF29" s="122">
        <f t="shared" si="10"/>
        <v>0.25</v>
      </c>
      <c r="AG29" s="121">
        <f t="shared" si="11"/>
        <v>0.22375934920514851</v>
      </c>
      <c r="AH29" s="123">
        <f t="shared" si="12"/>
        <v>1</v>
      </c>
      <c r="AI29" s="183">
        <f t="shared" si="13"/>
        <v>0.22375934920514851</v>
      </c>
      <c r="AJ29" s="120">
        <f t="shared" si="14"/>
        <v>0.22375934920514851</v>
      </c>
      <c r="AK29" s="119">
        <f t="shared" si="15"/>
        <v>0.22375934920514851</v>
      </c>
      <c r="AS29" s="25"/>
      <c r="AT29" s="25"/>
      <c r="AU29" s="25"/>
      <c r="AV29" s="25"/>
      <c r="AW29" s="25"/>
      <c r="AX29" s="25"/>
      <c r="AZ29" s="25"/>
      <c r="BA29" s="25"/>
      <c r="BB29" s="25"/>
      <c r="BC29" s="25"/>
      <c r="BD29" s="25"/>
      <c r="BE29" s="25"/>
      <c r="BF29" s="25"/>
      <c r="BI29" s="25"/>
      <c r="BJ29" s="25"/>
      <c r="BK29" s="25"/>
      <c r="BL29" s="25"/>
      <c r="BM29" s="25"/>
      <c r="BN29" s="25"/>
      <c r="BP29" s="25"/>
      <c r="BQ29" s="25"/>
      <c r="BR29" s="25"/>
      <c r="BS29" s="25"/>
      <c r="BT29" s="25"/>
      <c r="BU29" s="25"/>
      <c r="BV29" s="25"/>
      <c r="BX29" s="25"/>
      <c r="BY29" s="25"/>
      <c r="BZ29" s="25"/>
      <c r="CA29" s="25"/>
      <c r="CB29" s="25"/>
      <c r="CC29" s="25"/>
      <c r="CE29" s="25"/>
      <c r="CF29" s="25"/>
      <c r="CG29" s="25"/>
      <c r="CH29" s="25"/>
      <c r="CI29" s="25"/>
      <c r="CJ29" s="25"/>
      <c r="CK29" s="25"/>
    </row>
    <row r="30" spans="1:89" ht="14" customHeight="1" thickBot="1">
      <c r="A30" s="93" t="s">
        <v>56</v>
      </c>
      <c r="B30" s="101">
        <v>0.6190340508094645</v>
      </c>
      <c r="C30" s="103"/>
      <c r="D30" s="24">
        <f>(D119-B124)</f>
        <v>9.0089255167483611</v>
      </c>
      <c r="E30" s="75">
        <f>Poor!E30</f>
        <v>1</v>
      </c>
      <c r="H30" s="96">
        <f>(E30*F$7/F$9)</f>
        <v>1</v>
      </c>
      <c r="I30" s="29">
        <f>IF(E30&gt;=1,I119-I124,MIN(I119-I124,B30*H30))</f>
        <v>4.4524632512909861</v>
      </c>
      <c r="J30" s="231">
        <f>IF(I$32&lt;=1,I30,1-SUM(J6:J29))</f>
        <v>0.14029393642207899</v>
      </c>
      <c r="K30" s="22">
        <f t="shared" si="4"/>
        <v>0.6190340508094645</v>
      </c>
      <c r="L30" s="22">
        <f>IF(L124=L119,0,IF(K30="",0,(L119-L124)/(B119-B124)*K30))</f>
        <v>0.31755339452062459</v>
      </c>
      <c r="M30" s="175">
        <f t="shared" si="6"/>
        <v>0.14029393642207899</v>
      </c>
      <c r="N30" s="166" t="s">
        <v>86</v>
      </c>
      <c r="O30" s="2"/>
      <c r="P30" s="22"/>
      <c r="Q30" s="234" t="s">
        <v>141</v>
      </c>
      <c r="R30" s="234">
        <f t="shared" ref="R30:T32" si="24">IF(R24&gt;R$23,R24-R$23,0)</f>
        <v>0</v>
      </c>
      <c r="S30" s="234">
        <f t="shared" si="24"/>
        <v>0</v>
      </c>
      <c r="T30" s="234">
        <f t="shared" si="24"/>
        <v>0</v>
      </c>
      <c r="V30" s="56"/>
      <c r="W30" s="110"/>
      <c r="X30" s="118"/>
      <c r="Y30" s="183">
        <f>M30*4</f>
        <v>0.56117574568831596</v>
      </c>
      <c r="Z30" s="122">
        <f>IF($Y30=0,0,AA30/($Y$30))</f>
        <v>0</v>
      </c>
      <c r="AA30" s="187">
        <f>IF(AA79*4/$I$84+SUM(AA6:AA29)&lt;1,AA79*4/$I$84,1-SUM(AA6:AA29))</f>
        <v>0</v>
      </c>
      <c r="AB30" s="122">
        <f>IF($Y30=0,0,AC30/($Y$30))</f>
        <v>1.9783874003025576E-16</v>
      </c>
      <c r="AC30" s="187">
        <f>IF(AC79*4/$I$84+SUM(AC6:AC29)&lt;1,AC79*4/$I$84,1-SUM(AC6:AC29))</f>
        <v>1.1102230246251565E-16</v>
      </c>
      <c r="AD30" s="122">
        <f>IF($Y30=0,0,AE30/($Y$30))</f>
        <v>0.29214085563299053</v>
      </c>
      <c r="AE30" s="187">
        <f>IF(AE79*4/$I$84+SUM(AE6:AE29)&lt;1,AE79*4/$I$84,1-SUM(AE6:AE29))</f>
        <v>0.16394236250586613</v>
      </c>
      <c r="AF30" s="122">
        <f>IF($Y30=0,0,AG30/($Y$30))</f>
        <v>0.9311147419342416</v>
      </c>
      <c r="AG30" s="187">
        <f>IF(AG79*4/$I$84+SUM(AG6:AG29)&lt;1,AG79*4/$I$84,1-SUM(AG6:AG29))</f>
        <v>0.52251900962633191</v>
      </c>
      <c r="AH30" s="123">
        <f t="shared" si="12"/>
        <v>1.2232555975672323</v>
      </c>
      <c r="AI30" s="183">
        <f t="shared" si="13"/>
        <v>0.17161534303304954</v>
      </c>
      <c r="AJ30" s="120">
        <f t="shared" si="14"/>
        <v>5.5511151231257827E-17</v>
      </c>
      <c r="AK30" s="119">
        <f t="shared" si="15"/>
        <v>0.34323068606609902</v>
      </c>
      <c r="AS30" s="25"/>
      <c r="AT30" s="25"/>
      <c r="AU30" s="25"/>
      <c r="AV30" s="25"/>
      <c r="AW30" s="25"/>
      <c r="AX30" s="25"/>
      <c r="AZ30" s="25"/>
      <c r="BA30" s="25"/>
      <c r="BB30" s="25"/>
      <c r="BC30" s="25"/>
      <c r="BD30" s="25"/>
      <c r="BE30" s="25"/>
      <c r="BF30" s="25"/>
      <c r="BI30" s="25"/>
      <c r="BJ30" s="25"/>
      <c r="BK30" s="25"/>
      <c r="BL30" s="25"/>
      <c r="BM30" s="25"/>
      <c r="BN30" s="25"/>
      <c r="BP30" s="25"/>
      <c r="BQ30" s="25"/>
      <c r="BR30" s="25"/>
      <c r="BS30" s="25"/>
      <c r="BT30" s="25"/>
      <c r="BU30" s="25"/>
      <c r="BV30" s="25"/>
      <c r="BX30" s="25"/>
      <c r="BY30" s="25"/>
      <c r="BZ30" s="25"/>
      <c r="CA30" s="25"/>
      <c r="CB30" s="25"/>
      <c r="CC30" s="25"/>
      <c r="CE30" s="25"/>
      <c r="CF30" s="25"/>
      <c r="CG30" s="25"/>
      <c r="CH30" s="25"/>
      <c r="CI30" s="25"/>
      <c r="CJ30" s="25"/>
      <c r="CK30" s="25"/>
    </row>
    <row r="31" spans="1:89" ht="14" customHeight="1" thickBot="1">
      <c r="A31" s="94" t="s">
        <v>57</v>
      </c>
      <c r="B31" s="101" t="str">
        <f>IF(1-$B$32&gt;0,1-$B$32,"")</f>
        <v/>
      </c>
      <c r="C31" s="77"/>
      <c r="D31" s="24"/>
      <c r="E31" s="22"/>
      <c r="F31" s="22"/>
      <c r="H31" s="24"/>
      <c r="I31" s="22"/>
      <c r="J31" s="232">
        <f>(1-SUM(J6:J30))</f>
        <v>0</v>
      </c>
      <c r="K31" s="22" t="str">
        <f t="shared" si="4"/>
        <v/>
      </c>
      <c r="L31" s="22">
        <f>(1-SUM(L6:L30))</f>
        <v>-6.7435806755813399E-2</v>
      </c>
      <c r="M31" s="178">
        <f t="shared" si="6"/>
        <v>0</v>
      </c>
      <c r="N31" s="167">
        <f>M31*I83</f>
        <v>0</v>
      </c>
      <c r="P31" s="22"/>
      <c r="Q31" s="238" t="s">
        <v>142</v>
      </c>
      <c r="R31" s="234">
        <f t="shared" si="24"/>
        <v>0</v>
      </c>
      <c r="S31" s="234">
        <f t="shared" si="24"/>
        <v>0</v>
      </c>
      <c r="T31" s="234">
        <f>IF(T25&gt;T$23,T25-T$23,0)</f>
        <v>0</v>
      </c>
      <c r="V31" s="56"/>
      <c r="W31" s="129" t="s">
        <v>84</v>
      </c>
      <c r="X31" s="130"/>
      <c r="Y31" s="121">
        <f>M31*4</f>
        <v>0</v>
      </c>
      <c r="Z31" s="131"/>
      <c r="AA31" s="132">
        <f>1-AA32+IF($Y32&lt;0,$Y32/4,0)</f>
        <v>0</v>
      </c>
      <c r="AB31" s="131"/>
      <c r="AC31" s="133">
        <f>1-AC32+IF($Y32&lt;0,$Y32/4,0)</f>
        <v>0</v>
      </c>
      <c r="AD31" s="134"/>
      <c r="AE31" s="133">
        <f>1-AE32+IF($Y32&lt;0,$Y32/4,0)</f>
        <v>0</v>
      </c>
      <c r="AF31" s="134"/>
      <c r="AG31" s="133">
        <f>1-AG32+IF($Y32&lt;0,$Y32/4,0)</f>
        <v>0</v>
      </c>
      <c r="AH31" s="123"/>
      <c r="AI31" s="182">
        <f>SUM(AA31,AC31,AE31,AG31)/4</f>
        <v>0</v>
      </c>
      <c r="AJ31" s="135">
        <f t="shared" si="14"/>
        <v>0</v>
      </c>
      <c r="AK31" s="136">
        <f t="shared" si="15"/>
        <v>0</v>
      </c>
      <c r="AS31" s="25"/>
      <c r="AT31" s="25"/>
      <c r="AU31" s="25"/>
      <c r="AV31" s="25"/>
      <c r="AW31" s="25"/>
      <c r="AX31" s="25"/>
      <c r="AZ31" s="25"/>
      <c r="BA31" s="25"/>
      <c r="BB31" s="25"/>
      <c r="BC31" s="25"/>
      <c r="BD31" s="25"/>
      <c r="BE31" s="25"/>
      <c r="BF31" s="25"/>
      <c r="BI31" s="25"/>
      <c r="BJ31" s="25"/>
      <c r="BK31" s="25"/>
      <c r="BL31" s="25"/>
      <c r="BM31" s="25"/>
      <c r="BN31" s="25"/>
      <c r="BP31" s="25"/>
      <c r="BQ31" s="25"/>
      <c r="BR31" s="25"/>
      <c r="BS31" s="25"/>
      <c r="BT31" s="25"/>
      <c r="BU31" s="25"/>
      <c r="BV31" s="25"/>
      <c r="BX31" s="25"/>
      <c r="BY31" s="25"/>
      <c r="BZ31" s="25"/>
      <c r="CA31" s="25"/>
      <c r="CB31" s="25"/>
      <c r="CC31" s="25"/>
      <c r="CE31" s="25"/>
      <c r="CF31" s="25"/>
      <c r="CG31" s="25"/>
      <c r="CH31" s="25"/>
      <c r="CI31" s="25"/>
      <c r="CJ31" s="25"/>
      <c r="CK31" s="25"/>
    </row>
    <row r="32" spans="1:89" ht="14" customHeight="1">
      <c r="A32" s="22" t="s">
        <v>24</v>
      </c>
      <c r="B32" s="77">
        <f>SUM(B6:B30)</f>
        <v>1.3914851653926195</v>
      </c>
      <c r="C32" s="77">
        <f>SUM(C6:C31)</f>
        <v>0.49641828207930605</v>
      </c>
      <c r="D32" s="24">
        <f>SUM(D6:D30)</f>
        <v>10.277794913410823</v>
      </c>
      <c r="E32" s="2"/>
      <c r="F32" s="2"/>
      <c r="H32" s="17"/>
      <c r="I32" s="22">
        <f>SUM(I6:I30)</f>
        <v>5.7397716442356188</v>
      </c>
      <c r="J32" s="17"/>
      <c r="L32" s="22">
        <f>SUM(L6:L30)</f>
        <v>1.0674358067558134</v>
      </c>
      <c r="M32" s="23"/>
      <c r="N32" s="56"/>
      <c r="O32" s="2"/>
      <c r="P32" s="22"/>
      <c r="Q32" s="234" t="s">
        <v>143</v>
      </c>
      <c r="R32" s="234">
        <f t="shared" si="24"/>
        <v>0</v>
      </c>
      <c r="S32" s="234">
        <f t="shared" si="24"/>
        <v>0</v>
      </c>
      <c r="T32" s="234">
        <f t="shared" si="24"/>
        <v>0</v>
      </c>
      <c r="V32" s="56"/>
      <c r="W32" s="110"/>
      <c r="X32" s="118"/>
      <c r="Y32" s="115">
        <f>SUM(Y6:Y31)</f>
        <v>3.874714373556118</v>
      </c>
      <c r="Z32" s="137"/>
      <c r="AA32" s="138">
        <f>SUM(AA6:AA30)</f>
        <v>1</v>
      </c>
      <c r="AB32" s="137"/>
      <c r="AC32" s="139">
        <f>SUM(AC6:AC30)</f>
        <v>1</v>
      </c>
      <c r="AD32" s="137"/>
      <c r="AE32" s="139">
        <f>SUM(AE6:AE30)</f>
        <v>1</v>
      </c>
      <c r="AF32" s="137"/>
      <c r="AG32" s="139">
        <f>SUM(AG6:AG30)</f>
        <v>1</v>
      </c>
      <c r="AH32" s="127"/>
      <c r="AI32" s="110"/>
      <c r="AJ32" s="140">
        <f>SUM(AJ6:AJ31)</f>
        <v>1</v>
      </c>
      <c r="AK32" s="141">
        <f>SUM(AK6:AK31)</f>
        <v>1</v>
      </c>
      <c r="AS32" s="25"/>
      <c r="AT32" s="25"/>
      <c r="AU32" s="25"/>
      <c r="AV32" s="25"/>
      <c r="AW32" s="25"/>
      <c r="AX32" s="25"/>
      <c r="AZ32" s="25"/>
      <c r="BA32" s="25"/>
      <c r="BB32" s="25"/>
      <c r="BC32" s="25"/>
      <c r="BD32" s="25"/>
      <c r="BE32" s="25"/>
      <c r="BI32" s="25"/>
      <c r="BJ32" s="25"/>
      <c r="BK32" s="25"/>
      <c r="BL32" s="25"/>
      <c r="BM32" s="25"/>
      <c r="BN32" s="25"/>
      <c r="BP32" s="25"/>
      <c r="BQ32" s="25"/>
      <c r="BR32" s="25"/>
      <c r="BS32" s="25"/>
      <c r="BT32" s="25"/>
      <c r="BU32" s="25"/>
      <c r="BX32" s="25"/>
      <c r="BY32" s="25"/>
      <c r="BZ32" s="25"/>
      <c r="CA32" s="25"/>
      <c r="CB32" s="25"/>
      <c r="CC32" s="25"/>
      <c r="CE32" s="25"/>
      <c r="CF32" s="25"/>
      <c r="CG32" s="25"/>
      <c r="CH32" s="25"/>
      <c r="CI32" s="25"/>
      <c r="CJ32" s="25"/>
    </row>
    <row r="33" spans="1:88" ht="14" customHeight="1" thickBot="1">
      <c r="A33" s="11"/>
      <c r="B33" s="11"/>
      <c r="C33" s="11"/>
      <c r="D33" s="10"/>
      <c r="E33" s="11"/>
      <c r="F33" s="11"/>
      <c r="G33" s="11"/>
      <c r="H33" s="10"/>
      <c r="I33" s="97" t="s">
        <v>25</v>
      </c>
      <c r="J33" s="98">
        <f>(1+K127*H127-L32-L127)/(I32-L32-L127)</f>
        <v>0.20435121353410662</v>
      </c>
      <c r="K33" s="14"/>
      <c r="L33" s="11"/>
      <c r="M33" s="30"/>
      <c r="N33" s="168" t="s">
        <v>87</v>
      </c>
      <c r="O33" s="2"/>
      <c r="P33" s="2"/>
      <c r="Q33" s="238"/>
      <c r="R33" s="234"/>
      <c r="S33" s="234"/>
      <c r="T33" s="234"/>
      <c r="V33" s="56"/>
      <c r="W33" s="110"/>
      <c r="X33" s="118"/>
      <c r="Y33" s="110"/>
      <c r="Z33" s="143"/>
      <c r="AA33" s="144"/>
      <c r="AB33" s="143"/>
      <c r="AC33" s="144"/>
      <c r="AD33" s="143"/>
      <c r="AE33" s="144"/>
      <c r="AF33" s="143"/>
      <c r="AG33" s="144"/>
      <c r="AH33" s="110"/>
      <c r="AI33" s="110"/>
      <c r="AJ33" s="143"/>
      <c r="AK33" s="144"/>
      <c r="AS33" s="25"/>
      <c r="AT33" s="25"/>
      <c r="AU33" s="25"/>
      <c r="AV33" s="25"/>
      <c r="AW33" s="25"/>
      <c r="AX33" s="25"/>
      <c r="AZ33" s="25"/>
      <c r="BA33" s="25"/>
      <c r="BB33" s="25"/>
      <c r="BC33" s="25"/>
      <c r="BD33" s="25"/>
      <c r="BE33" s="25"/>
      <c r="BI33" s="25"/>
      <c r="BJ33" s="25"/>
      <c r="BK33" s="25"/>
      <c r="BL33" s="25"/>
      <c r="BM33" s="25"/>
      <c r="BN33" s="25"/>
      <c r="BP33" s="25"/>
      <c r="BQ33" s="25"/>
      <c r="BR33" s="25"/>
      <c r="BS33" s="25"/>
      <c r="BT33" s="25"/>
      <c r="BU33" s="25"/>
      <c r="BX33" s="25"/>
      <c r="BY33" s="25"/>
      <c r="BZ33" s="25"/>
      <c r="CA33" s="25"/>
      <c r="CB33" s="25"/>
      <c r="CC33" s="25"/>
      <c r="CE33" s="25"/>
      <c r="CF33" s="25"/>
      <c r="CG33" s="25"/>
      <c r="CH33" s="25"/>
      <c r="CI33" s="25"/>
      <c r="CJ33" s="25"/>
    </row>
    <row r="34" spans="1:88" ht="15.75" customHeight="1" thickBot="1">
      <c r="A34" s="73" t="s">
        <v>47</v>
      </c>
      <c r="B34" s="2"/>
      <c r="C34" s="2"/>
      <c r="D34" s="31"/>
      <c r="E34" s="32"/>
      <c r="F34" s="32"/>
      <c r="G34" s="32"/>
      <c r="H34" s="31"/>
      <c r="I34" s="2"/>
      <c r="J34" s="33"/>
      <c r="K34" s="34" t="s">
        <v>27</v>
      </c>
      <c r="L34" s="35"/>
      <c r="M34" s="36"/>
      <c r="N34" s="169">
        <f>-(M77*B76)</f>
        <v>0</v>
      </c>
      <c r="O34" s="2"/>
      <c r="P34" s="2"/>
      <c r="V34" s="56"/>
      <c r="W34" s="110"/>
      <c r="X34" s="118"/>
      <c r="Y34" s="110"/>
      <c r="Z34" s="145"/>
      <c r="AA34" s="146"/>
      <c r="AB34" s="145"/>
      <c r="AC34" s="146"/>
      <c r="AD34" s="145"/>
      <c r="AE34" s="146"/>
      <c r="AF34" s="145"/>
      <c r="AG34" s="146"/>
      <c r="AH34" s="110"/>
      <c r="AI34" s="110"/>
      <c r="AJ34" s="145"/>
      <c r="AK34" s="146"/>
      <c r="AP34" s="25"/>
      <c r="AQ34" s="25"/>
      <c r="AR34" s="25"/>
      <c r="AS34" s="25"/>
      <c r="AT34" s="25"/>
      <c r="AU34" s="25"/>
      <c r="AW34" s="25"/>
      <c r="AX34" s="25"/>
      <c r="AY34" s="25"/>
      <c r="AZ34" s="25"/>
      <c r="BA34" s="25"/>
      <c r="BB34" s="25"/>
      <c r="BF34" s="25"/>
      <c r="BG34" s="25"/>
      <c r="BH34" s="25"/>
      <c r="BI34" s="25"/>
      <c r="BJ34" s="25"/>
      <c r="BK34" s="25"/>
      <c r="BM34" s="25"/>
      <c r="BN34" s="25"/>
      <c r="BO34" s="25"/>
      <c r="BP34" s="25"/>
      <c r="BQ34" s="25"/>
      <c r="BR34" s="25"/>
      <c r="BU34" s="25"/>
      <c r="BV34" s="25"/>
      <c r="BW34" s="25"/>
      <c r="BX34" s="25"/>
      <c r="BY34" s="25"/>
      <c r="BZ34" s="25"/>
      <c r="CB34" s="25"/>
      <c r="CC34" s="25"/>
      <c r="CD34" s="25"/>
      <c r="CE34" s="25"/>
      <c r="CF34" s="25"/>
      <c r="CG34" s="25"/>
    </row>
    <row r="35" spans="1:88" ht="14" customHeight="1">
      <c r="A35" s="2"/>
      <c r="B35" s="19" t="s">
        <v>7</v>
      </c>
      <c r="C35" s="19" t="s">
        <v>8</v>
      </c>
      <c r="D35" s="16" t="s">
        <v>9</v>
      </c>
      <c r="E35" s="19" t="s">
        <v>10</v>
      </c>
      <c r="F35" s="2" t="s">
        <v>28</v>
      </c>
      <c r="G35" s="2" t="s">
        <v>29</v>
      </c>
      <c r="H35" s="16" t="s">
        <v>12</v>
      </c>
      <c r="I35" s="19" t="s">
        <v>13</v>
      </c>
      <c r="J35" s="16" t="s">
        <v>14</v>
      </c>
      <c r="K35" s="37" t="s">
        <v>7</v>
      </c>
      <c r="L35" s="19" t="s">
        <v>15</v>
      </c>
      <c r="M35" s="16" t="s">
        <v>14</v>
      </c>
      <c r="N35" s="2"/>
      <c r="O35" s="2"/>
      <c r="P35" s="2"/>
      <c r="R35" s="41"/>
      <c r="S35" s="41"/>
      <c r="V35" s="56"/>
      <c r="W35" s="110"/>
      <c r="X35" s="118"/>
      <c r="Y35" s="110"/>
      <c r="Z35" s="145"/>
      <c r="AA35" s="146"/>
      <c r="AB35" s="145"/>
      <c r="AC35" s="146"/>
      <c r="AD35" s="145"/>
      <c r="AE35" s="146"/>
      <c r="AF35" s="145"/>
      <c r="AG35" s="146"/>
      <c r="AH35" s="110"/>
      <c r="AI35" s="110"/>
      <c r="AJ35" s="145"/>
      <c r="AK35" s="146"/>
      <c r="AP35" s="25"/>
      <c r="AQ35" s="25"/>
      <c r="AR35" s="25"/>
      <c r="AS35" s="25"/>
      <c r="AT35" s="25"/>
      <c r="AU35" s="25"/>
      <c r="AW35" s="25"/>
      <c r="AX35" s="25"/>
      <c r="AY35" s="25"/>
      <c r="AZ35" s="25"/>
      <c r="BA35" s="25"/>
      <c r="BB35" s="25"/>
      <c r="BF35" s="25"/>
      <c r="BG35" s="25"/>
      <c r="BH35" s="25"/>
      <c r="BI35" s="25"/>
      <c r="BJ35" s="25"/>
      <c r="BK35" s="25"/>
      <c r="BM35" s="25"/>
      <c r="BN35" s="25"/>
      <c r="BO35" s="25"/>
      <c r="BP35" s="25"/>
      <c r="BQ35" s="25"/>
      <c r="BR35" s="25"/>
      <c r="BU35" s="25"/>
      <c r="BV35" s="25"/>
      <c r="BW35" s="25"/>
      <c r="BX35" s="25"/>
      <c r="BY35" s="25"/>
      <c r="BZ35" s="25"/>
      <c r="CB35" s="25"/>
      <c r="CC35" s="25"/>
      <c r="CD35" s="25"/>
      <c r="CE35" s="25"/>
      <c r="CF35" s="25"/>
      <c r="CG35" s="25"/>
    </row>
    <row r="36" spans="1:88" ht="14" customHeight="1">
      <c r="A36" s="2" t="s">
        <v>30</v>
      </c>
      <c r="B36" s="19" t="s">
        <v>16</v>
      </c>
      <c r="C36" s="19" t="s">
        <v>17</v>
      </c>
      <c r="D36" s="16" t="s">
        <v>16</v>
      </c>
      <c r="E36" s="19" t="s">
        <v>18</v>
      </c>
      <c r="F36" s="2" t="s">
        <v>31</v>
      </c>
      <c r="G36" s="2" t="s">
        <v>31</v>
      </c>
      <c r="H36" s="16" t="s">
        <v>18</v>
      </c>
      <c r="I36" s="19" t="s">
        <v>16</v>
      </c>
      <c r="J36" s="16" t="s">
        <v>16</v>
      </c>
      <c r="K36" s="37" t="s">
        <v>16</v>
      </c>
      <c r="L36" s="19" t="s">
        <v>19</v>
      </c>
      <c r="M36" s="16" t="s">
        <v>16</v>
      </c>
      <c r="N36" s="2"/>
      <c r="O36" s="2"/>
      <c r="P36" s="2"/>
      <c r="Q36" s="59"/>
      <c r="R36" s="242"/>
      <c r="S36" s="242"/>
      <c r="T36" s="252"/>
      <c r="U36" s="56"/>
      <c r="V36" s="56"/>
      <c r="W36" s="110"/>
      <c r="X36" s="118"/>
      <c r="Y36" s="110"/>
      <c r="Z36" s="145"/>
      <c r="AA36" s="146"/>
      <c r="AB36" s="145"/>
      <c r="AC36" s="146"/>
      <c r="AD36" s="145"/>
      <c r="AE36" s="146"/>
      <c r="AF36" s="145"/>
      <c r="AG36" s="146"/>
      <c r="AH36" s="110"/>
      <c r="AI36" s="110"/>
      <c r="AJ36" s="145"/>
      <c r="AK36" s="146"/>
      <c r="AP36" s="25"/>
      <c r="AQ36" s="25"/>
      <c r="AR36" s="25"/>
      <c r="AS36" s="25"/>
      <c r="AT36" s="25"/>
      <c r="AU36" s="25"/>
      <c r="AW36" s="25"/>
      <c r="AX36" s="25"/>
      <c r="AY36" s="25"/>
      <c r="AZ36" s="25"/>
      <c r="BA36" s="25"/>
      <c r="BB36" s="25"/>
      <c r="BF36" s="25"/>
      <c r="BG36" s="25"/>
      <c r="BH36" s="25"/>
      <c r="BI36" s="25"/>
      <c r="BJ36" s="25"/>
      <c r="BK36" s="25"/>
      <c r="BM36" s="25"/>
      <c r="BN36" s="25"/>
      <c r="BO36" s="25"/>
      <c r="BP36" s="25"/>
      <c r="BQ36" s="25"/>
      <c r="BR36" s="25"/>
      <c r="BU36" s="25"/>
      <c r="BV36" s="25"/>
      <c r="BW36" s="25"/>
      <c r="BX36" s="25"/>
      <c r="BY36" s="25"/>
      <c r="BZ36" s="25"/>
      <c r="CB36" s="25"/>
      <c r="CC36" s="25"/>
      <c r="CD36" s="25"/>
      <c r="CE36" s="25"/>
      <c r="CF36" s="25"/>
      <c r="CG36" s="25"/>
    </row>
    <row r="37" spans="1:88" ht="14" customHeight="1">
      <c r="A37" s="74" t="str">
        <f>IF(Poor!A37=0,"",Poor!A37)</f>
        <v>Pig sales: no sold</v>
      </c>
      <c r="B37" s="104">
        <v>933.33333333333337</v>
      </c>
      <c r="C37" s="104">
        <v>0</v>
      </c>
      <c r="D37" s="38">
        <f t="shared" ref="D37:D64" si="25">B37+C37</f>
        <v>933.33333333333337</v>
      </c>
      <c r="E37" s="75">
        <f>Poor!E37</f>
        <v>0.8</v>
      </c>
      <c r="F37" s="75">
        <f>Poor!F37</f>
        <v>1.18</v>
      </c>
      <c r="G37" s="75">
        <f>Poor!G37</f>
        <v>1.65</v>
      </c>
      <c r="H37" s="24">
        <f t="shared" ref="H37" si="26">(E37*F37)</f>
        <v>0.94399999999999995</v>
      </c>
      <c r="I37" s="39">
        <f t="shared" ref="I37" si="27">D37*H37</f>
        <v>881.06666666666661</v>
      </c>
      <c r="J37" s="38">
        <f>J91*I$83</f>
        <v>881.06666666666672</v>
      </c>
      <c r="K37" s="40">
        <f>(B37/B$65)</f>
        <v>9.311482387996171E-3</v>
      </c>
      <c r="L37" s="22">
        <f t="shared" ref="L37" si="28">(K37*H37)</f>
        <v>8.7900393742683849E-3</v>
      </c>
      <c r="M37" s="24">
        <f>J37/B$65</f>
        <v>8.7900393742683849E-3</v>
      </c>
      <c r="N37" s="2"/>
      <c r="O37" s="2"/>
      <c r="P37" s="2"/>
      <c r="Q37" s="59"/>
      <c r="R37" s="252"/>
      <c r="S37" s="252"/>
      <c r="T37" s="29"/>
      <c r="U37" s="56"/>
      <c r="V37" s="56"/>
      <c r="W37" s="115"/>
      <c r="X37" s="118"/>
      <c r="Y37" s="110"/>
      <c r="Z37" s="122">
        <f>IF($J37=0,0,AA37/($J37))</f>
        <v>0</v>
      </c>
      <c r="AA37" s="147">
        <f>IF(SUM(AA$6:AA$29)+(SUM(AA$39:AA$64,-AA$70)/AA$83)&lt;1,IF(SUM(AA$6:AA$29)+(SUM(AA$39:AA$64,$J$37:$J$38,-AA$70)/AA$83)&lt;1,$J37,(AA$83-(SUM(AA$6:AA$29)*AA$83)-SUM(AA$39:AA$64,-AA$70))*($J37/SUM($J$37:$J$38))),0)</f>
        <v>0</v>
      </c>
      <c r="AB37" s="122">
        <f>IF($J37=0,0,AC37/($J37))</f>
        <v>0</v>
      </c>
      <c r="AC37" s="147">
        <f>IF(SUM(AC$6:AC$29)+(SUM(AC$39:AC$64,-AC$70)/AC$83)&lt;1,IF(SUM(AC$6:AC$29)+((SUM(AC$39:AC$64,$J$37:$J$38,-AC$70)-SUM($AA$37:$AA$38))/AC$83)&lt;1,$J37-$AA37,(AC$83-(SUM(AC$6:AC$29)*AC$83)-SUM(AC$39:AC$64,-AC$70))*($J37/SUM($J$37:$J$38))),0)</f>
        <v>0</v>
      </c>
      <c r="AD37" s="122">
        <f>IF($J37=0,0,AE37/($J37))</f>
        <v>0</v>
      </c>
      <c r="AE37" s="147">
        <f>IF(SUM(AE$6:AE$29)+(SUM(AE$39:AE$64,-AE$70)/AE$83)&lt;1,IF(SUM(AE$6:AE$29)+((SUM(AE$39:AE$64,$J$37:$J$38,-AE$70)-SUM($AA$37:$AA$38)-SUM($AC$37:$AC$38))/AE$83)&lt;1,$J37-$AA37-$AC37,(AE$83-(SUM(AE$6:AE$29)*AE$83)-SUM(AE$39:AE$64,-AE$70))*($J37/SUM($J$37:$J$38))),0)</f>
        <v>0</v>
      </c>
      <c r="AF37" s="122">
        <f t="shared" ref="AF37:AF64" si="29">1-SUM(Z37,AB37,AD37)</f>
        <v>1</v>
      </c>
      <c r="AG37" s="147">
        <f>$J37*AF37</f>
        <v>881.06666666666672</v>
      </c>
      <c r="AH37" s="123">
        <f>SUM(Z37,AB37,AD37,AF37)</f>
        <v>1</v>
      </c>
      <c r="AI37" s="112">
        <f>SUM(AA37,AC37,AE37,AG37)</f>
        <v>881.06666666666672</v>
      </c>
      <c r="AJ37" s="148">
        <f>(AA37+AC37)</f>
        <v>0</v>
      </c>
      <c r="AK37" s="147">
        <f>(AE37+AG37)</f>
        <v>881.06666666666672</v>
      </c>
      <c r="AP37" s="25"/>
      <c r="AQ37" s="25"/>
      <c r="AR37" s="25"/>
      <c r="AS37" s="25"/>
      <c r="AT37" s="25"/>
      <c r="AU37" s="25"/>
      <c r="AW37" s="25"/>
      <c r="AX37" s="25"/>
      <c r="AY37" s="25"/>
      <c r="AZ37" s="25"/>
      <c r="BA37" s="25"/>
      <c r="BB37" s="25"/>
      <c r="BF37" s="25"/>
      <c r="BG37" s="25"/>
      <c r="BH37" s="25"/>
      <c r="BI37" s="25"/>
      <c r="BJ37" s="25"/>
      <c r="BK37" s="25"/>
      <c r="BM37" s="25"/>
      <c r="BN37" s="25"/>
      <c r="BO37" s="25"/>
      <c r="BP37" s="25"/>
      <c r="BQ37" s="25"/>
      <c r="BR37" s="25"/>
      <c r="BU37" s="25"/>
      <c r="BV37" s="25"/>
      <c r="BW37" s="25"/>
      <c r="BX37" s="25"/>
      <c r="BY37" s="25"/>
      <c r="BZ37" s="25"/>
      <c r="CB37" s="25"/>
      <c r="CC37" s="25"/>
      <c r="CD37" s="25"/>
      <c r="CE37" s="25"/>
      <c r="CF37" s="25"/>
      <c r="CG37" s="25"/>
    </row>
    <row r="38" spans="1:88" ht="14" customHeight="1">
      <c r="A38" s="74" t="str">
        <f>IF(Poor!A38=0,"",Poor!A38)</f>
        <v>Cattle sales - local: no. sold</v>
      </c>
      <c r="B38" s="104">
        <v>7333.333333333333</v>
      </c>
      <c r="C38" s="104">
        <v>2166.6666666666665</v>
      </c>
      <c r="D38" s="38">
        <f t="shared" si="25"/>
        <v>9500</v>
      </c>
      <c r="E38" s="75">
        <f>Poor!E38</f>
        <v>0.8</v>
      </c>
      <c r="F38" s="75">
        <f>Poor!F38</f>
        <v>1.18</v>
      </c>
      <c r="G38" s="75">
        <f>Poor!G38</f>
        <v>1.65</v>
      </c>
      <c r="H38" s="24">
        <f t="shared" ref="H38:H64" si="30">(E38*F38)</f>
        <v>0.94399999999999995</v>
      </c>
      <c r="I38" s="39">
        <f t="shared" ref="I38:I64" si="31">D38*H38</f>
        <v>8968</v>
      </c>
      <c r="J38" s="38">
        <f t="shared" ref="J38:J64" si="32">J92*I$83</f>
        <v>7340.6330154150919</v>
      </c>
      <c r="K38" s="40">
        <f t="shared" ref="K38:K64" si="33">(B38/B$65)</f>
        <v>7.316164733425562E-2</v>
      </c>
      <c r="L38" s="22">
        <f t="shared" ref="L38:L64" si="34">(K38*H38)</f>
        <v>6.9064595083537295E-2</v>
      </c>
      <c r="M38" s="24">
        <f t="shared" ref="M38:M64" si="35">J38/B$65</f>
        <v>7.3234473256908045E-2</v>
      </c>
      <c r="N38" s="2"/>
      <c r="O38" s="2"/>
      <c r="P38" s="2"/>
      <c r="Q38" s="59"/>
      <c r="R38" s="252"/>
      <c r="S38" s="252"/>
      <c r="T38" s="29"/>
      <c r="U38" s="56"/>
      <c r="V38" s="56"/>
      <c r="W38" s="115"/>
      <c r="X38" s="118"/>
      <c r="Y38" s="110"/>
      <c r="Z38" s="122">
        <f>IF($J38=0,0,AA38/($J38))</f>
        <v>0</v>
      </c>
      <c r="AA38" s="147">
        <f>IF(SUM(AA$6:AA$29)+(SUM(AA$39:AA$64,-AA$70)/AA$83)&lt;1,IF(SUM(AA$6:AA$29)+(SUM(AA$39:AA$64,$J$37:$J$38,-AA$70)/AA$83)&lt;1,$J38,(AA$83-(SUM(AA$6:AA$29)*AA$83)-SUM(AA$39:AA$64,-AA$70))*($J38/SUM($J$37:$J$38))),0)</f>
        <v>0</v>
      </c>
      <c r="AB38" s="122">
        <f>IF($J38=0,0,AC38/($J38))</f>
        <v>0</v>
      </c>
      <c r="AC38" s="147">
        <f>IF(SUM(AC$6:AC$29)+(SUM(AC$39:AC$64,-AC$70)/AC$83)&lt;1,IF(SUM(AC$6:AC$29)+((SUM(AC$39:AC$64,$J$37:$J$38,-AC$70)-SUM($AA$37:$AA$38))/AC$83)&lt;1,$J38-$AA38,(AC$83-(SUM(AC$6:AC$29)*AC$83)-SUM(AC$39:AC$64,-AC$70))*($J38/SUM($J$37:$J$38))),0)</f>
        <v>0</v>
      </c>
      <c r="AD38" s="122">
        <f>IF($J38=0,0,AE38/($J38))</f>
        <v>0</v>
      </c>
      <c r="AE38" s="147">
        <f>IF(SUM(AE$6:AE$29)+(SUM(AE$39:AE$64,-AE$70)/AE$83)&lt;1,IF(SUM(AE$6:AE$29)+((SUM(AE$39:AE$64,$J$37:$J$38,-AE$70)-SUM($AA$37:$AA$38)-SUM($AC$37:$AC$38))/AE$83)&lt;1,$J38-$AA38-$AC38,(AE$83-(SUM(AE$6:AE$29)*AE$83)-SUM(AE$39:AE$64,-AE$70))*($J38/SUM($J$37:$J$38))),0)</f>
        <v>0</v>
      </c>
      <c r="AF38" s="122">
        <f t="shared" si="29"/>
        <v>1</v>
      </c>
      <c r="AG38" s="147">
        <f t="shared" ref="AG38:AG64" si="36">$J38*AF38</f>
        <v>7340.6330154150919</v>
      </c>
      <c r="AH38" s="123">
        <f t="shared" ref="AH38:AI58" si="37">SUM(Z38,AB38,AD38,AF38)</f>
        <v>1</v>
      </c>
      <c r="AI38" s="112">
        <f t="shared" si="37"/>
        <v>7340.6330154150919</v>
      </c>
      <c r="AJ38" s="148">
        <f t="shared" ref="AJ38:AJ64" si="38">(AA38+AC38)</f>
        <v>0</v>
      </c>
      <c r="AK38" s="147">
        <f t="shared" ref="AK38:AK64" si="39">(AE38+AG38)</f>
        <v>7340.6330154150919</v>
      </c>
      <c r="AP38" s="25"/>
      <c r="AQ38" s="25"/>
      <c r="AR38" s="25"/>
      <c r="AS38" s="25"/>
      <c r="AT38" s="25"/>
      <c r="AU38" s="25"/>
      <c r="AW38" s="25"/>
      <c r="AX38" s="25"/>
      <c r="AY38" s="25"/>
      <c r="AZ38" s="25"/>
      <c r="BA38" s="25"/>
      <c r="BB38" s="25"/>
      <c r="BF38" s="25"/>
      <c r="BG38" s="25"/>
      <c r="BH38" s="25"/>
      <c r="BI38" s="25"/>
      <c r="BJ38" s="25"/>
      <c r="BK38" s="25"/>
      <c r="BM38" s="25"/>
      <c r="BN38" s="25"/>
      <c r="BO38" s="25"/>
      <c r="BP38" s="25"/>
      <c r="BQ38" s="25"/>
      <c r="BR38" s="25"/>
      <c r="BU38" s="25"/>
      <c r="BV38" s="25"/>
      <c r="BW38" s="25"/>
      <c r="BX38" s="25"/>
      <c r="BY38" s="25"/>
      <c r="BZ38" s="25"/>
      <c r="CB38" s="25"/>
      <c r="CC38" s="25"/>
      <c r="CD38" s="25"/>
      <c r="CE38" s="25"/>
      <c r="CF38" s="25"/>
      <c r="CG38" s="25"/>
    </row>
    <row r="39" spans="1:88" ht="14" customHeight="1">
      <c r="A39" s="74" t="str">
        <f>IF(Poor!A39=0,"",Poor!A39)</f>
        <v>Goat sales - local: no. sold</v>
      </c>
      <c r="B39" s="104">
        <v>1973.3333333333333</v>
      </c>
      <c r="C39" s="104">
        <v>16.666666666666668</v>
      </c>
      <c r="D39" s="38">
        <f t="shared" si="25"/>
        <v>1990</v>
      </c>
      <c r="E39" s="75">
        <f>Poor!E39</f>
        <v>0.8</v>
      </c>
      <c r="F39" s="75">
        <f>Poor!F39</f>
        <v>1.18</v>
      </c>
      <c r="G39" s="75">
        <f>Poor!G39</f>
        <v>1.65</v>
      </c>
      <c r="H39" s="24">
        <f t="shared" si="30"/>
        <v>0.94399999999999995</v>
      </c>
      <c r="I39" s="39">
        <f t="shared" si="31"/>
        <v>1878.56</v>
      </c>
      <c r="J39" s="38">
        <f t="shared" si="32"/>
        <v>1866.0417924262701</v>
      </c>
      <c r="K39" s="40">
        <f t="shared" si="33"/>
        <v>1.9687134191763329E-2</v>
      </c>
      <c r="L39" s="22">
        <f t="shared" si="34"/>
        <v>1.8584654677024581E-2</v>
      </c>
      <c r="M39" s="24">
        <f t="shared" si="35"/>
        <v>1.8616730662973591E-2</v>
      </c>
      <c r="N39" s="2"/>
      <c r="O39" s="2"/>
      <c r="P39" s="2"/>
      <c r="Q39" s="59"/>
      <c r="R39" s="252"/>
      <c r="S39" s="252"/>
      <c r="T39" s="29"/>
      <c r="U39" s="56"/>
      <c r="V39" s="56"/>
      <c r="W39" s="115"/>
      <c r="X39" s="194">
        <f>X8</f>
        <v>1</v>
      </c>
      <c r="Y39" s="110"/>
      <c r="Z39" s="122">
        <f>Z8</f>
        <v>0.32611485943261326</v>
      </c>
      <c r="AA39" s="147">
        <f t="shared" ref="AA39:AA64" si="40">$J39*Z39</f>
        <v>608.54395683247481</v>
      </c>
      <c r="AB39" s="122">
        <f>AB8</f>
        <v>0.40578142898689862</v>
      </c>
      <c r="AC39" s="147">
        <f t="shared" ref="AC39:AC64" si="41">$J39*AB39</f>
        <v>757.20510508000552</v>
      </c>
      <c r="AD39" s="122">
        <f>AD8</f>
        <v>0.26810371158048812</v>
      </c>
      <c r="AE39" s="147">
        <f t="shared" ref="AE39:AE64" si="42">$J39*AD39</f>
        <v>500.29273051378982</v>
      </c>
      <c r="AF39" s="122">
        <f t="shared" si="29"/>
        <v>0</v>
      </c>
      <c r="AG39" s="147">
        <f t="shared" si="36"/>
        <v>0</v>
      </c>
      <c r="AH39" s="123">
        <f t="shared" si="37"/>
        <v>1</v>
      </c>
      <c r="AI39" s="112">
        <f t="shared" si="37"/>
        <v>1866.0417924262701</v>
      </c>
      <c r="AJ39" s="148">
        <f t="shared" si="38"/>
        <v>1365.7490619124803</v>
      </c>
      <c r="AK39" s="147">
        <f t="shared" si="39"/>
        <v>500.29273051378982</v>
      </c>
      <c r="AP39" s="25"/>
      <c r="AQ39" s="25"/>
      <c r="AR39" s="25"/>
      <c r="AS39" s="25"/>
      <c r="AT39" s="25"/>
      <c r="AU39" s="25"/>
      <c r="AW39" s="25"/>
      <c r="AX39" s="25"/>
      <c r="AY39" s="25"/>
      <c r="AZ39" s="25"/>
      <c r="BA39" s="25"/>
      <c r="BB39" s="25"/>
      <c r="BF39" s="25"/>
      <c r="BG39" s="25"/>
      <c r="BH39" s="25"/>
      <c r="BI39" s="25"/>
      <c r="BJ39" s="25"/>
      <c r="BK39" s="25"/>
      <c r="BM39" s="25"/>
      <c r="BN39" s="25"/>
      <c r="BO39" s="25"/>
      <c r="BP39" s="25"/>
      <c r="BQ39" s="25"/>
      <c r="BR39" s="25"/>
      <c r="BU39" s="25"/>
      <c r="BV39" s="25"/>
      <c r="BW39" s="25"/>
      <c r="BX39" s="25"/>
      <c r="BY39" s="25"/>
      <c r="BZ39" s="25"/>
      <c r="CB39" s="25"/>
      <c r="CC39" s="25"/>
      <c r="CD39" s="25"/>
      <c r="CE39" s="25"/>
      <c r="CF39" s="25"/>
      <c r="CG39" s="25"/>
    </row>
    <row r="40" spans="1:88" ht="14" customHeight="1">
      <c r="A40" s="74" t="str">
        <f>IF(Poor!A40=0,"",Poor!A40)</f>
        <v>Chicken sales: no. sold</v>
      </c>
      <c r="B40" s="104">
        <v>350</v>
      </c>
      <c r="C40" s="104">
        <v>0</v>
      </c>
      <c r="D40" s="38">
        <f t="shared" si="25"/>
        <v>350</v>
      </c>
      <c r="E40" s="75">
        <f>Poor!E40</f>
        <v>1</v>
      </c>
      <c r="F40" s="75">
        <f>Poor!F40</f>
        <v>1.18</v>
      </c>
      <c r="G40" s="75">
        <f>Poor!G40</f>
        <v>1.65</v>
      </c>
      <c r="H40" s="24">
        <f t="shared" si="30"/>
        <v>1.18</v>
      </c>
      <c r="I40" s="39">
        <f t="shared" si="31"/>
        <v>413</v>
      </c>
      <c r="J40" s="38">
        <f t="shared" si="32"/>
        <v>413</v>
      </c>
      <c r="K40" s="40">
        <f t="shared" si="33"/>
        <v>3.4918058954985635E-3</v>
      </c>
      <c r="L40" s="22">
        <f t="shared" si="34"/>
        <v>4.1203309566883043E-3</v>
      </c>
      <c r="M40" s="24">
        <f t="shared" si="35"/>
        <v>4.1203309566883051E-3</v>
      </c>
      <c r="N40" s="2"/>
      <c r="O40" s="2"/>
      <c r="P40" s="2"/>
      <c r="Q40" s="59"/>
      <c r="R40" s="252"/>
      <c r="S40" s="252"/>
      <c r="T40" s="29"/>
      <c r="U40" s="56"/>
      <c r="V40" s="56"/>
      <c r="W40" s="115"/>
      <c r="X40" s="194">
        <f>X9</f>
        <v>1</v>
      </c>
      <c r="Y40" s="110"/>
      <c r="Z40" s="122">
        <f>Z9</f>
        <v>0.32611485943261326</v>
      </c>
      <c r="AA40" s="147">
        <f t="shared" si="40"/>
        <v>134.68543694566927</v>
      </c>
      <c r="AB40" s="122">
        <f>AB9</f>
        <v>0.40578142898689856</v>
      </c>
      <c r="AC40" s="147">
        <f t="shared" si="41"/>
        <v>167.5877301715891</v>
      </c>
      <c r="AD40" s="122">
        <f>AD9</f>
        <v>0.26810371158048818</v>
      </c>
      <c r="AE40" s="147">
        <f t="shared" si="42"/>
        <v>110.72683288274162</v>
      </c>
      <c r="AF40" s="122">
        <f t="shared" si="29"/>
        <v>0</v>
      </c>
      <c r="AG40" s="147">
        <f t="shared" si="36"/>
        <v>0</v>
      </c>
      <c r="AH40" s="123">
        <f t="shared" si="37"/>
        <v>1</v>
      </c>
      <c r="AI40" s="112">
        <f t="shared" si="37"/>
        <v>413</v>
      </c>
      <c r="AJ40" s="148">
        <f t="shared" si="38"/>
        <v>302.27316711725837</v>
      </c>
      <c r="AK40" s="147">
        <f t="shared" si="39"/>
        <v>110.72683288274162</v>
      </c>
      <c r="AP40" s="25"/>
      <c r="AQ40" s="25"/>
      <c r="AR40" s="25"/>
      <c r="AS40" s="25"/>
      <c r="AT40" s="25"/>
      <c r="AU40" s="25"/>
      <c r="AW40" s="25"/>
      <c r="AX40" s="25"/>
      <c r="AY40" s="25"/>
      <c r="AZ40" s="25"/>
      <c r="BA40" s="25"/>
      <c r="BB40" s="25"/>
      <c r="BF40" s="25"/>
      <c r="BG40" s="25"/>
      <c r="BH40" s="25"/>
      <c r="BI40" s="25"/>
      <c r="BJ40" s="25"/>
      <c r="BK40" s="25"/>
      <c r="BM40" s="25"/>
      <c r="BN40" s="25"/>
      <c r="BO40" s="25"/>
      <c r="BP40" s="25"/>
      <c r="BQ40" s="25"/>
      <c r="BR40" s="25"/>
      <c r="BU40" s="25"/>
      <c r="BV40" s="25"/>
      <c r="BW40" s="25"/>
      <c r="BX40" s="25"/>
      <c r="BY40" s="25"/>
      <c r="BZ40" s="25"/>
      <c r="CB40" s="25"/>
      <c r="CC40" s="25"/>
      <c r="CD40" s="25"/>
      <c r="CE40" s="25"/>
      <c r="CF40" s="25"/>
      <c r="CG40" s="25"/>
    </row>
    <row r="41" spans="1:88" ht="14" customHeight="1">
      <c r="A41" s="74" t="str">
        <f>IF(Poor!A41=0,"",Poor!A41)</f>
        <v>Green maize sold: quantity</v>
      </c>
      <c r="B41" s="104">
        <v>8558.3333333333339</v>
      </c>
      <c r="C41" s="104">
        <v>0</v>
      </c>
      <c r="D41" s="38">
        <f t="shared" si="25"/>
        <v>8558.3333333333339</v>
      </c>
      <c r="E41" s="75">
        <f>Poor!E41</f>
        <v>1</v>
      </c>
      <c r="F41" s="75">
        <f>Poor!F41</f>
        <v>1.4</v>
      </c>
      <c r="G41" s="75">
        <f>Poor!G41</f>
        <v>1.65</v>
      </c>
      <c r="H41" s="24">
        <f t="shared" si="30"/>
        <v>1.4</v>
      </c>
      <c r="I41" s="39">
        <f t="shared" si="31"/>
        <v>11981.666666666666</v>
      </c>
      <c r="J41" s="38">
        <f t="shared" si="32"/>
        <v>11981.666666666668</v>
      </c>
      <c r="K41" s="40">
        <f t="shared" si="33"/>
        <v>8.5382967968500603E-2</v>
      </c>
      <c r="L41" s="22">
        <f t="shared" si="34"/>
        <v>0.11953615515590084</v>
      </c>
      <c r="M41" s="24">
        <f t="shared" si="35"/>
        <v>0.11953615515590084</v>
      </c>
      <c r="N41" s="2"/>
      <c r="O41" s="2"/>
      <c r="P41" s="2"/>
      <c r="Q41" s="59"/>
      <c r="R41" s="252"/>
      <c r="S41" s="252"/>
      <c r="T41" s="253"/>
      <c r="U41" s="56"/>
      <c r="V41" s="56"/>
      <c r="W41" s="115"/>
      <c r="X41" s="194">
        <f>X11</f>
        <v>1</v>
      </c>
      <c r="Y41" s="110"/>
      <c r="Z41" s="122">
        <f>Z11</f>
        <v>0.32611485943261331</v>
      </c>
      <c r="AA41" s="147">
        <f t="shared" si="40"/>
        <v>3907.3995407684288</v>
      </c>
      <c r="AB41" s="122">
        <f>AB11</f>
        <v>0.40578142898689862</v>
      </c>
      <c r="AC41" s="147">
        <f t="shared" si="41"/>
        <v>4861.9378216446912</v>
      </c>
      <c r="AD41" s="122">
        <f>AD11</f>
        <v>0.26810371158048818</v>
      </c>
      <c r="AE41" s="147">
        <f t="shared" si="42"/>
        <v>3212.3293042535497</v>
      </c>
      <c r="AF41" s="122">
        <f t="shared" si="29"/>
        <v>0</v>
      </c>
      <c r="AG41" s="147">
        <f t="shared" si="36"/>
        <v>0</v>
      </c>
      <c r="AH41" s="123">
        <f t="shared" si="37"/>
        <v>1</v>
      </c>
      <c r="AI41" s="112">
        <f t="shared" si="37"/>
        <v>11981.66666666667</v>
      </c>
      <c r="AJ41" s="148">
        <f t="shared" si="38"/>
        <v>8769.33736241312</v>
      </c>
      <c r="AK41" s="147">
        <f t="shared" si="39"/>
        <v>3212.3293042535497</v>
      </c>
      <c r="AP41" s="25"/>
      <c r="AQ41" s="25"/>
      <c r="AR41" s="25"/>
      <c r="AS41" s="25"/>
      <c r="AT41" s="25"/>
      <c r="AU41" s="25"/>
      <c r="AW41" s="25"/>
      <c r="AX41" s="25"/>
      <c r="AY41" s="25"/>
      <c r="AZ41" s="25"/>
      <c r="BA41" s="25"/>
      <c r="BB41" s="25"/>
      <c r="BF41" s="25"/>
      <c r="BG41" s="25"/>
      <c r="BH41" s="25"/>
      <c r="BI41" s="25"/>
      <c r="BJ41" s="25"/>
      <c r="BK41" s="25"/>
      <c r="BM41" s="25"/>
      <c r="BN41" s="25"/>
      <c r="BO41" s="25"/>
      <c r="BP41" s="25"/>
      <c r="BQ41" s="25"/>
      <c r="BR41" s="25"/>
      <c r="BU41" s="25"/>
      <c r="BV41" s="25"/>
      <c r="BW41" s="25"/>
      <c r="BX41" s="25"/>
      <c r="BY41" s="25"/>
      <c r="BZ41" s="25"/>
      <c r="CB41" s="25"/>
      <c r="CC41" s="25"/>
      <c r="CD41" s="25"/>
      <c r="CE41" s="25"/>
      <c r="CF41" s="25"/>
      <c r="CG41" s="25"/>
    </row>
    <row r="42" spans="1:88" ht="14" customHeight="1">
      <c r="A42" s="74" t="str">
        <f>IF(Poor!A42=0,"",Poor!A42)</f>
        <v>Maize: kg produced</v>
      </c>
      <c r="B42" s="104">
        <v>2401.3333333333335</v>
      </c>
      <c r="C42" s="104">
        <v>-2401.3333333333335</v>
      </c>
      <c r="D42" s="38">
        <f t="shared" si="25"/>
        <v>0</v>
      </c>
      <c r="E42" s="75">
        <f>Poor!E42</f>
        <v>1.0900000000000001</v>
      </c>
      <c r="F42" s="75">
        <f>Poor!F42</f>
        <v>1.4</v>
      </c>
      <c r="G42" s="75">
        <f>Poor!G42</f>
        <v>1.65</v>
      </c>
      <c r="H42" s="24">
        <f t="shared" si="30"/>
        <v>1.526</v>
      </c>
      <c r="I42" s="39">
        <f t="shared" si="31"/>
        <v>0</v>
      </c>
      <c r="J42" s="38">
        <f t="shared" si="32"/>
        <v>2915.6029956168841</v>
      </c>
      <c r="K42" s="40">
        <f t="shared" si="33"/>
        <v>2.3957113972544433E-2</v>
      </c>
      <c r="L42" s="22">
        <f t="shared" si="34"/>
        <v>3.6558555922102803E-2</v>
      </c>
      <c r="M42" s="24">
        <f t="shared" si="35"/>
        <v>2.9087770654366598E-2</v>
      </c>
      <c r="N42" s="2"/>
      <c r="O42" s="2"/>
      <c r="P42" s="2"/>
      <c r="Q42" s="41"/>
      <c r="R42" s="41"/>
      <c r="S42" s="254"/>
      <c r="T42" s="254"/>
      <c r="U42" s="56"/>
      <c r="V42" s="56"/>
      <c r="W42" s="115"/>
      <c r="X42" s="118"/>
      <c r="Y42" s="110"/>
      <c r="Z42" s="156">
        <f>Poor!Z42</f>
        <v>0.25</v>
      </c>
      <c r="AA42" s="147">
        <f t="shared" si="40"/>
        <v>728.90074890422102</v>
      </c>
      <c r="AB42" s="156">
        <f>Poor!AB42</f>
        <v>0</v>
      </c>
      <c r="AC42" s="147">
        <f t="shared" si="41"/>
        <v>0</v>
      </c>
      <c r="AD42" s="156">
        <f>Poor!AD42</f>
        <v>0.5</v>
      </c>
      <c r="AE42" s="147">
        <f t="shared" si="42"/>
        <v>1457.801497808442</v>
      </c>
      <c r="AF42" s="122">
        <f t="shared" si="29"/>
        <v>0.25</v>
      </c>
      <c r="AG42" s="147">
        <f t="shared" si="36"/>
        <v>728.90074890422102</v>
      </c>
      <c r="AH42" s="123">
        <f t="shared" si="37"/>
        <v>1</v>
      </c>
      <c r="AI42" s="112">
        <f t="shared" si="37"/>
        <v>2915.6029956168841</v>
      </c>
      <c r="AJ42" s="148">
        <f t="shared" si="38"/>
        <v>728.90074890422102</v>
      </c>
      <c r="AK42" s="147">
        <f t="shared" si="39"/>
        <v>2186.7022467126631</v>
      </c>
      <c r="AP42" s="25"/>
      <c r="AQ42" s="25"/>
      <c r="AR42" s="25"/>
      <c r="AS42" s="25"/>
      <c r="AT42" s="25"/>
      <c r="AU42" s="25"/>
      <c r="AW42" s="25"/>
      <c r="AX42" s="25"/>
      <c r="AY42" s="25"/>
      <c r="AZ42" s="25"/>
      <c r="BA42" s="25"/>
      <c r="BB42" s="25"/>
      <c r="BF42" s="25"/>
      <c r="BG42" s="25"/>
      <c r="BH42" s="25"/>
      <c r="BI42" s="25"/>
      <c r="BJ42" s="25"/>
      <c r="BK42" s="25"/>
      <c r="BM42" s="25"/>
      <c r="BN42" s="25"/>
      <c r="BO42" s="25"/>
      <c r="BP42" s="25"/>
      <c r="BQ42" s="25"/>
      <c r="BR42" s="25"/>
      <c r="BU42" s="25"/>
      <c r="BV42" s="25"/>
      <c r="BW42" s="25"/>
      <c r="BX42" s="25"/>
      <c r="BY42" s="25"/>
      <c r="BZ42" s="25"/>
      <c r="CB42" s="25"/>
      <c r="CC42" s="25"/>
      <c r="CD42" s="25"/>
      <c r="CE42" s="25"/>
      <c r="CF42" s="25"/>
      <c r="CG42" s="25"/>
    </row>
    <row r="43" spans="1:88" ht="14" customHeight="1">
      <c r="A43" s="74" t="str">
        <f>IF(Poor!A43=0,"",Poor!A43)</f>
        <v>Maize (irrigated): kg produced</v>
      </c>
      <c r="B43" s="104">
        <v>100</v>
      </c>
      <c r="C43" s="104">
        <v>-100</v>
      </c>
      <c r="D43" s="38">
        <f t="shared" si="25"/>
        <v>0</v>
      </c>
      <c r="E43" s="75">
        <f>Poor!E43</f>
        <v>1.0900000000000001</v>
      </c>
      <c r="F43" s="75">
        <f>Poor!F43</f>
        <v>1.4</v>
      </c>
      <c r="G43" s="75">
        <f>Poor!G43</f>
        <v>1.65</v>
      </c>
      <c r="H43" s="24">
        <f t="shared" si="30"/>
        <v>1.526</v>
      </c>
      <c r="I43" s="39">
        <f t="shared" si="31"/>
        <v>0</v>
      </c>
      <c r="J43" s="38">
        <f t="shared" si="32"/>
        <v>121.41600481469534</v>
      </c>
      <c r="K43" s="40">
        <f t="shared" si="33"/>
        <v>9.9765882728530385E-4</v>
      </c>
      <c r="L43" s="22">
        <f t="shared" si="34"/>
        <v>1.5224273704373737E-3</v>
      </c>
      <c r="M43" s="24">
        <f t="shared" si="35"/>
        <v>1.2113174897709577E-3</v>
      </c>
      <c r="N43" s="2"/>
      <c r="O43" s="2"/>
      <c r="P43" s="2"/>
      <c r="Q43" s="41"/>
      <c r="R43" s="41"/>
      <c r="S43" s="221"/>
      <c r="T43" s="221"/>
      <c r="U43" s="56"/>
      <c r="V43" s="56"/>
      <c r="W43" s="115"/>
      <c r="X43" s="118"/>
      <c r="Y43" s="110"/>
      <c r="Z43" s="156">
        <f>Poor!Z43</f>
        <v>0.25</v>
      </c>
      <c r="AA43" s="147">
        <f t="shared" si="40"/>
        <v>30.354001203673835</v>
      </c>
      <c r="AB43" s="156">
        <f>Poor!AB43</f>
        <v>0.25</v>
      </c>
      <c r="AC43" s="147">
        <f t="shared" si="41"/>
        <v>30.354001203673835</v>
      </c>
      <c r="AD43" s="156">
        <f>Poor!AD43</f>
        <v>0.25</v>
      </c>
      <c r="AE43" s="147">
        <f t="shared" si="42"/>
        <v>30.354001203673835</v>
      </c>
      <c r="AF43" s="122">
        <f t="shared" si="29"/>
        <v>0.25</v>
      </c>
      <c r="AG43" s="147">
        <f t="shared" si="36"/>
        <v>30.354001203673835</v>
      </c>
      <c r="AH43" s="123">
        <f t="shared" si="37"/>
        <v>1</v>
      </c>
      <c r="AI43" s="112">
        <f t="shared" si="37"/>
        <v>121.41600481469534</v>
      </c>
      <c r="AJ43" s="148">
        <f t="shared" si="38"/>
        <v>60.708002407347671</v>
      </c>
      <c r="AK43" s="147">
        <f t="shared" si="39"/>
        <v>60.708002407347671</v>
      </c>
      <c r="AP43" s="25"/>
      <c r="AQ43" s="25"/>
      <c r="AR43" s="25"/>
      <c r="AS43" s="25"/>
      <c r="AT43" s="25"/>
      <c r="AU43" s="25"/>
      <c r="AW43" s="25"/>
      <c r="AX43" s="25"/>
      <c r="AY43" s="25"/>
      <c r="AZ43" s="25"/>
      <c r="BA43" s="25"/>
      <c r="BB43" s="25"/>
      <c r="BF43" s="25"/>
      <c r="BG43" s="25"/>
      <c r="BH43" s="25"/>
      <c r="BI43" s="25"/>
      <c r="BJ43" s="25"/>
      <c r="BK43" s="25"/>
      <c r="BM43" s="25"/>
      <c r="BN43" s="25"/>
      <c r="BO43" s="25"/>
      <c r="BP43" s="25"/>
      <c r="BQ43" s="25"/>
      <c r="BR43" s="25"/>
      <c r="BU43" s="25"/>
      <c r="BV43" s="25"/>
      <c r="BW43" s="25"/>
      <c r="BX43" s="25"/>
      <c r="BY43" s="25"/>
      <c r="BZ43" s="25"/>
      <c r="CB43" s="25"/>
      <c r="CC43" s="25"/>
      <c r="CD43" s="25"/>
      <c r="CE43" s="25"/>
      <c r="CF43" s="25"/>
      <c r="CG43" s="25"/>
    </row>
    <row r="44" spans="1:88" ht="14" customHeight="1">
      <c r="A44" s="74" t="str">
        <f>IF(Poor!A44=0,"",Poor!A44)</f>
        <v>Beans: kg produced</v>
      </c>
      <c r="B44" s="104">
        <v>266.66666666666669</v>
      </c>
      <c r="C44" s="104">
        <v>-75</v>
      </c>
      <c r="D44" s="38">
        <f t="shared" si="25"/>
        <v>191.66666666666669</v>
      </c>
      <c r="E44" s="75">
        <f>Poor!E44</f>
        <v>1</v>
      </c>
      <c r="F44" s="75">
        <f>Poor!F44</f>
        <v>1.4</v>
      </c>
      <c r="G44" s="75">
        <f>Poor!G44</f>
        <v>1.65</v>
      </c>
      <c r="H44" s="24">
        <f t="shared" si="30"/>
        <v>1.4</v>
      </c>
      <c r="I44" s="39">
        <f t="shared" si="31"/>
        <v>268.33333333333337</v>
      </c>
      <c r="J44" s="38">
        <f t="shared" si="32"/>
        <v>351.8764559122522</v>
      </c>
      <c r="K44" s="40">
        <f t="shared" si="33"/>
        <v>2.6604235394274774E-3</v>
      </c>
      <c r="L44" s="22">
        <f t="shared" si="34"/>
        <v>3.7245929551984682E-3</v>
      </c>
      <c r="M44" s="24">
        <f t="shared" si="35"/>
        <v>3.5105265235472649E-3</v>
      </c>
      <c r="N44" s="2"/>
      <c r="O44" s="2"/>
      <c r="P44" s="2"/>
      <c r="Q44" s="255"/>
      <c r="R44" s="41"/>
      <c r="S44" s="41"/>
      <c r="T44" s="253"/>
      <c r="U44" s="56"/>
      <c r="V44" s="56"/>
      <c r="W44" s="117"/>
      <c r="X44" s="118"/>
      <c r="Y44" s="110"/>
      <c r="Z44" s="156">
        <f>Poor!Z44</f>
        <v>0.25</v>
      </c>
      <c r="AA44" s="147">
        <f t="shared" si="40"/>
        <v>87.969113978063049</v>
      </c>
      <c r="AB44" s="156">
        <f>Poor!AB44</f>
        <v>0.25</v>
      </c>
      <c r="AC44" s="147">
        <f t="shared" si="41"/>
        <v>87.969113978063049</v>
      </c>
      <c r="AD44" s="156">
        <f>Poor!AD44</f>
        <v>0.25</v>
      </c>
      <c r="AE44" s="147">
        <f t="shared" si="42"/>
        <v>87.969113978063049</v>
      </c>
      <c r="AF44" s="122">
        <f t="shared" si="29"/>
        <v>0.25</v>
      </c>
      <c r="AG44" s="147">
        <f t="shared" si="36"/>
        <v>87.969113978063049</v>
      </c>
      <c r="AH44" s="123">
        <f t="shared" si="37"/>
        <v>1</v>
      </c>
      <c r="AI44" s="112">
        <f t="shared" si="37"/>
        <v>351.8764559122522</v>
      </c>
      <c r="AJ44" s="148">
        <f t="shared" si="38"/>
        <v>175.9382279561261</v>
      </c>
      <c r="AK44" s="147">
        <f t="shared" si="39"/>
        <v>175.9382279561261</v>
      </c>
      <c r="AP44" s="25"/>
      <c r="AQ44" s="25"/>
      <c r="AR44" s="25"/>
      <c r="AS44" s="25"/>
      <c r="AT44" s="25"/>
      <c r="AU44" s="25"/>
      <c r="AW44" s="25"/>
      <c r="AX44" s="25"/>
      <c r="AY44" s="25"/>
      <c r="AZ44" s="25"/>
      <c r="BA44" s="25"/>
      <c r="BB44" s="25"/>
      <c r="BF44" s="25"/>
      <c r="BG44" s="25"/>
      <c r="BH44" s="25"/>
      <c r="BI44" s="25"/>
      <c r="BJ44" s="25"/>
      <c r="BK44" s="25"/>
      <c r="BM44" s="25"/>
      <c r="BN44" s="25"/>
      <c r="BO44" s="25"/>
      <c r="BP44" s="25"/>
      <c r="BQ44" s="25"/>
      <c r="BR44" s="25"/>
      <c r="BU44" s="25"/>
      <c r="BV44" s="25"/>
      <c r="BW44" s="25"/>
      <c r="BX44" s="25"/>
      <c r="BY44" s="25"/>
      <c r="BZ44" s="25"/>
      <c r="CB44" s="25"/>
      <c r="CC44" s="25"/>
      <c r="CD44" s="25"/>
      <c r="CE44" s="25"/>
      <c r="CF44" s="25"/>
      <c r="CG44" s="25"/>
    </row>
    <row r="45" spans="1:88" ht="14" customHeight="1">
      <c r="A45" s="74" t="str">
        <f>IF(Poor!A45=0,"",Poor!A45)</f>
        <v>Potato: kg produced</v>
      </c>
      <c r="B45" s="104">
        <v>240</v>
      </c>
      <c r="C45" s="104">
        <v>-240</v>
      </c>
      <c r="D45" s="38">
        <f t="shared" si="25"/>
        <v>0</v>
      </c>
      <c r="E45" s="75">
        <f>Poor!E45</f>
        <v>1</v>
      </c>
      <c r="F45" s="75">
        <f>Poor!F45</f>
        <v>1.4</v>
      </c>
      <c r="G45" s="75">
        <f>Poor!G45</f>
        <v>1.65</v>
      </c>
      <c r="H45" s="24">
        <f t="shared" si="30"/>
        <v>1.4</v>
      </c>
      <c r="I45" s="39">
        <f t="shared" si="31"/>
        <v>0</v>
      </c>
      <c r="J45" s="38">
        <f t="shared" si="32"/>
        <v>267.33799225254012</v>
      </c>
      <c r="K45" s="40">
        <f t="shared" si="33"/>
        <v>2.3943811854847293E-3</v>
      </c>
      <c r="L45" s="22">
        <f t="shared" si="34"/>
        <v>3.352133659678621E-3</v>
      </c>
      <c r="M45" s="24">
        <f t="shared" si="35"/>
        <v>2.6671210783947683E-3</v>
      </c>
      <c r="N45" s="2"/>
      <c r="O45" s="2"/>
      <c r="P45" s="2"/>
      <c r="Q45" s="255"/>
      <c r="S45" s="41"/>
      <c r="U45" s="56"/>
      <c r="V45" s="56"/>
      <c r="W45" s="110"/>
      <c r="X45" s="118"/>
      <c r="Y45" s="110"/>
      <c r="Z45" s="156">
        <f>Poor!Z45</f>
        <v>0.25</v>
      </c>
      <c r="AA45" s="147">
        <f t="shared" si="40"/>
        <v>66.83449806313503</v>
      </c>
      <c r="AB45" s="156">
        <f>Poor!AB45</f>
        <v>0.25</v>
      </c>
      <c r="AC45" s="147">
        <f t="shared" si="41"/>
        <v>66.83449806313503</v>
      </c>
      <c r="AD45" s="156">
        <f>Poor!AD45</f>
        <v>0.25</v>
      </c>
      <c r="AE45" s="147">
        <f t="shared" si="42"/>
        <v>66.83449806313503</v>
      </c>
      <c r="AF45" s="122">
        <f t="shared" si="29"/>
        <v>0.25</v>
      </c>
      <c r="AG45" s="147">
        <f t="shared" si="36"/>
        <v>66.83449806313503</v>
      </c>
      <c r="AH45" s="123">
        <f t="shared" si="37"/>
        <v>1</v>
      </c>
      <c r="AI45" s="112">
        <f t="shared" si="37"/>
        <v>267.33799225254012</v>
      </c>
      <c r="AJ45" s="148">
        <f t="shared" si="38"/>
        <v>133.66899612627006</v>
      </c>
      <c r="AK45" s="147">
        <f t="shared" si="39"/>
        <v>133.66899612627006</v>
      </c>
      <c r="AP45" s="25"/>
      <c r="AQ45" s="25"/>
      <c r="AR45" s="25"/>
      <c r="AS45" s="25"/>
      <c r="AT45" s="25"/>
      <c r="AU45" s="25"/>
      <c r="AW45" s="25"/>
      <c r="AX45" s="25"/>
      <c r="AY45" s="25"/>
      <c r="AZ45" s="25"/>
      <c r="BA45" s="25"/>
      <c r="BB45" s="25"/>
      <c r="BF45" s="25"/>
      <c r="BG45" s="25"/>
      <c r="BH45" s="25"/>
      <c r="BI45" s="25"/>
      <c r="BJ45" s="25"/>
      <c r="BK45" s="25"/>
      <c r="BM45" s="25"/>
      <c r="BN45" s="25"/>
      <c r="BO45" s="25"/>
      <c r="BP45" s="25"/>
      <c r="BQ45" s="25"/>
      <c r="BR45" s="25"/>
      <c r="BU45" s="25"/>
      <c r="BV45" s="25"/>
      <c r="BW45" s="25"/>
      <c r="BX45" s="25"/>
      <c r="BY45" s="25"/>
      <c r="BZ45" s="25"/>
      <c r="CB45" s="25"/>
      <c r="CC45" s="25"/>
      <c r="CD45" s="25"/>
      <c r="CE45" s="25"/>
      <c r="CF45" s="25"/>
      <c r="CG45" s="25"/>
    </row>
    <row r="46" spans="1:88" ht="14" customHeight="1">
      <c r="A46" s="74" t="str">
        <f>IF(Poor!A46=0,"",Poor!A46)</f>
        <v>Sweet potato: no. local meas</v>
      </c>
      <c r="B46" s="104">
        <v>1000</v>
      </c>
      <c r="C46" s="104">
        <v>-1000</v>
      </c>
      <c r="D46" s="38">
        <f t="shared" si="25"/>
        <v>0</v>
      </c>
      <c r="E46" s="75">
        <f>Poor!E46</f>
        <v>1</v>
      </c>
      <c r="F46" s="75">
        <f>Poor!F46</f>
        <v>1.4</v>
      </c>
      <c r="G46" s="75">
        <f>Poor!G46</f>
        <v>1.65</v>
      </c>
      <c r="H46" s="24">
        <f t="shared" si="30"/>
        <v>1.4</v>
      </c>
      <c r="I46" s="39">
        <f t="shared" si="31"/>
        <v>0</v>
      </c>
      <c r="J46" s="38">
        <f t="shared" si="32"/>
        <v>1113.9083010522509</v>
      </c>
      <c r="K46" s="40">
        <f t="shared" si="33"/>
        <v>9.9765882728530385E-3</v>
      </c>
      <c r="L46" s="22">
        <f t="shared" si="34"/>
        <v>1.3967223581994252E-2</v>
      </c>
      <c r="M46" s="24">
        <f t="shared" si="35"/>
        <v>1.1113004493311538E-2</v>
      </c>
      <c r="N46" s="2"/>
      <c r="O46" s="2"/>
      <c r="P46" s="2"/>
      <c r="Q46" s="255"/>
      <c r="S46" s="41"/>
      <c r="U46" s="56"/>
      <c r="V46" s="56"/>
      <c r="W46" s="110"/>
      <c r="X46" s="118"/>
      <c r="Y46" s="110"/>
      <c r="Z46" s="156">
        <f>Poor!Z46</f>
        <v>0.25</v>
      </c>
      <c r="AA46" s="147">
        <f t="shared" si="40"/>
        <v>278.47707526306272</v>
      </c>
      <c r="AB46" s="156">
        <f>Poor!AB46</f>
        <v>0.25</v>
      </c>
      <c r="AC46" s="147">
        <f t="shared" si="41"/>
        <v>278.47707526306272</v>
      </c>
      <c r="AD46" s="156">
        <f>Poor!AD46</f>
        <v>0.25</v>
      </c>
      <c r="AE46" s="147">
        <f t="shared" si="42"/>
        <v>278.47707526306272</v>
      </c>
      <c r="AF46" s="122">
        <f t="shared" si="29"/>
        <v>0.25</v>
      </c>
      <c r="AG46" s="147">
        <f t="shared" si="36"/>
        <v>278.47707526306272</v>
      </c>
      <c r="AH46" s="123">
        <f t="shared" si="37"/>
        <v>1</v>
      </c>
      <c r="AI46" s="112">
        <f t="shared" si="37"/>
        <v>1113.9083010522509</v>
      </c>
      <c r="AJ46" s="148">
        <f t="shared" si="38"/>
        <v>556.95415052612543</v>
      </c>
      <c r="AK46" s="147">
        <f t="shared" si="39"/>
        <v>556.95415052612543</v>
      </c>
      <c r="AP46" s="25"/>
      <c r="AQ46" s="25"/>
      <c r="AR46" s="25"/>
      <c r="AS46" s="25"/>
      <c r="AT46" s="25"/>
      <c r="AU46" s="25"/>
      <c r="AW46" s="25"/>
      <c r="AX46" s="25"/>
      <c r="AY46" s="25"/>
      <c r="AZ46" s="25"/>
      <c r="BA46" s="25"/>
      <c r="BB46" s="25"/>
      <c r="BF46" s="25"/>
      <c r="BG46" s="25"/>
      <c r="BH46" s="25"/>
      <c r="BI46" s="25"/>
      <c r="BJ46" s="25"/>
      <c r="BK46" s="25"/>
      <c r="BM46" s="25"/>
      <c r="BN46" s="25"/>
      <c r="BO46" s="25"/>
      <c r="BP46" s="25"/>
      <c r="BQ46" s="25"/>
      <c r="BR46" s="25"/>
      <c r="BU46" s="25"/>
      <c r="BV46" s="25"/>
      <c r="BW46" s="25"/>
      <c r="BX46" s="25"/>
      <c r="BY46" s="25"/>
      <c r="BZ46" s="25"/>
      <c r="CB46" s="25"/>
      <c r="CC46" s="25"/>
      <c r="CD46" s="25"/>
      <c r="CE46" s="25"/>
      <c r="CF46" s="25"/>
      <c r="CG46" s="25"/>
    </row>
    <row r="47" spans="1:88" ht="14" customHeight="1">
      <c r="A47" s="74" t="str">
        <f>IF(Poor!A47=0,"",Poor!A47)</f>
        <v>Groundnuts (dry): no. local meas</v>
      </c>
      <c r="B47" s="104">
        <v>300</v>
      </c>
      <c r="C47" s="104">
        <v>-300</v>
      </c>
      <c r="D47" s="38">
        <f t="shared" si="25"/>
        <v>0</v>
      </c>
      <c r="E47" s="75">
        <f>Poor!E47</f>
        <v>1</v>
      </c>
      <c r="F47" s="75">
        <f>Poor!F47</f>
        <v>1.4</v>
      </c>
      <c r="G47" s="75">
        <f>Poor!G47</f>
        <v>1.65</v>
      </c>
      <c r="H47" s="24">
        <f t="shared" si="30"/>
        <v>1.4</v>
      </c>
      <c r="I47" s="39">
        <f t="shared" si="31"/>
        <v>0</v>
      </c>
      <c r="J47" s="38">
        <f t="shared" si="32"/>
        <v>334.17249031567519</v>
      </c>
      <c r="K47" s="40">
        <f t="shared" si="33"/>
        <v>2.9929764818559116E-3</v>
      </c>
      <c r="L47" s="22">
        <f t="shared" si="34"/>
        <v>4.1901670745982762E-3</v>
      </c>
      <c r="M47" s="24">
        <f t="shared" si="35"/>
        <v>3.3339013479934611E-3</v>
      </c>
      <c r="N47" s="2"/>
      <c r="O47" s="2"/>
      <c r="P47" s="2"/>
      <c r="R47" s="243"/>
      <c r="U47" s="56"/>
      <c r="V47" s="56"/>
      <c r="W47" s="110"/>
      <c r="X47" s="118"/>
      <c r="Y47" s="110"/>
      <c r="Z47" s="156">
        <f>Poor!Z47</f>
        <v>0.25</v>
      </c>
      <c r="AA47" s="147">
        <f t="shared" si="40"/>
        <v>83.543122578918798</v>
      </c>
      <c r="AB47" s="156">
        <f>Poor!AB47</f>
        <v>0.25</v>
      </c>
      <c r="AC47" s="147">
        <f t="shared" si="41"/>
        <v>83.543122578918798</v>
      </c>
      <c r="AD47" s="156">
        <f>Poor!AD47</f>
        <v>0.25</v>
      </c>
      <c r="AE47" s="147">
        <f t="shared" si="42"/>
        <v>83.543122578918798</v>
      </c>
      <c r="AF47" s="122">
        <f t="shared" si="29"/>
        <v>0.25</v>
      </c>
      <c r="AG47" s="147">
        <f t="shared" si="36"/>
        <v>83.543122578918798</v>
      </c>
      <c r="AH47" s="123">
        <f t="shared" si="37"/>
        <v>1</v>
      </c>
      <c r="AI47" s="112">
        <f t="shared" si="37"/>
        <v>334.17249031567519</v>
      </c>
      <c r="AJ47" s="148">
        <f t="shared" si="38"/>
        <v>167.0862451578376</v>
      </c>
      <c r="AK47" s="147">
        <f t="shared" si="39"/>
        <v>167.0862451578376</v>
      </c>
      <c r="AP47" s="25"/>
      <c r="AQ47" s="25"/>
      <c r="AR47" s="25"/>
      <c r="AS47" s="25"/>
      <c r="AT47" s="25"/>
      <c r="AU47" s="25"/>
      <c r="AW47" s="25"/>
      <c r="AX47" s="25"/>
      <c r="AY47" s="25"/>
      <c r="AZ47" s="25"/>
      <c r="BA47" s="25"/>
      <c r="BB47" s="25"/>
      <c r="BF47" s="25"/>
      <c r="BG47" s="25"/>
      <c r="BH47" s="25"/>
      <c r="BI47" s="25"/>
      <c r="BJ47" s="25"/>
      <c r="BK47" s="25"/>
      <c r="BM47" s="25"/>
      <c r="BN47" s="25"/>
      <c r="BO47" s="25"/>
      <c r="BP47" s="25"/>
      <c r="BQ47" s="25"/>
      <c r="BR47" s="25"/>
      <c r="BU47" s="25"/>
      <c r="BV47" s="25"/>
      <c r="BW47" s="25"/>
      <c r="BX47" s="25"/>
      <c r="BY47" s="25"/>
      <c r="BZ47" s="25"/>
      <c r="CB47" s="25"/>
      <c r="CC47" s="25"/>
      <c r="CD47" s="25"/>
      <c r="CE47" s="25"/>
      <c r="CF47" s="25"/>
      <c r="CG47" s="25"/>
    </row>
    <row r="48" spans="1:88" ht="14" customHeight="1">
      <c r="A48" s="74" t="str">
        <f>IF(Poor!A48=0,"",Poor!A48)</f>
        <v>Other crop: Rape</v>
      </c>
      <c r="B48" s="104">
        <v>58.333333333333336</v>
      </c>
      <c r="C48" s="104">
        <v>-58.333333333333336</v>
      </c>
      <c r="D48" s="38">
        <f t="shared" si="25"/>
        <v>0</v>
      </c>
      <c r="E48" s="75">
        <f>Poor!E48</f>
        <v>1</v>
      </c>
      <c r="F48" s="75">
        <f>Poor!F48</f>
        <v>1.4</v>
      </c>
      <c r="G48" s="75">
        <f>Poor!G48</f>
        <v>1.65</v>
      </c>
      <c r="H48" s="24">
        <f t="shared" si="30"/>
        <v>1.4</v>
      </c>
      <c r="I48" s="39">
        <f t="shared" si="31"/>
        <v>0</v>
      </c>
      <c r="J48" s="38">
        <f t="shared" si="32"/>
        <v>64.977984228047973</v>
      </c>
      <c r="K48" s="40">
        <f t="shared" si="33"/>
        <v>5.8196764924976069E-4</v>
      </c>
      <c r="L48" s="22">
        <f t="shared" si="34"/>
        <v>8.1475470894966492E-4</v>
      </c>
      <c r="M48" s="24">
        <f t="shared" si="35"/>
        <v>6.4825859544317315E-4</v>
      </c>
      <c r="N48" s="2"/>
      <c r="O48" s="2"/>
      <c r="P48" s="2"/>
      <c r="Q48" s="255"/>
      <c r="R48" s="252"/>
      <c r="S48" s="41"/>
      <c r="T48" s="29"/>
      <c r="U48" s="56"/>
      <c r="V48" s="56"/>
      <c r="W48" s="110"/>
      <c r="X48" s="118"/>
      <c r="Y48" s="110"/>
      <c r="Z48" s="156">
        <f>Poor!Z48</f>
        <v>0.25</v>
      </c>
      <c r="AA48" s="147">
        <f t="shared" si="40"/>
        <v>16.244496057011993</v>
      </c>
      <c r="AB48" s="156">
        <f>Poor!AB48</f>
        <v>0.25</v>
      </c>
      <c r="AC48" s="147">
        <f t="shared" si="41"/>
        <v>16.244496057011993</v>
      </c>
      <c r="AD48" s="156">
        <f>Poor!AD48</f>
        <v>0.25</v>
      </c>
      <c r="AE48" s="147">
        <f t="shared" si="42"/>
        <v>16.244496057011993</v>
      </c>
      <c r="AF48" s="122">
        <f t="shared" si="29"/>
        <v>0.25</v>
      </c>
      <c r="AG48" s="147">
        <f t="shared" si="36"/>
        <v>16.244496057011993</v>
      </c>
      <c r="AH48" s="123">
        <f t="shared" si="37"/>
        <v>1</v>
      </c>
      <c r="AI48" s="112">
        <f t="shared" si="37"/>
        <v>64.977984228047973</v>
      </c>
      <c r="AJ48" s="148">
        <f t="shared" si="38"/>
        <v>32.488992114023986</v>
      </c>
      <c r="AK48" s="147">
        <f t="shared" si="39"/>
        <v>32.488992114023986</v>
      </c>
      <c r="AP48" s="25"/>
      <c r="AQ48" s="25"/>
      <c r="AR48" s="25"/>
      <c r="AS48" s="25"/>
      <c r="AT48" s="25"/>
      <c r="AU48" s="25"/>
      <c r="AW48" s="25"/>
      <c r="AX48" s="25"/>
      <c r="AY48" s="25"/>
      <c r="AZ48" s="25"/>
      <c r="BA48" s="25"/>
      <c r="BB48" s="25"/>
      <c r="BF48" s="25"/>
      <c r="BG48" s="25"/>
      <c r="BH48" s="25"/>
      <c r="BI48" s="25"/>
      <c r="BJ48" s="25"/>
      <c r="BK48" s="25"/>
      <c r="BM48" s="25"/>
      <c r="BN48" s="25"/>
      <c r="BO48" s="25"/>
      <c r="BP48" s="25"/>
      <c r="BQ48" s="25"/>
      <c r="BR48" s="25"/>
      <c r="BU48" s="25"/>
      <c r="BV48" s="25"/>
      <c r="BW48" s="25"/>
      <c r="BX48" s="25"/>
      <c r="BY48" s="25"/>
      <c r="BZ48" s="25"/>
      <c r="CB48" s="25"/>
      <c r="CC48" s="25"/>
      <c r="CD48" s="25"/>
      <c r="CE48" s="25"/>
      <c r="CF48" s="25"/>
      <c r="CG48" s="25"/>
    </row>
    <row r="49" spans="1:85" ht="14" customHeight="1">
      <c r="A49" s="74" t="str">
        <f>IF(Poor!A49=0,"",Poor!A49)</f>
        <v>Other cashcrop (cabbage): kg produced</v>
      </c>
      <c r="B49" s="104">
        <v>266.66666666666669</v>
      </c>
      <c r="C49" s="104">
        <v>0</v>
      </c>
      <c r="D49" s="38">
        <f t="shared" si="25"/>
        <v>266.66666666666669</v>
      </c>
      <c r="E49" s="75">
        <f>Poor!E49</f>
        <v>1</v>
      </c>
      <c r="F49" s="75">
        <f>Poor!F49</f>
        <v>1.4</v>
      </c>
      <c r="G49" s="75">
        <f>Poor!G49</f>
        <v>1.65</v>
      </c>
      <c r="H49" s="24">
        <f t="shared" si="30"/>
        <v>1.4</v>
      </c>
      <c r="I49" s="39">
        <f t="shared" si="31"/>
        <v>373.33333333333331</v>
      </c>
      <c r="J49" s="38">
        <f t="shared" si="32"/>
        <v>373.33333333333337</v>
      </c>
      <c r="K49" s="40">
        <f t="shared" si="33"/>
        <v>2.6604235394274774E-3</v>
      </c>
      <c r="L49" s="22">
        <f t="shared" si="34"/>
        <v>3.7245929551984682E-3</v>
      </c>
      <c r="M49" s="24">
        <f t="shared" si="35"/>
        <v>3.7245929551984682E-3</v>
      </c>
      <c r="N49" s="2"/>
      <c r="O49" s="2"/>
      <c r="P49" s="2"/>
      <c r="Q49" s="255"/>
      <c r="R49" s="252"/>
      <c r="S49" s="41"/>
      <c r="T49" s="29"/>
      <c r="U49" s="56"/>
      <c r="V49" s="56"/>
      <c r="W49" s="110"/>
      <c r="X49" s="118"/>
      <c r="Y49" s="110"/>
      <c r="Z49" s="156">
        <f>Poor!Z49</f>
        <v>0.25</v>
      </c>
      <c r="AA49" s="147">
        <f t="shared" si="40"/>
        <v>93.333333333333343</v>
      </c>
      <c r="AB49" s="156">
        <f>Poor!AB49</f>
        <v>0.25</v>
      </c>
      <c r="AC49" s="147">
        <f t="shared" si="41"/>
        <v>93.333333333333343</v>
      </c>
      <c r="AD49" s="156">
        <f>Poor!AD49</f>
        <v>0.25</v>
      </c>
      <c r="AE49" s="147">
        <f t="shared" si="42"/>
        <v>93.333333333333343</v>
      </c>
      <c r="AF49" s="122">
        <f t="shared" si="29"/>
        <v>0.25</v>
      </c>
      <c r="AG49" s="147">
        <f t="shared" si="36"/>
        <v>93.333333333333343</v>
      </c>
      <c r="AH49" s="123">
        <f t="shared" si="37"/>
        <v>1</v>
      </c>
      <c r="AI49" s="112">
        <f t="shared" si="37"/>
        <v>373.33333333333337</v>
      </c>
      <c r="AJ49" s="148">
        <f t="shared" si="38"/>
        <v>186.66666666666669</v>
      </c>
      <c r="AK49" s="147">
        <f t="shared" si="39"/>
        <v>186.66666666666669</v>
      </c>
      <c r="AP49" s="25"/>
      <c r="AQ49" s="25"/>
      <c r="AR49" s="25"/>
      <c r="AS49" s="25"/>
      <c r="AT49" s="25"/>
      <c r="AU49" s="25"/>
      <c r="AW49" s="25"/>
      <c r="AX49" s="25"/>
      <c r="AY49" s="25"/>
      <c r="AZ49" s="25"/>
      <c r="BA49" s="25"/>
      <c r="BB49" s="25"/>
      <c r="BF49" s="25"/>
      <c r="BG49" s="25"/>
      <c r="BH49" s="25"/>
      <c r="BI49" s="25"/>
      <c r="BJ49" s="25"/>
      <c r="BK49" s="25"/>
      <c r="BM49" s="25"/>
      <c r="BN49" s="25"/>
      <c r="BO49" s="25"/>
      <c r="BP49" s="25"/>
      <c r="BQ49" s="25"/>
      <c r="BR49" s="25"/>
      <c r="BU49" s="25"/>
      <c r="BV49" s="25"/>
      <c r="BW49" s="25"/>
      <c r="BX49" s="25"/>
      <c r="BY49" s="25"/>
      <c r="BZ49" s="25"/>
      <c r="CB49" s="25"/>
      <c r="CC49" s="25"/>
      <c r="CD49" s="25"/>
      <c r="CE49" s="25"/>
      <c r="CF49" s="25"/>
      <c r="CG49" s="25"/>
    </row>
    <row r="50" spans="1:85" ht="14" customHeight="1">
      <c r="A50" s="74" t="str">
        <f>IF(Poor!A50=0,"",Poor!A50)</f>
        <v>Other crop: Amadumbe</v>
      </c>
      <c r="B50" s="104">
        <v>166.66666666666666</v>
      </c>
      <c r="C50" s="104">
        <v>-166.66666666666666</v>
      </c>
      <c r="D50" s="38">
        <f t="shared" si="25"/>
        <v>0</v>
      </c>
      <c r="E50" s="75">
        <f>Poor!E50</f>
        <v>1</v>
      </c>
      <c r="F50" s="75">
        <f>Poor!F50</f>
        <v>1.4</v>
      </c>
      <c r="G50" s="75">
        <f>Poor!G50</f>
        <v>1.65</v>
      </c>
      <c r="H50" s="24">
        <f t="shared" si="30"/>
        <v>1.4</v>
      </c>
      <c r="I50" s="39">
        <f t="shared" si="31"/>
        <v>0</v>
      </c>
      <c r="J50" s="38">
        <f t="shared" si="32"/>
        <v>185.65138350870848</v>
      </c>
      <c r="K50" s="40">
        <f t="shared" si="33"/>
        <v>1.6627647121421731E-3</v>
      </c>
      <c r="L50" s="22">
        <f t="shared" si="34"/>
        <v>2.3278705969990423E-3</v>
      </c>
      <c r="M50" s="24">
        <f t="shared" si="35"/>
        <v>1.852167415551923E-3</v>
      </c>
      <c r="N50" s="2"/>
      <c r="O50" s="2"/>
      <c r="P50" s="2"/>
      <c r="Q50" s="255"/>
      <c r="R50" s="252"/>
      <c r="S50" s="41"/>
      <c r="T50" s="29"/>
      <c r="U50" s="56"/>
      <c r="V50" s="56"/>
      <c r="W50" s="110"/>
      <c r="X50" s="118"/>
      <c r="Y50" s="110"/>
      <c r="Z50" s="156">
        <f>Poor!Z55</f>
        <v>0.25</v>
      </c>
      <c r="AA50" s="147">
        <f t="shared" si="40"/>
        <v>46.412845877177119</v>
      </c>
      <c r="AB50" s="156">
        <f>Poor!AB55</f>
        <v>0.25</v>
      </c>
      <c r="AC50" s="147">
        <f t="shared" si="41"/>
        <v>46.412845877177119</v>
      </c>
      <c r="AD50" s="156">
        <f>Poor!AD55</f>
        <v>0.25</v>
      </c>
      <c r="AE50" s="147">
        <f t="shared" si="42"/>
        <v>46.412845877177119</v>
      </c>
      <c r="AF50" s="122">
        <f t="shared" si="29"/>
        <v>0.25</v>
      </c>
      <c r="AG50" s="147">
        <f t="shared" si="36"/>
        <v>46.412845877177119</v>
      </c>
      <c r="AH50" s="123">
        <f t="shared" si="37"/>
        <v>1</v>
      </c>
      <c r="AI50" s="112">
        <f t="shared" si="37"/>
        <v>185.65138350870848</v>
      </c>
      <c r="AJ50" s="148">
        <f t="shared" si="38"/>
        <v>92.825691754354239</v>
      </c>
      <c r="AK50" s="147">
        <f t="shared" si="39"/>
        <v>92.825691754354239</v>
      </c>
      <c r="AP50" s="25"/>
      <c r="AQ50" s="25"/>
      <c r="AR50" s="25"/>
      <c r="AS50" s="25"/>
      <c r="AT50" s="25"/>
      <c r="AU50" s="25"/>
      <c r="AW50" s="25"/>
      <c r="AX50" s="25"/>
      <c r="AY50" s="25"/>
      <c r="AZ50" s="25"/>
      <c r="BA50" s="25"/>
      <c r="BB50" s="25"/>
      <c r="BF50" s="25"/>
      <c r="BG50" s="25"/>
      <c r="BH50" s="25"/>
      <c r="BI50" s="25"/>
      <c r="BJ50" s="25"/>
      <c r="BK50" s="25"/>
      <c r="BM50" s="25"/>
      <c r="BN50" s="25"/>
      <c r="BO50" s="25"/>
      <c r="BP50" s="25"/>
      <c r="BQ50" s="25"/>
      <c r="BR50" s="25"/>
      <c r="BU50" s="25"/>
      <c r="BV50" s="25"/>
      <c r="BW50" s="25"/>
      <c r="BX50" s="25"/>
      <c r="BY50" s="25"/>
      <c r="BZ50" s="25"/>
      <c r="CB50" s="25"/>
      <c r="CC50" s="25"/>
      <c r="CD50" s="25"/>
      <c r="CE50" s="25"/>
      <c r="CF50" s="25"/>
      <c r="CG50" s="25"/>
    </row>
    <row r="51" spans="1:85" ht="14" customHeight="1">
      <c r="A51" s="74" t="str">
        <f>IF(Poor!A51=0,"",Poor!A51)</f>
        <v>Water melon: no. local meas</v>
      </c>
      <c r="B51" s="104">
        <v>0</v>
      </c>
      <c r="C51" s="104">
        <v>0</v>
      </c>
      <c r="D51" s="38">
        <f t="shared" si="25"/>
        <v>0</v>
      </c>
      <c r="E51" s="75">
        <f>Poor!E51</f>
        <v>1</v>
      </c>
      <c r="F51" s="75">
        <f>Poor!F51</f>
        <v>1.4</v>
      </c>
      <c r="G51" s="75">
        <f>Poor!G51</f>
        <v>1.65</v>
      </c>
      <c r="H51" s="24">
        <f t="shared" si="30"/>
        <v>1.4</v>
      </c>
      <c r="I51" s="39">
        <f t="shared" si="31"/>
        <v>0</v>
      </c>
      <c r="J51" s="38">
        <f t="shared" si="32"/>
        <v>0</v>
      </c>
      <c r="K51" s="40">
        <f t="shared" si="33"/>
        <v>0</v>
      </c>
      <c r="L51" s="22">
        <f t="shared" si="34"/>
        <v>0</v>
      </c>
      <c r="M51" s="24">
        <f t="shared" si="35"/>
        <v>0</v>
      </c>
      <c r="N51" s="2"/>
      <c r="O51" s="2"/>
      <c r="P51" s="2"/>
      <c r="Q51" s="255"/>
      <c r="R51" s="252"/>
      <c r="S51" s="41"/>
      <c r="T51" s="29"/>
      <c r="U51" s="56"/>
      <c r="V51" s="56"/>
      <c r="W51" s="110"/>
      <c r="X51" s="118"/>
      <c r="Y51" s="110"/>
      <c r="Z51" s="156">
        <f>Poor!Z56</f>
        <v>0.25</v>
      </c>
      <c r="AA51" s="147">
        <f t="shared" si="40"/>
        <v>0</v>
      </c>
      <c r="AB51" s="156">
        <f>Poor!AB56</f>
        <v>0.25</v>
      </c>
      <c r="AC51" s="147">
        <f t="shared" si="41"/>
        <v>0</v>
      </c>
      <c r="AD51" s="156">
        <f>Poor!AD56</f>
        <v>0.25</v>
      </c>
      <c r="AE51" s="147">
        <f t="shared" si="42"/>
        <v>0</v>
      </c>
      <c r="AF51" s="122">
        <f t="shared" si="29"/>
        <v>0.25</v>
      </c>
      <c r="AG51" s="147">
        <f t="shared" si="36"/>
        <v>0</v>
      </c>
      <c r="AH51" s="123">
        <f t="shared" si="37"/>
        <v>1</v>
      </c>
      <c r="AI51" s="112">
        <f t="shared" si="37"/>
        <v>0</v>
      </c>
      <c r="AJ51" s="148">
        <f t="shared" si="38"/>
        <v>0</v>
      </c>
      <c r="AK51" s="147">
        <f t="shared" si="39"/>
        <v>0</v>
      </c>
      <c r="AP51" s="25"/>
      <c r="AQ51" s="25"/>
      <c r="AR51" s="25"/>
      <c r="AS51" s="25"/>
      <c r="AT51" s="25"/>
      <c r="AU51" s="25"/>
      <c r="AW51" s="25"/>
      <c r="AX51" s="25"/>
      <c r="AY51" s="25"/>
      <c r="AZ51" s="25"/>
      <c r="BA51" s="25"/>
      <c r="BB51" s="25"/>
      <c r="BF51" s="25"/>
      <c r="BG51" s="25"/>
      <c r="BH51" s="25"/>
      <c r="BI51" s="25"/>
      <c r="BJ51" s="25"/>
      <c r="BK51" s="25"/>
      <c r="BM51" s="25"/>
      <c r="BN51" s="25"/>
      <c r="BO51" s="25"/>
      <c r="BP51" s="25"/>
      <c r="BQ51" s="25"/>
      <c r="BR51" s="25"/>
      <c r="BU51" s="25"/>
      <c r="BV51" s="25"/>
      <c r="BW51" s="25"/>
      <c r="BX51" s="25"/>
      <c r="BY51" s="25"/>
      <c r="BZ51" s="25"/>
      <c r="CB51" s="25"/>
      <c r="CC51" s="25"/>
      <c r="CD51" s="25"/>
      <c r="CE51" s="25"/>
      <c r="CF51" s="25"/>
      <c r="CG51" s="25"/>
    </row>
    <row r="52" spans="1:85" ht="14" customHeight="1">
      <c r="A52" s="74" t="str">
        <f>IF(Poor!A52=0,"",Poor!A52)</f>
        <v>FISHING -- see worksheet Data 3</v>
      </c>
      <c r="B52" s="104">
        <v>0</v>
      </c>
      <c r="C52" s="104">
        <v>0</v>
      </c>
      <c r="D52" s="38">
        <f t="shared" si="25"/>
        <v>0</v>
      </c>
      <c r="E52" s="75">
        <f>Poor!E52</f>
        <v>1</v>
      </c>
      <c r="F52" s="75">
        <f>Poor!F52</f>
        <v>1.18</v>
      </c>
      <c r="G52" s="75">
        <f>Poor!G52</f>
        <v>1.65</v>
      </c>
      <c r="H52" s="24">
        <f t="shared" si="30"/>
        <v>1.18</v>
      </c>
      <c r="I52" s="39">
        <f t="shared" si="31"/>
        <v>0</v>
      </c>
      <c r="J52" s="38">
        <f t="shared" si="32"/>
        <v>0</v>
      </c>
      <c r="K52" s="40">
        <f t="shared" si="33"/>
        <v>0</v>
      </c>
      <c r="L52" s="22">
        <f t="shared" si="34"/>
        <v>0</v>
      </c>
      <c r="M52" s="24">
        <f t="shared" si="35"/>
        <v>0</v>
      </c>
      <c r="N52" s="2"/>
      <c r="O52" s="2"/>
      <c r="P52" s="2"/>
      <c r="Q52" s="41"/>
      <c r="R52" s="242"/>
      <c r="S52" s="56"/>
      <c r="T52" s="56"/>
      <c r="U52" s="56"/>
      <c r="V52" s="56"/>
      <c r="W52" s="110"/>
      <c r="X52" s="118"/>
      <c r="Y52" s="110"/>
      <c r="Z52" s="156">
        <f>Poor!Z57</f>
        <v>0.25</v>
      </c>
      <c r="AA52" s="147">
        <f t="shared" si="40"/>
        <v>0</v>
      </c>
      <c r="AB52" s="156">
        <f>Poor!AB57</f>
        <v>0.25</v>
      </c>
      <c r="AC52" s="147">
        <f t="shared" si="41"/>
        <v>0</v>
      </c>
      <c r="AD52" s="156">
        <f>Poor!AD57</f>
        <v>0.25</v>
      </c>
      <c r="AE52" s="147">
        <f t="shared" si="42"/>
        <v>0</v>
      </c>
      <c r="AF52" s="122">
        <f t="shared" si="29"/>
        <v>0.25</v>
      </c>
      <c r="AG52" s="147">
        <f t="shared" si="36"/>
        <v>0</v>
      </c>
      <c r="AH52" s="123">
        <f t="shared" si="37"/>
        <v>1</v>
      </c>
      <c r="AI52" s="112">
        <f t="shared" si="37"/>
        <v>0</v>
      </c>
      <c r="AJ52" s="148">
        <f t="shared" si="38"/>
        <v>0</v>
      </c>
      <c r="AK52" s="147">
        <f t="shared" si="39"/>
        <v>0</v>
      </c>
      <c r="AP52" s="25"/>
      <c r="AQ52" s="25"/>
      <c r="AR52" s="25"/>
      <c r="AS52" s="25"/>
      <c r="AT52" s="25"/>
      <c r="AU52" s="25"/>
      <c r="AW52" s="25"/>
      <c r="AX52" s="25"/>
      <c r="AY52" s="25"/>
      <c r="AZ52" s="25"/>
      <c r="BA52" s="25"/>
      <c r="BB52" s="25"/>
      <c r="BF52" s="25"/>
      <c r="BG52" s="25"/>
      <c r="BH52" s="25"/>
      <c r="BI52" s="25"/>
      <c r="BJ52" s="25"/>
      <c r="BK52" s="25"/>
      <c r="BM52" s="25"/>
      <c r="BN52" s="25"/>
      <c r="BO52" s="25"/>
      <c r="BP52" s="25"/>
      <c r="BQ52" s="25"/>
      <c r="BR52" s="25"/>
      <c r="BU52" s="25"/>
      <c r="BV52" s="25"/>
      <c r="BW52" s="25"/>
      <c r="BX52" s="25"/>
      <c r="BY52" s="25"/>
      <c r="BZ52" s="25"/>
      <c r="CB52" s="25"/>
      <c r="CC52" s="25"/>
      <c r="CD52" s="25"/>
      <c r="CE52" s="25"/>
      <c r="CF52" s="25"/>
      <c r="CG52" s="25"/>
    </row>
    <row r="53" spans="1:85" ht="14" customHeight="1">
      <c r="A53" s="74" t="str">
        <f>IF(Poor!A53=0,"",Poor!A53)</f>
        <v>WILD FOODS -- see worksheet Data 3</v>
      </c>
      <c r="B53" s="104">
        <v>0</v>
      </c>
      <c r="C53" s="104">
        <v>0</v>
      </c>
      <c r="D53" s="38">
        <f t="shared" si="25"/>
        <v>0</v>
      </c>
      <c r="E53" s="75">
        <f>Poor!E53</f>
        <v>1</v>
      </c>
      <c r="F53" s="75">
        <f>Poor!F53</f>
        <v>1.18</v>
      </c>
      <c r="G53" s="75">
        <f>Poor!G53</f>
        <v>1.65</v>
      </c>
      <c r="H53" s="24">
        <f t="shared" si="30"/>
        <v>1.18</v>
      </c>
      <c r="I53" s="39">
        <f t="shared" si="31"/>
        <v>0</v>
      </c>
      <c r="J53" s="38">
        <f t="shared" si="32"/>
        <v>0</v>
      </c>
      <c r="K53" s="40">
        <f t="shared" si="33"/>
        <v>0</v>
      </c>
      <c r="L53" s="22">
        <f t="shared" si="34"/>
        <v>0</v>
      </c>
      <c r="M53" s="24">
        <f t="shared" si="35"/>
        <v>0</v>
      </c>
      <c r="N53" s="2"/>
      <c r="O53" s="2"/>
      <c r="P53" s="2"/>
      <c r="Q53" s="41"/>
      <c r="R53" s="56"/>
      <c r="S53" s="56"/>
      <c r="T53" s="56"/>
      <c r="U53" s="56"/>
      <c r="V53" s="56"/>
      <c r="W53" s="110"/>
      <c r="X53" s="118"/>
      <c r="Y53" s="110"/>
      <c r="Z53" s="156"/>
      <c r="AA53" s="147"/>
      <c r="AB53" s="156"/>
      <c r="AC53" s="147"/>
      <c r="AD53" s="156"/>
      <c r="AE53" s="147"/>
      <c r="AF53" s="122"/>
      <c r="AG53" s="147"/>
      <c r="AH53" s="123"/>
      <c r="AI53" s="112"/>
      <c r="AJ53" s="148"/>
      <c r="AK53" s="147"/>
      <c r="AP53" s="25"/>
      <c r="AQ53" s="25"/>
      <c r="AR53" s="25"/>
      <c r="AS53" s="25"/>
      <c r="AT53" s="25"/>
      <c r="AU53" s="25"/>
      <c r="AW53" s="25"/>
      <c r="AX53" s="25"/>
      <c r="AY53" s="25"/>
      <c r="AZ53" s="25"/>
      <c r="BA53" s="25"/>
      <c r="BB53" s="25"/>
      <c r="BF53" s="25"/>
      <c r="BG53" s="25"/>
      <c r="BH53" s="25"/>
      <c r="BI53" s="25"/>
      <c r="BJ53" s="25"/>
      <c r="BK53" s="25"/>
      <c r="BM53" s="25"/>
      <c r="BN53" s="25"/>
      <c r="BO53" s="25"/>
      <c r="BP53" s="25"/>
      <c r="BQ53" s="25"/>
      <c r="BR53" s="25"/>
      <c r="BU53" s="25"/>
      <c r="BV53" s="25"/>
      <c r="BW53" s="25"/>
      <c r="BX53" s="25"/>
      <c r="BY53" s="25"/>
      <c r="BZ53" s="25"/>
      <c r="CB53" s="25"/>
      <c r="CC53" s="25"/>
      <c r="CD53" s="25"/>
      <c r="CE53" s="25"/>
      <c r="CF53" s="25"/>
      <c r="CG53" s="25"/>
    </row>
    <row r="54" spans="1:85" ht="14" customHeight="1">
      <c r="A54" s="74" t="str">
        <f>IF(Poor!A54=0,"",Poor!A54)</f>
        <v>Agricultural casual work -- see Data2</v>
      </c>
      <c r="B54" s="104">
        <v>0</v>
      </c>
      <c r="C54" s="104">
        <v>0</v>
      </c>
      <c r="D54" s="38">
        <f t="shared" si="25"/>
        <v>0</v>
      </c>
      <c r="E54" s="75">
        <f>Poor!E54</f>
        <v>1</v>
      </c>
      <c r="F54" s="75">
        <f>Poor!F54</f>
        <v>1.1100000000000001</v>
      </c>
      <c r="G54" s="75">
        <f>Poor!G54</f>
        <v>1.65</v>
      </c>
      <c r="H54" s="24">
        <f t="shared" si="30"/>
        <v>1.1100000000000001</v>
      </c>
      <c r="I54" s="39">
        <f t="shared" si="31"/>
        <v>0</v>
      </c>
      <c r="J54" s="38">
        <f t="shared" si="32"/>
        <v>0</v>
      </c>
      <c r="K54" s="40">
        <f t="shared" si="33"/>
        <v>0</v>
      </c>
      <c r="L54" s="22">
        <f t="shared" si="34"/>
        <v>0</v>
      </c>
      <c r="M54" s="24">
        <f t="shared" si="35"/>
        <v>0</v>
      </c>
      <c r="N54" s="2"/>
      <c r="O54" s="2"/>
      <c r="P54" s="2"/>
      <c r="Q54" s="56"/>
      <c r="R54" s="56"/>
      <c r="S54" s="56"/>
      <c r="T54" s="56"/>
      <c r="U54" s="56"/>
      <c r="V54" s="56"/>
      <c r="W54" s="110"/>
      <c r="X54" s="118"/>
      <c r="Y54" s="110"/>
      <c r="Z54" s="156"/>
      <c r="AA54" s="147"/>
      <c r="AB54" s="156"/>
      <c r="AC54" s="147"/>
      <c r="AD54" s="156"/>
      <c r="AE54" s="147"/>
      <c r="AF54" s="122"/>
      <c r="AG54" s="147"/>
      <c r="AH54" s="123"/>
      <c r="AI54" s="112"/>
      <c r="AJ54" s="148"/>
      <c r="AK54" s="147"/>
      <c r="AP54" s="25"/>
      <c r="AQ54" s="25"/>
      <c r="AR54" s="25"/>
      <c r="AS54" s="25"/>
      <c r="AT54" s="25"/>
      <c r="AU54" s="25"/>
      <c r="AW54" s="25"/>
      <c r="AX54" s="25"/>
      <c r="AY54" s="25"/>
      <c r="AZ54" s="25"/>
      <c r="BA54" s="25"/>
      <c r="BB54" s="25"/>
      <c r="BF54" s="25"/>
      <c r="BG54" s="25"/>
      <c r="BH54" s="25"/>
      <c r="BI54" s="25"/>
      <c r="BJ54" s="25"/>
      <c r="BK54" s="25"/>
      <c r="BM54" s="25"/>
      <c r="BN54" s="25"/>
      <c r="BO54" s="25"/>
      <c r="BP54" s="25"/>
      <c r="BQ54" s="25"/>
      <c r="BR54" s="25"/>
      <c r="BU54" s="25"/>
      <c r="BV54" s="25"/>
      <c r="BW54" s="25"/>
      <c r="BX54" s="25"/>
      <c r="BY54" s="25"/>
      <c r="BZ54" s="25"/>
      <c r="CB54" s="25"/>
      <c r="CC54" s="25"/>
      <c r="CD54" s="25"/>
      <c r="CE54" s="25"/>
      <c r="CF54" s="25"/>
      <c r="CG54" s="25"/>
    </row>
    <row r="55" spans="1:85" ht="14" customHeight="1">
      <c r="A55" s="74" t="str">
        <f>IF(Poor!A55=0,"",Poor!A55)</f>
        <v>Construction casual work -- see Data2</v>
      </c>
      <c r="B55" s="104">
        <v>0</v>
      </c>
      <c r="C55" s="104">
        <v>0</v>
      </c>
      <c r="D55" s="38">
        <f t="shared" si="25"/>
        <v>0</v>
      </c>
      <c r="E55" s="75">
        <f>Poor!E55</f>
        <v>1</v>
      </c>
      <c r="F55" s="75">
        <f>Poor!F55</f>
        <v>1.1100000000000001</v>
      </c>
      <c r="G55" s="75">
        <f>Poor!G55</f>
        <v>1.65</v>
      </c>
      <c r="H55" s="24">
        <f t="shared" si="30"/>
        <v>1.1100000000000001</v>
      </c>
      <c r="I55" s="39">
        <f t="shared" si="31"/>
        <v>0</v>
      </c>
      <c r="J55" s="38">
        <f t="shared" si="32"/>
        <v>0</v>
      </c>
      <c r="K55" s="40">
        <f t="shared" si="33"/>
        <v>0</v>
      </c>
      <c r="L55" s="22">
        <f t="shared" si="34"/>
        <v>0</v>
      </c>
      <c r="M55" s="24">
        <f t="shared" si="35"/>
        <v>0</v>
      </c>
      <c r="N55" s="2"/>
      <c r="O55" s="2"/>
      <c r="P55" s="2"/>
      <c r="Q55" s="56"/>
      <c r="R55" s="41"/>
      <c r="S55" s="56"/>
      <c r="T55" s="56"/>
      <c r="U55" s="56"/>
      <c r="V55" s="56"/>
      <c r="W55" s="110"/>
      <c r="X55" s="118"/>
      <c r="Y55" s="110"/>
      <c r="Z55" s="156"/>
      <c r="AA55" s="147"/>
      <c r="AB55" s="156"/>
      <c r="AC55" s="147"/>
      <c r="AD55" s="156"/>
      <c r="AE55" s="147"/>
      <c r="AF55" s="122"/>
      <c r="AG55" s="147"/>
      <c r="AH55" s="123"/>
      <c r="AI55" s="112"/>
      <c r="AJ55" s="148"/>
      <c r="AK55" s="147"/>
      <c r="AP55" s="25"/>
      <c r="AQ55" s="25"/>
      <c r="AR55" s="25"/>
      <c r="AS55" s="25"/>
      <c r="AT55" s="25"/>
      <c r="AU55" s="25"/>
      <c r="AW55" s="25"/>
      <c r="AX55" s="25"/>
      <c r="AY55" s="25"/>
      <c r="AZ55" s="25"/>
      <c r="BA55" s="25"/>
      <c r="BB55" s="25"/>
      <c r="BF55" s="25"/>
      <c r="BG55" s="25"/>
      <c r="BH55" s="25"/>
      <c r="BI55" s="25"/>
      <c r="BJ55" s="25"/>
      <c r="BK55" s="25"/>
      <c r="BM55" s="25"/>
      <c r="BN55" s="25"/>
      <c r="BO55" s="25"/>
      <c r="BP55" s="25"/>
      <c r="BQ55" s="25"/>
      <c r="BR55" s="25"/>
      <c r="BU55" s="25"/>
      <c r="BV55" s="25"/>
      <c r="BW55" s="25"/>
      <c r="BX55" s="25"/>
      <c r="BY55" s="25"/>
      <c r="BZ55" s="25"/>
      <c r="CB55" s="25"/>
      <c r="CC55" s="25"/>
      <c r="CD55" s="25"/>
      <c r="CE55" s="25"/>
      <c r="CF55" s="25"/>
      <c r="CG55" s="25"/>
    </row>
    <row r="56" spans="1:85" ht="14" customHeight="1">
      <c r="A56" s="74" t="str">
        <f>IF(Poor!A56=0,"",Poor!A56)</f>
        <v>Domestic casual work -- see Data2</v>
      </c>
      <c r="B56" s="104">
        <v>0</v>
      </c>
      <c r="C56" s="104">
        <v>0</v>
      </c>
      <c r="D56" s="38">
        <f t="shared" si="25"/>
        <v>0</v>
      </c>
      <c r="E56" s="75">
        <f>Poor!E56</f>
        <v>1</v>
      </c>
      <c r="F56" s="75">
        <f>Poor!F56</f>
        <v>1.1100000000000001</v>
      </c>
      <c r="G56" s="75">
        <f>Poor!G56</f>
        <v>1.65</v>
      </c>
      <c r="H56" s="24">
        <f t="shared" si="30"/>
        <v>1.1100000000000001</v>
      </c>
      <c r="I56" s="39">
        <f t="shared" si="31"/>
        <v>0</v>
      </c>
      <c r="J56" s="38">
        <f t="shared" si="32"/>
        <v>0</v>
      </c>
      <c r="K56" s="40">
        <f t="shared" si="33"/>
        <v>0</v>
      </c>
      <c r="L56" s="22">
        <f t="shared" si="34"/>
        <v>0</v>
      </c>
      <c r="M56" s="24">
        <f t="shared" si="35"/>
        <v>0</v>
      </c>
      <c r="N56" s="2"/>
      <c r="O56" s="2"/>
      <c r="P56" s="2"/>
      <c r="Q56" s="56"/>
      <c r="R56" s="56"/>
      <c r="S56" s="56"/>
      <c r="T56" s="56"/>
      <c r="U56" s="56"/>
      <c r="V56" s="56"/>
      <c r="W56" s="110"/>
      <c r="X56" s="118"/>
      <c r="Y56" s="110"/>
      <c r="Z56" s="156"/>
      <c r="AA56" s="147"/>
      <c r="AB56" s="156"/>
      <c r="AC56" s="147"/>
      <c r="AD56" s="156"/>
      <c r="AE56" s="147"/>
      <c r="AF56" s="122"/>
      <c r="AG56" s="147"/>
      <c r="AH56" s="123"/>
      <c r="AI56" s="112"/>
      <c r="AJ56" s="148"/>
      <c r="AK56" s="147"/>
      <c r="AP56" s="25"/>
      <c r="AQ56" s="25"/>
      <c r="AR56" s="25"/>
      <c r="AS56" s="25"/>
      <c r="AT56" s="25"/>
      <c r="AU56" s="25"/>
      <c r="AW56" s="25"/>
      <c r="AX56" s="25"/>
      <c r="AY56" s="25"/>
      <c r="AZ56" s="25"/>
      <c r="BA56" s="25"/>
      <c r="BB56" s="25"/>
      <c r="BF56" s="25"/>
      <c r="BG56" s="25"/>
      <c r="BH56" s="25"/>
      <c r="BI56" s="25"/>
      <c r="BJ56" s="25"/>
      <c r="BK56" s="25"/>
      <c r="BM56" s="25"/>
      <c r="BN56" s="25"/>
      <c r="BO56" s="25"/>
      <c r="BP56" s="25"/>
      <c r="BQ56" s="25"/>
      <c r="BR56" s="25"/>
      <c r="BU56" s="25"/>
      <c r="BV56" s="25"/>
      <c r="BW56" s="25"/>
      <c r="BX56" s="25"/>
      <c r="BY56" s="25"/>
      <c r="BZ56" s="25"/>
      <c r="CB56" s="25"/>
      <c r="CC56" s="25"/>
      <c r="CD56" s="25"/>
      <c r="CE56" s="25"/>
      <c r="CF56" s="25"/>
      <c r="CG56" s="25"/>
    </row>
    <row r="57" spans="1:85" ht="14" customHeight="1">
      <c r="A57" s="74" t="str">
        <f>IF(Poor!A57=0,"",Poor!A57)</f>
        <v>Labour migration(formal employment): no. people per HH</v>
      </c>
      <c r="B57" s="104">
        <v>14500</v>
      </c>
      <c r="C57" s="104">
        <v>0</v>
      </c>
      <c r="D57" s="38">
        <f t="shared" si="25"/>
        <v>14500</v>
      </c>
      <c r="E57" s="75">
        <f>Poor!E57</f>
        <v>0.8</v>
      </c>
      <c r="F57" s="75">
        <f>Poor!F57</f>
        <v>1.18</v>
      </c>
      <c r="G57" s="75">
        <f>Poor!G57</f>
        <v>1.65</v>
      </c>
      <c r="H57" s="24">
        <f t="shared" si="30"/>
        <v>0.94399999999999995</v>
      </c>
      <c r="I57" s="39">
        <f t="shared" si="31"/>
        <v>13688</v>
      </c>
      <c r="J57" s="38">
        <f t="shared" si="32"/>
        <v>13688</v>
      </c>
      <c r="K57" s="40">
        <f t="shared" si="33"/>
        <v>0.14466052995636908</v>
      </c>
      <c r="L57" s="22">
        <f t="shared" si="34"/>
        <v>0.1365595402788124</v>
      </c>
      <c r="M57" s="24">
        <f t="shared" si="35"/>
        <v>0.1365595402788124</v>
      </c>
      <c r="N57" s="2"/>
      <c r="O57" s="2"/>
      <c r="P57" s="2"/>
      <c r="Q57" s="2"/>
      <c r="R57" s="218"/>
      <c r="S57" s="68"/>
      <c r="T57" s="2"/>
      <c r="U57" s="56"/>
      <c r="V57" s="56"/>
      <c r="W57" s="110"/>
      <c r="X57" s="118"/>
      <c r="Y57" s="110"/>
      <c r="Z57" s="156"/>
      <c r="AA57" s="147"/>
      <c r="AB57" s="156"/>
      <c r="AC57" s="147"/>
      <c r="AD57" s="156"/>
      <c r="AE57" s="147"/>
      <c r="AF57" s="122"/>
      <c r="AG57" s="147"/>
      <c r="AH57" s="123"/>
      <c r="AI57" s="112"/>
      <c r="AJ57" s="148"/>
      <c r="AK57" s="147"/>
      <c r="AP57" s="25"/>
      <c r="AQ57" s="25"/>
      <c r="AR57" s="25"/>
      <c r="AS57" s="25"/>
      <c r="AT57" s="25"/>
      <c r="AU57" s="25"/>
      <c r="AW57" s="25"/>
      <c r="AX57" s="25"/>
      <c r="AY57" s="25"/>
      <c r="AZ57" s="25"/>
      <c r="BA57" s="25"/>
      <c r="BB57" s="25"/>
      <c r="BF57" s="25"/>
      <c r="BG57" s="25"/>
      <c r="BH57" s="25"/>
      <c r="BI57" s="25"/>
      <c r="BJ57" s="25"/>
      <c r="BK57" s="25"/>
      <c r="BM57" s="25"/>
      <c r="BN57" s="25"/>
      <c r="BO57" s="25"/>
      <c r="BP57" s="25"/>
      <c r="BQ57" s="25"/>
      <c r="BR57" s="25"/>
      <c r="BU57" s="25"/>
      <c r="BV57" s="25"/>
      <c r="BW57" s="25"/>
      <c r="BX57" s="25"/>
      <c r="BY57" s="25"/>
      <c r="BZ57" s="25"/>
      <c r="CB57" s="25"/>
      <c r="CC57" s="25"/>
      <c r="CD57" s="25"/>
      <c r="CE57" s="25"/>
      <c r="CF57" s="25"/>
      <c r="CG57" s="25"/>
    </row>
    <row r="58" spans="1:85" ht="14" customHeight="1">
      <c r="A58" s="74" t="str">
        <f>IF(Poor!A58=0,"",Poor!A58)</f>
        <v>Formal Employment (e.g. teachers, salaried staff, etc.)</v>
      </c>
      <c r="B58" s="104">
        <v>12000</v>
      </c>
      <c r="C58" s="104">
        <v>0</v>
      </c>
      <c r="D58" s="38">
        <f t="shared" si="25"/>
        <v>12000</v>
      </c>
      <c r="E58" s="75">
        <f>Poor!E58</f>
        <v>0.8</v>
      </c>
      <c r="F58" s="75">
        <f>Poor!F58</f>
        <v>1.18</v>
      </c>
      <c r="G58" s="75">
        <f>Poor!G58</f>
        <v>1.65</v>
      </c>
      <c r="H58" s="24">
        <f t="shared" si="30"/>
        <v>0.94399999999999995</v>
      </c>
      <c r="I58" s="39">
        <f t="shared" si="31"/>
        <v>11328</v>
      </c>
      <c r="J58" s="38">
        <f t="shared" si="32"/>
        <v>11328</v>
      </c>
      <c r="K58" s="40">
        <f t="shared" si="33"/>
        <v>0.11971905927423647</v>
      </c>
      <c r="L58" s="22">
        <f t="shared" si="34"/>
        <v>0.11301479195487922</v>
      </c>
      <c r="M58" s="24">
        <f t="shared" si="35"/>
        <v>0.11301479195487923</v>
      </c>
      <c r="N58" s="2"/>
      <c r="O58" s="2"/>
      <c r="P58" s="2"/>
      <c r="Q58" s="2"/>
      <c r="R58" s="2"/>
      <c r="S58" s="2"/>
      <c r="T58" s="2"/>
      <c r="U58" s="56"/>
      <c r="V58" s="56"/>
      <c r="W58" s="110"/>
      <c r="X58" s="118"/>
      <c r="Y58" s="110"/>
      <c r="Z58" s="156">
        <f>Poor!Z58</f>
        <v>0.25</v>
      </c>
      <c r="AA58" s="147">
        <f t="shared" si="40"/>
        <v>2832</v>
      </c>
      <c r="AB58" s="156">
        <f>Poor!AB58</f>
        <v>0.25</v>
      </c>
      <c r="AC58" s="147">
        <f t="shared" si="41"/>
        <v>2832</v>
      </c>
      <c r="AD58" s="156">
        <f>Poor!AD58</f>
        <v>0.25</v>
      </c>
      <c r="AE58" s="147">
        <f t="shared" si="42"/>
        <v>2832</v>
      </c>
      <c r="AF58" s="122">
        <f t="shared" si="29"/>
        <v>0.25</v>
      </c>
      <c r="AG58" s="147">
        <f t="shared" si="36"/>
        <v>2832</v>
      </c>
      <c r="AH58" s="123">
        <f t="shared" si="37"/>
        <v>1</v>
      </c>
      <c r="AI58" s="112">
        <f t="shared" si="37"/>
        <v>11328</v>
      </c>
      <c r="AJ58" s="148">
        <f t="shared" si="38"/>
        <v>5664</v>
      </c>
      <c r="AK58" s="147">
        <f t="shared" si="39"/>
        <v>5664</v>
      </c>
      <c r="AP58" s="25"/>
      <c r="AQ58" s="25"/>
      <c r="AR58" s="25"/>
      <c r="AS58" s="25"/>
      <c r="AT58" s="25"/>
      <c r="AU58" s="25"/>
      <c r="AW58" s="25"/>
      <c r="AX58" s="25"/>
      <c r="AY58" s="25"/>
      <c r="AZ58" s="25"/>
      <c r="BA58" s="25"/>
      <c r="BB58" s="25"/>
      <c r="BF58" s="25"/>
      <c r="BG58" s="25"/>
      <c r="BH58" s="25"/>
      <c r="BI58" s="25"/>
      <c r="BJ58" s="25"/>
      <c r="BK58" s="25"/>
      <c r="BM58" s="25"/>
      <c r="BN58" s="25"/>
      <c r="BO58" s="25"/>
      <c r="BP58" s="25"/>
      <c r="BQ58" s="25"/>
      <c r="BR58" s="25"/>
      <c r="BU58" s="25"/>
      <c r="BV58" s="25"/>
      <c r="BW58" s="25"/>
      <c r="BX58" s="25"/>
      <c r="BY58" s="25"/>
      <c r="BZ58" s="25"/>
      <c r="CB58" s="25"/>
      <c r="CC58" s="25"/>
      <c r="CD58" s="25"/>
      <c r="CE58" s="25"/>
      <c r="CF58" s="25"/>
      <c r="CG58" s="25"/>
    </row>
    <row r="59" spans="1:85" ht="14" customHeight="1">
      <c r="A59" s="74" t="str">
        <f>IF(Poor!A59=0,"",Poor!A59)</f>
        <v>Self-employment -- see Data2</v>
      </c>
      <c r="B59" s="104">
        <v>400</v>
      </c>
      <c r="C59" s="104">
        <v>80</v>
      </c>
      <c r="D59" s="38">
        <f t="shared" si="25"/>
        <v>480</v>
      </c>
      <c r="E59" s="75">
        <f>Poor!E59</f>
        <v>0.8</v>
      </c>
      <c r="F59" s="75">
        <f>Poor!F59</f>
        <v>1</v>
      </c>
      <c r="G59" s="75">
        <f>Poor!G59</f>
        <v>1.65</v>
      </c>
      <c r="H59" s="24">
        <f t="shared" si="30"/>
        <v>0.8</v>
      </c>
      <c r="I59" s="39">
        <f t="shared" si="31"/>
        <v>384</v>
      </c>
      <c r="J59" s="38">
        <f t="shared" si="32"/>
        <v>333.07847766618278</v>
      </c>
      <c r="K59" s="40">
        <f t="shared" si="33"/>
        <v>3.9906353091412154E-3</v>
      </c>
      <c r="L59" s="22">
        <f t="shared" si="34"/>
        <v>3.1925082473129723E-3</v>
      </c>
      <c r="M59" s="24">
        <f t="shared" si="35"/>
        <v>3.3229868342241819E-3</v>
      </c>
      <c r="N59" s="2"/>
      <c r="O59" s="2"/>
      <c r="P59" s="2"/>
      <c r="Q59" s="2"/>
      <c r="R59" s="2"/>
      <c r="S59" s="2"/>
      <c r="T59" s="2"/>
      <c r="U59" s="56"/>
      <c r="V59" s="56"/>
      <c r="W59" s="110"/>
      <c r="X59" s="118"/>
      <c r="Y59" s="110"/>
      <c r="Z59" s="156">
        <f>Poor!Z59</f>
        <v>0.25</v>
      </c>
      <c r="AA59" s="147">
        <f t="shared" si="40"/>
        <v>83.269619416545694</v>
      </c>
      <c r="AB59" s="156">
        <f>Poor!AB59</f>
        <v>0.25</v>
      </c>
      <c r="AC59" s="147">
        <f t="shared" si="41"/>
        <v>83.269619416545694</v>
      </c>
      <c r="AD59" s="156">
        <f>Poor!AD59</f>
        <v>0.25</v>
      </c>
      <c r="AE59" s="147">
        <f t="shared" si="42"/>
        <v>83.269619416545694</v>
      </c>
      <c r="AF59" s="122">
        <f t="shared" si="29"/>
        <v>0.25</v>
      </c>
      <c r="AG59" s="147">
        <f t="shared" si="36"/>
        <v>83.269619416545694</v>
      </c>
      <c r="AH59" s="123">
        <f t="shared" ref="AH59:AI64" si="43">SUM(Z59,AB59,AD59,AF59)</f>
        <v>1</v>
      </c>
      <c r="AI59" s="112">
        <f t="shared" si="43"/>
        <v>333.07847766618278</v>
      </c>
      <c r="AJ59" s="148">
        <f t="shared" si="38"/>
        <v>166.53923883309139</v>
      </c>
      <c r="AK59" s="147">
        <f t="shared" si="39"/>
        <v>166.53923883309139</v>
      </c>
      <c r="AP59" s="25"/>
      <c r="AQ59" s="25"/>
      <c r="AR59" s="25"/>
      <c r="AS59" s="25"/>
      <c r="AT59" s="25"/>
      <c r="AU59" s="25"/>
      <c r="AW59" s="25"/>
      <c r="AX59" s="25"/>
      <c r="AY59" s="25"/>
      <c r="AZ59" s="25"/>
      <c r="BA59" s="25"/>
      <c r="BB59" s="25"/>
      <c r="BF59" s="25"/>
      <c r="BG59" s="25"/>
      <c r="BH59" s="25"/>
      <c r="BI59" s="25"/>
      <c r="BJ59" s="25"/>
      <c r="BK59" s="25"/>
      <c r="BM59" s="25"/>
      <c r="BN59" s="25"/>
      <c r="BO59" s="25"/>
      <c r="BP59" s="25"/>
      <c r="BQ59" s="25"/>
      <c r="BR59" s="25"/>
      <c r="BU59" s="25"/>
      <c r="BV59" s="25"/>
      <c r="BW59" s="25"/>
      <c r="BX59" s="25"/>
      <c r="BY59" s="25"/>
      <c r="BZ59" s="25"/>
      <c r="CB59" s="25"/>
      <c r="CC59" s="25"/>
      <c r="CD59" s="25"/>
      <c r="CE59" s="25"/>
      <c r="CF59" s="25"/>
      <c r="CG59" s="25"/>
    </row>
    <row r="60" spans="1:85" ht="14" customHeight="1">
      <c r="A60" s="74" t="str">
        <f>IF(Poor!A60=0,"",Poor!A60)</f>
        <v>Small business -- see Data2</v>
      </c>
      <c r="B60" s="104">
        <v>35866.666666666664</v>
      </c>
      <c r="C60" s="104">
        <v>0</v>
      </c>
      <c r="D60" s="38">
        <f t="shared" si="25"/>
        <v>35866.666666666664</v>
      </c>
      <c r="E60" s="75">
        <f>Poor!E60</f>
        <v>0.8</v>
      </c>
      <c r="F60" s="75">
        <f>Poor!F60</f>
        <v>1.18</v>
      </c>
      <c r="G60" s="75">
        <f>Poor!G60</f>
        <v>1.65</v>
      </c>
      <c r="H60" s="24">
        <f t="shared" si="30"/>
        <v>0.94399999999999995</v>
      </c>
      <c r="I60" s="39">
        <f t="shared" si="31"/>
        <v>33858.133333333331</v>
      </c>
      <c r="J60" s="38">
        <f t="shared" si="32"/>
        <v>33858.133333333331</v>
      </c>
      <c r="K60" s="40">
        <f t="shared" si="33"/>
        <v>0.35782696605299563</v>
      </c>
      <c r="L60" s="22">
        <f t="shared" si="34"/>
        <v>0.33778865595402785</v>
      </c>
      <c r="M60" s="24">
        <f t="shared" si="35"/>
        <v>0.33778865595402791</v>
      </c>
      <c r="N60" s="2"/>
      <c r="O60" s="2"/>
      <c r="P60" s="2"/>
      <c r="Q60" s="2"/>
      <c r="R60" s="2"/>
      <c r="S60" s="2"/>
      <c r="T60" s="2"/>
      <c r="U60" s="56"/>
      <c r="V60" s="56"/>
      <c r="W60" s="110"/>
      <c r="X60" s="118"/>
      <c r="Y60" s="110"/>
      <c r="Z60" s="156">
        <f>Poor!Z60</f>
        <v>0.25</v>
      </c>
      <c r="AA60" s="147">
        <f t="shared" si="40"/>
        <v>8464.5333333333328</v>
      </c>
      <c r="AB60" s="156">
        <f>Poor!AB60</f>
        <v>0.25</v>
      </c>
      <c r="AC60" s="147">
        <f t="shared" si="41"/>
        <v>8464.5333333333328</v>
      </c>
      <c r="AD60" s="156">
        <f>Poor!AD60</f>
        <v>0.25</v>
      </c>
      <c r="AE60" s="147">
        <f t="shared" si="42"/>
        <v>8464.5333333333328</v>
      </c>
      <c r="AF60" s="122">
        <f t="shared" si="29"/>
        <v>0.25</v>
      </c>
      <c r="AG60" s="147">
        <f t="shared" si="36"/>
        <v>8464.5333333333328</v>
      </c>
      <c r="AH60" s="123">
        <f t="shared" si="43"/>
        <v>1</v>
      </c>
      <c r="AI60" s="112">
        <f t="shared" si="43"/>
        <v>33858.133333333331</v>
      </c>
      <c r="AJ60" s="148">
        <f t="shared" si="38"/>
        <v>16929.066666666666</v>
      </c>
      <c r="AK60" s="147">
        <f t="shared" si="39"/>
        <v>16929.066666666666</v>
      </c>
      <c r="AP60" s="25"/>
      <c r="AQ60" s="25"/>
      <c r="AR60" s="25"/>
      <c r="AS60" s="25"/>
      <c r="AT60" s="25"/>
      <c r="AU60" s="25"/>
      <c r="AW60" s="25"/>
      <c r="AX60" s="25"/>
      <c r="AY60" s="25"/>
      <c r="AZ60" s="25"/>
      <c r="BA60" s="25"/>
      <c r="BB60" s="25"/>
      <c r="BF60" s="25"/>
      <c r="BG60" s="25"/>
      <c r="BH60" s="25"/>
      <c r="BI60" s="25"/>
      <c r="BJ60" s="25"/>
      <c r="BK60" s="25"/>
      <c r="BM60" s="25"/>
      <c r="BN60" s="25"/>
      <c r="BO60" s="25"/>
      <c r="BP60" s="25"/>
      <c r="BQ60" s="25"/>
      <c r="BR60" s="25"/>
      <c r="BU60" s="25"/>
      <c r="BV60" s="25"/>
      <c r="BW60" s="25"/>
      <c r="BX60" s="25"/>
      <c r="BY60" s="25"/>
      <c r="BZ60" s="25"/>
      <c r="CB60" s="25"/>
      <c r="CC60" s="25"/>
      <c r="CD60" s="25"/>
      <c r="CE60" s="25"/>
      <c r="CF60" s="25"/>
      <c r="CG60" s="25"/>
    </row>
    <row r="61" spans="1:85" ht="14" customHeight="1">
      <c r="A61" s="74" t="str">
        <f>IF(Poor!A61=0,"",Poor!A61)</f>
        <v>Social development -- see Data2</v>
      </c>
      <c r="B61" s="104">
        <v>7920</v>
      </c>
      <c r="C61" s="104">
        <v>0</v>
      </c>
      <c r="D61" s="38">
        <f t="shared" si="25"/>
        <v>7920</v>
      </c>
      <c r="E61" s="75">
        <f>Poor!E61</f>
        <v>0</v>
      </c>
      <c r="F61" s="75">
        <f>Poor!F61</f>
        <v>1.18</v>
      </c>
      <c r="G61" s="75">
        <f>Poor!G61</f>
        <v>1.65</v>
      </c>
      <c r="H61" s="24">
        <f t="shared" si="30"/>
        <v>0</v>
      </c>
      <c r="I61" s="39">
        <f t="shared" si="31"/>
        <v>0</v>
      </c>
      <c r="J61" s="38">
        <f t="shared" si="32"/>
        <v>0</v>
      </c>
      <c r="K61" s="40">
        <f t="shared" si="33"/>
        <v>7.9014579120996076E-2</v>
      </c>
      <c r="L61" s="22">
        <f t="shared" si="34"/>
        <v>0</v>
      </c>
      <c r="M61" s="24">
        <f t="shared" si="35"/>
        <v>0</v>
      </c>
      <c r="N61" s="2"/>
      <c r="O61" s="2"/>
      <c r="P61" s="2"/>
      <c r="Q61" s="2"/>
      <c r="R61" s="2"/>
      <c r="S61" s="2"/>
      <c r="T61" s="2"/>
      <c r="U61" s="56"/>
      <c r="V61" s="56"/>
      <c r="W61" s="110"/>
      <c r="X61" s="118"/>
      <c r="Y61" s="110"/>
      <c r="Z61" s="156">
        <f>Poor!Z61</f>
        <v>0.25</v>
      </c>
      <c r="AA61" s="147">
        <f t="shared" si="40"/>
        <v>0</v>
      </c>
      <c r="AB61" s="156">
        <f>Poor!AB61</f>
        <v>0.25</v>
      </c>
      <c r="AC61" s="147">
        <f t="shared" si="41"/>
        <v>0</v>
      </c>
      <c r="AD61" s="156">
        <f>Poor!AD61</f>
        <v>0.25</v>
      </c>
      <c r="AE61" s="147">
        <f t="shared" si="42"/>
        <v>0</v>
      </c>
      <c r="AF61" s="122">
        <f t="shared" si="29"/>
        <v>0.25</v>
      </c>
      <c r="AG61" s="147">
        <f t="shared" si="36"/>
        <v>0</v>
      </c>
      <c r="AH61" s="123">
        <f t="shared" si="43"/>
        <v>1</v>
      </c>
      <c r="AI61" s="112">
        <f t="shared" si="43"/>
        <v>0</v>
      </c>
      <c r="AJ61" s="148">
        <f t="shared" si="38"/>
        <v>0</v>
      </c>
      <c r="AK61" s="147">
        <f t="shared" si="39"/>
        <v>0</v>
      </c>
      <c r="AP61" s="25"/>
      <c r="AQ61" s="25"/>
      <c r="AR61" s="25"/>
      <c r="AS61" s="25"/>
      <c r="AT61" s="25"/>
      <c r="AU61" s="25"/>
      <c r="AW61" s="25"/>
      <c r="AX61" s="25"/>
      <c r="AY61" s="25"/>
      <c r="AZ61" s="25"/>
      <c r="BA61" s="25"/>
      <c r="BB61" s="25"/>
      <c r="BF61" s="25"/>
      <c r="BG61" s="25"/>
      <c r="BH61" s="25"/>
      <c r="BI61" s="25"/>
      <c r="BJ61" s="25"/>
      <c r="BK61" s="25"/>
      <c r="BM61" s="25"/>
      <c r="BN61" s="25"/>
      <c r="BO61" s="25"/>
      <c r="BP61" s="25"/>
      <c r="BQ61" s="25"/>
      <c r="BR61" s="25"/>
      <c r="BU61" s="25"/>
      <c r="BV61" s="25"/>
      <c r="BW61" s="25"/>
      <c r="BX61" s="25"/>
      <c r="BY61" s="25"/>
      <c r="BZ61" s="25"/>
      <c r="CB61" s="25"/>
      <c r="CC61" s="25"/>
      <c r="CD61" s="25"/>
      <c r="CE61" s="25"/>
      <c r="CF61" s="25"/>
      <c r="CG61" s="25"/>
    </row>
    <row r="62" spans="1:85" ht="14" customHeight="1">
      <c r="A62" s="74" t="str">
        <f>IF(Poor!A62=0,"",Poor!A62)</f>
        <v>Public works -- see Data2</v>
      </c>
      <c r="B62" s="104">
        <v>1333.3333333333333</v>
      </c>
      <c r="C62" s="104">
        <v>0</v>
      </c>
      <c r="D62" s="38">
        <f t="shared" si="25"/>
        <v>1333.3333333333333</v>
      </c>
      <c r="E62" s="75">
        <f>Poor!E62</f>
        <v>1</v>
      </c>
      <c r="F62" s="75">
        <f>Poor!F62</f>
        <v>1.18</v>
      </c>
      <c r="G62" s="75">
        <f>Poor!G62</f>
        <v>1.65</v>
      </c>
      <c r="H62" s="24">
        <f t="shared" si="30"/>
        <v>1.18</v>
      </c>
      <c r="I62" s="39">
        <f t="shared" si="31"/>
        <v>1573.3333333333333</v>
      </c>
      <c r="J62" s="38">
        <f t="shared" si="32"/>
        <v>1573.3333333333335</v>
      </c>
      <c r="K62" s="40">
        <f t="shared" si="33"/>
        <v>1.3302117697137385E-2</v>
      </c>
      <c r="L62" s="22">
        <f t="shared" si="34"/>
        <v>1.5696498882622114E-2</v>
      </c>
      <c r="M62" s="24">
        <f t="shared" si="35"/>
        <v>1.5696498882622117E-2</v>
      </c>
      <c r="N62" s="2"/>
      <c r="O62" s="2"/>
      <c r="P62" s="2"/>
      <c r="Q62" s="2"/>
      <c r="R62" s="2"/>
      <c r="S62" s="2"/>
      <c r="T62" s="2"/>
      <c r="U62" s="56"/>
      <c r="V62" s="56"/>
      <c r="W62" s="110"/>
      <c r="X62" s="118"/>
      <c r="Y62" s="110"/>
      <c r="Z62" s="156">
        <f>Poor!Z62</f>
        <v>0.25</v>
      </c>
      <c r="AA62" s="147">
        <f t="shared" si="40"/>
        <v>393.33333333333337</v>
      </c>
      <c r="AB62" s="156">
        <f>Poor!AB62</f>
        <v>0.25</v>
      </c>
      <c r="AC62" s="147">
        <f t="shared" si="41"/>
        <v>393.33333333333337</v>
      </c>
      <c r="AD62" s="156">
        <f>Poor!AD62</f>
        <v>0.25</v>
      </c>
      <c r="AE62" s="147">
        <f t="shared" si="42"/>
        <v>393.33333333333337</v>
      </c>
      <c r="AF62" s="122">
        <f t="shared" si="29"/>
        <v>0.25</v>
      </c>
      <c r="AG62" s="147">
        <f t="shared" si="36"/>
        <v>393.33333333333337</v>
      </c>
      <c r="AH62" s="123">
        <f t="shared" si="43"/>
        <v>1</v>
      </c>
      <c r="AI62" s="112">
        <f t="shared" si="43"/>
        <v>1573.3333333333335</v>
      </c>
      <c r="AJ62" s="148">
        <f t="shared" si="38"/>
        <v>786.66666666666674</v>
      </c>
      <c r="AK62" s="147">
        <f t="shared" si="39"/>
        <v>786.66666666666674</v>
      </c>
      <c r="AP62" s="25"/>
      <c r="AQ62" s="25"/>
      <c r="AR62" s="25"/>
      <c r="AS62" s="25"/>
      <c r="AT62" s="25"/>
      <c r="AU62" s="25"/>
      <c r="AW62" s="25"/>
      <c r="AX62" s="25"/>
      <c r="AY62" s="25"/>
      <c r="AZ62" s="25"/>
      <c r="BA62" s="25"/>
      <c r="BB62" s="25"/>
      <c r="BF62" s="25"/>
      <c r="BG62" s="25"/>
      <c r="BH62" s="25"/>
      <c r="BI62" s="25"/>
      <c r="BJ62" s="25"/>
      <c r="BK62" s="25"/>
      <c r="BM62" s="25"/>
      <c r="BN62" s="25"/>
      <c r="BO62" s="25"/>
      <c r="BP62" s="25"/>
      <c r="BQ62" s="25"/>
      <c r="BR62" s="25"/>
      <c r="BU62" s="25"/>
      <c r="BV62" s="25"/>
      <c r="BW62" s="25"/>
      <c r="BX62" s="25"/>
      <c r="BY62" s="25"/>
      <c r="BZ62" s="25"/>
      <c r="CB62" s="25"/>
      <c r="CC62" s="25"/>
      <c r="CD62" s="25"/>
      <c r="CE62" s="25"/>
      <c r="CF62" s="25"/>
      <c r="CG62" s="25"/>
    </row>
    <row r="63" spans="1:85" ht="14" customHeight="1">
      <c r="A63" s="74" t="str">
        <f>IF(Poor!A63=0,"",Poor!A63)</f>
        <v>Other income: e.g. Credit (cotton loans)</v>
      </c>
      <c r="B63" s="104">
        <v>2800</v>
      </c>
      <c r="C63" s="104">
        <v>0</v>
      </c>
      <c r="D63" s="38">
        <f t="shared" si="25"/>
        <v>2800</v>
      </c>
      <c r="E63" s="75">
        <f>Poor!E63</f>
        <v>1</v>
      </c>
      <c r="F63" s="75">
        <f>Poor!F63</f>
        <v>1</v>
      </c>
      <c r="G63" s="75">
        <f>Poor!G63</f>
        <v>1.65</v>
      </c>
      <c r="H63" s="24">
        <f t="shared" si="30"/>
        <v>1</v>
      </c>
      <c r="I63" s="39">
        <f t="shared" si="31"/>
        <v>2800</v>
      </c>
      <c r="J63" s="38">
        <f t="shared" si="32"/>
        <v>2800</v>
      </c>
      <c r="K63" s="40">
        <f t="shared" si="33"/>
        <v>2.7934447163988508E-2</v>
      </c>
      <c r="L63" s="22">
        <f t="shared" si="34"/>
        <v>2.7934447163988508E-2</v>
      </c>
      <c r="M63" s="24">
        <f t="shared" si="35"/>
        <v>2.7934447163988508E-2</v>
      </c>
      <c r="N63" s="2"/>
      <c r="O63" s="2"/>
      <c r="P63" s="2"/>
      <c r="Q63" s="2"/>
      <c r="R63" s="2"/>
      <c r="S63" s="2"/>
      <c r="T63" s="2"/>
      <c r="U63" s="56"/>
      <c r="V63" s="56"/>
      <c r="W63" s="110"/>
      <c r="X63" s="118"/>
      <c r="Y63" s="110"/>
      <c r="Z63" s="156">
        <f>Poor!Z63</f>
        <v>0.25</v>
      </c>
      <c r="AA63" s="147">
        <f t="shared" si="40"/>
        <v>700</v>
      </c>
      <c r="AB63" s="156">
        <f>Poor!AB63</f>
        <v>0.25</v>
      </c>
      <c r="AC63" s="147">
        <f t="shared" si="41"/>
        <v>700</v>
      </c>
      <c r="AD63" s="156">
        <f>Poor!AD63</f>
        <v>0.25</v>
      </c>
      <c r="AE63" s="147">
        <f t="shared" si="42"/>
        <v>700</v>
      </c>
      <c r="AF63" s="122">
        <f t="shared" si="29"/>
        <v>0.25</v>
      </c>
      <c r="AG63" s="147">
        <f t="shared" si="36"/>
        <v>700</v>
      </c>
      <c r="AH63" s="123">
        <f t="shared" si="43"/>
        <v>1</v>
      </c>
      <c r="AI63" s="112">
        <f t="shared" si="43"/>
        <v>2800</v>
      </c>
      <c r="AJ63" s="148">
        <f t="shared" si="38"/>
        <v>1400</v>
      </c>
      <c r="AK63" s="147">
        <f t="shared" si="39"/>
        <v>1400</v>
      </c>
      <c r="AP63" s="25"/>
      <c r="AQ63" s="25"/>
      <c r="AR63" s="25"/>
      <c r="AS63" s="25"/>
      <c r="AT63" s="25"/>
      <c r="AU63" s="25"/>
      <c r="AW63" s="25"/>
      <c r="AX63" s="25"/>
      <c r="AY63" s="25"/>
      <c r="AZ63" s="25"/>
      <c r="BA63" s="25"/>
      <c r="BB63" s="25"/>
      <c r="BF63" s="25"/>
      <c r="BG63" s="25"/>
      <c r="BH63" s="25"/>
      <c r="BI63" s="25"/>
      <c r="BJ63" s="25"/>
      <c r="BK63" s="25"/>
      <c r="BM63" s="25"/>
      <c r="BN63" s="25"/>
      <c r="BO63" s="25"/>
      <c r="BP63" s="25"/>
      <c r="BQ63" s="25"/>
      <c r="BR63" s="25"/>
      <c r="BU63" s="25"/>
      <c r="BV63" s="25"/>
      <c r="BW63" s="25"/>
      <c r="BX63" s="25"/>
      <c r="BY63" s="25"/>
      <c r="BZ63" s="25"/>
      <c r="CB63" s="25"/>
      <c r="CC63" s="25"/>
      <c r="CD63" s="25"/>
      <c r="CE63" s="25"/>
      <c r="CF63" s="25"/>
      <c r="CG63" s="25"/>
    </row>
    <row r="64" spans="1:85" ht="14" customHeight="1">
      <c r="A64" s="74" t="str">
        <f>IF(Poor!A64=0,"",Poor!A64)</f>
        <v>Remittances: no. times per year</v>
      </c>
      <c r="B64" s="104">
        <v>1466.6666666666667</v>
      </c>
      <c r="C64" s="104">
        <v>0</v>
      </c>
      <c r="D64" s="38">
        <f t="shared" si="25"/>
        <v>1466.6666666666667</v>
      </c>
      <c r="E64" s="75">
        <f>Poor!E64</f>
        <v>1</v>
      </c>
      <c r="F64" s="75">
        <f>Poor!F64</f>
        <v>1.1100000000000001</v>
      </c>
      <c r="G64" s="75">
        <f>Poor!G64</f>
        <v>1.65</v>
      </c>
      <c r="H64" s="24">
        <f t="shared" si="30"/>
        <v>1.1100000000000001</v>
      </c>
      <c r="I64" s="39">
        <f t="shared" si="31"/>
        <v>1628.0000000000002</v>
      </c>
      <c r="J64" s="38">
        <f t="shared" si="32"/>
        <v>1628.0000000000005</v>
      </c>
      <c r="K64" s="40">
        <f t="shared" si="33"/>
        <v>1.4632329466851125E-2</v>
      </c>
      <c r="L64" s="22">
        <f t="shared" si="34"/>
        <v>1.6241885708204749E-2</v>
      </c>
      <c r="M64" s="24">
        <f t="shared" si="35"/>
        <v>1.6241885708204753E-2</v>
      </c>
      <c r="N64" s="2"/>
      <c r="O64" s="2"/>
      <c r="P64" s="2"/>
      <c r="Q64" s="2"/>
      <c r="R64" s="2"/>
      <c r="S64" s="2"/>
      <c r="T64" s="2"/>
      <c r="U64" s="56"/>
      <c r="V64" s="56"/>
      <c r="W64" s="110"/>
      <c r="X64" s="118"/>
      <c r="Y64" s="110"/>
      <c r="Z64" s="156">
        <f>Poor!Z64</f>
        <v>0.25</v>
      </c>
      <c r="AA64" s="149">
        <f t="shared" si="40"/>
        <v>407.00000000000011</v>
      </c>
      <c r="AB64" s="156">
        <f>Poor!AB64</f>
        <v>0.25</v>
      </c>
      <c r="AC64" s="149">
        <f t="shared" si="41"/>
        <v>407.00000000000011</v>
      </c>
      <c r="AD64" s="156">
        <f>Poor!AD64</f>
        <v>0.25</v>
      </c>
      <c r="AE64" s="149">
        <f t="shared" si="42"/>
        <v>407.00000000000011</v>
      </c>
      <c r="AF64" s="150">
        <f t="shared" si="29"/>
        <v>0.25</v>
      </c>
      <c r="AG64" s="149">
        <f t="shared" si="36"/>
        <v>407.00000000000011</v>
      </c>
      <c r="AH64" s="123">
        <f t="shared" si="43"/>
        <v>1</v>
      </c>
      <c r="AI64" s="112">
        <f t="shared" si="43"/>
        <v>1628.0000000000005</v>
      </c>
      <c r="AJ64" s="151">
        <f t="shared" si="38"/>
        <v>814.00000000000023</v>
      </c>
      <c r="AK64" s="149">
        <f t="shared" si="39"/>
        <v>814.00000000000023</v>
      </c>
      <c r="AP64" s="25"/>
      <c r="AQ64" s="25"/>
      <c r="AR64" s="25"/>
      <c r="AS64" s="25"/>
      <c r="AT64" s="25"/>
      <c r="AU64" s="25"/>
      <c r="AW64" s="25"/>
      <c r="AX64" s="25"/>
      <c r="AY64" s="25"/>
      <c r="AZ64" s="25"/>
      <c r="BA64" s="25"/>
      <c r="BB64" s="25"/>
      <c r="BF64" s="25"/>
      <c r="BG64" s="25"/>
      <c r="BH64" s="25"/>
      <c r="BI64" s="25"/>
      <c r="BJ64" s="25"/>
      <c r="BK64" s="25"/>
      <c r="BM64" s="25"/>
      <c r="BN64" s="25"/>
      <c r="BO64" s="25"/>
      <c r="BP64" s="25"/>
      <c r="BQ64" s="25"/>
      <c r="BR64" s="25"/>
      <c r="BU64" s="25"/>
      <c r="BV64" s="25"/>
      <c r="BW64" s="25"/>
      <c r="BX64" s="25"/>
      <c r="BY64" s="25"/>
      <c r="BZ64" s="25"/>
      <c r="CB64" s="25"/>
      <c r="CC64" s="25"/>
      <c r="CD64" s="25"/>
      <c r="CE64" s="25"/>
      <c r="CF64" s="25"/>
      <c r="CG64" s="25"/>
    </row>
    <row r="65" spans="1:88" ht="14" customHeight="1">
      <c r="A65" s="39" t="s">
        <v>32</v>
      </c>
      <c r="B65" s="39">
        <f>SUM(B37:B64)</f>
        <v>100234.66666666666</v>
      </c>
      <c r="C65" s="39">
        <f>SUM(C37:C64)</f>
        <v>-2078.0000000000005</v>
      </c>
      <c r="D65" s="42">
        <f>SUM(D37:D64)</f>
        <v>98156.666666666657</v>
      </c>
      <c r="E65" s="32"/>
      <c r="F65" s="32"/>
      <c r="G65" s="32"/>
      <c r="H65" s="31"/>
      <c r="I65" s="39">
        <f>SUM(I37:I64)</f>
        <v>90023.426666666652</v>
      </c>
      <c r="J65" s="39">
        <f>SUM(J37:J64)</f>
        <v>93419.230226541942</v>
      </c>
      <c r="K65" s="40">
        <f>SUM(K37:K64)</f>
        <v>1.0000000000000002</v>
      </c>
      <c r="L65" s="22">
        <f>SUM(L37:L64)</f>
        <v>0.94070642226242418</v>
      </c>
      <c r="M65" s="24">
        <f>SUM(M37:M64)</f>
        <v>0.93200519673707638</v>
      </c>
      <c r="N65" s="2"/>
      <c r="O65" s="2"/>
      <c r="P65" s="2"/>
      <c r="Q65" s="2"/>
      <c r="R65" s="2"/>
      <c r="S65" s="2"/>
      <c r="T65" s="2"/>
      <c r="U65" s="56"/>
      <c r="V65" s="56"/>
      <c r="W65" s="110"/>
      <c r="X65" s="152"/>
      <c r="Y65" s="110"/>
      <c r="Z65" s="137"/>
      <c r="AA65" s="153">
        <f>SUM(AA37:AA64)</f>
        <v>18962.83445588838</v>
      </c>
      <c r="AB65" s="137"/>
      <c r="AC65" s="153">
        <f>SUM(AC37:AC64)</f>
        <v>19370.035429333871</v>
      </c>
      <c r="AD65" s="137"/>
      <c r="AE65" s="153">
        <f>SUM(AE37:AE64)</f>
        <v>18864.455137896108</v>
      </c>
      <c r="AF65" s="137"/>
      <c r="AG65" s="153">
        <f>SUM(AG37:AG64)</f>
        <v>22533.905203423568</v>
      </c>
      <c r="AH65" s="137"/>
      <c r="AI65" s="153">
        <f>SUM(AI37:AI64)</f>
        <v>79731.230226541942</v>
      </c>
      <c r="AJ65" s="153">
        <f>SUM(AJ37:AJ64)</f>
        <v>38332.869885222251</v>
      </c>
      <c r="AK65" s="153">
        <f>SUM(AK37:AK64)</f>
        <v>41398.360341319676</v>
      </c>
      <c r="AP65" s="25"/>
      <c r="AQ65" s="25"/>
      <c r="AR65" s="25"/>
      <c r="AS65" s="25"/>
      <c r="AT65" s="25"/>
      <c r="AU65" s="25"/>
      <c r="AW65" s="25"/>
      <c r="AX65" s="25"/>
      <c r="AY65" s="25"/>
      <c r="AZ65" s="25"/>
      <c r="BA65" s="25"/>
      <c r="BB65" s="25"/>
      <c r="BF65" s="25"/>
      <c r="BG65" s="25"/>
      <c r="BH65" s="25"/>
      <c r="BI65" s="25"/>
      <c r="BJ65" s="25"/>
      <c r="BK65" s="25"/>
      <c r="BM65" s="25"/>
      <c r="BN65" s="25"/>
      <c r="BO65" s="25"/>
      <c r="BP65" s="25"/>
      <c r="BQ65" s="25"/>
      <c r="BR65" s="25"/>
      <c r="BU65" s="25"/>
      <c r="BV65" s="25"/>
      <c r="BW65" s="25"/>
      <c r="BX65" s="25"/>
      <c r="BY65" s="25"/>
      <c r="BZ65" s="25"/>
      <c r="CB65" s="25"/>
      <c r="CC65" s="25"/>
      <c r="CD65" s="25"/>
      <c r="CE65" s="25"/>
      <c r="CF65" s="25"/>
      <c r="CG65" s="25"/>
    </row>
    <row r="66" spans="1:88" ht="13.5" customHeight="1">
      <c r="A66" s="78"/>
      <c r="B66" s="78"/>
      <c r="C66" s="78"/>
      <c r="D66" s="44"/>
      <c r="E66" s="14"/>
      <c r="F66" s="14"/>
      <c r="G66" s="14"/>
      <c r="H66" s="44"/>
      <c r="I66" s="14"/>
      <c r="J66" s="44"/>
      <c r="K66" s="45"/>
      <c r="L66" s="11"/>
      <c r="M66" s="10"/>
      <c r="N66" s="2"/>
      <c r="O66" s="2"/>
      <c r="P66" s="2"/>
      <c r="Q66" s="2"/>
      <c r="R66" s="2"/>
      <c r="S66" s="2"/>
      <c r="T66" s="2"/>
      <c r="U66" s="56"/>
      <c r="V66" s="56"/>
      <c r="W66" s="110"/>
      <c r="X66" s="118"/>
      <c r="Y66" s="110"/>
      <c r="Z66" s="143"/>
      <c r="AA66" s="154"/>
      <c r="AB66" s="143"/>
      <c r="AC66" s="154"/>
      <c r="AD66" s="143"/>
      <c r="AE66" s="154"/>
      <c r="AF66" s="143"/>
      <c r="AG66" s="154"/>
      <c r="AH66" s="143"/>
      <c r="AI66" s="154"/>
      <c r="AJ66" s="143"/>
      <c r="AK66" s="144"/>
      <c r="AP66" s="25"/>
      <c r="AQ66" s="25"/>
      <c r="AR66" s="25"/>
      <c r="AS66" s="25"/>
      <c r="AT66" s="25"/>
      <c r="AU66" s="25"/>
      <c r="AW66" s="25"/>
      <c r="AX66" s="25"/>
      <c r="AY66" s="25"/>
      <c r="AZ66" s="25"/>
      <c r="BA66" s="25"/>
      <c r="BB66" s="25"/>
      <c r="BF66" s="25"/>
      <c r="BG66" s="25"/>
      <c r="BH66" s="25"/>
      <c r="BI66" s="25"/>
      <c r="BJ66" s="25"/>
      <c r="BK66" s="25"/>
      <c r="BM66" s="25"/>
      <c r="BN66" s="25"/>
      <c r="BO66" s="25"/>
      <c r="BP66" s="25"/>
      <c r="BQ66" s="25"/>
      <c r="BR66" s="25"/>
      <c r="BU66" s="25"/>
      <c r="BV66" s="25"/>
      <c r="BW66" s="25"/>
      <c r="BX66" s="25"/>
      <c r="BY66" s="25"/>
      <c r="BZ66" s="25"/>
      <c r="CB66" s="25"/>
      <c r="CC66" s="25"/>
      <c r="CD66" s="25"/>
      <c r="CE66" s="25"/>
      <c r="CF66" s="25"/>
      <c r="CG66" s="25"/>
    </row>
    <row r="67" spans="1:88" ht="15.75" customHeight="1">
      <c r="A67" s="73" t="s">
        <v>48</v>
      </c>
      <c r="B67" s="39"/>
      <c r="C67" s="39"/>
      <c r="D67" s="38"/>
      <c r="E67" s="32"/>
      <c r="F67" s="32"/>
      <c r="G67" s="32"/>
      <c r="H67" s="31"/>
      <c r="I67" s="47"/>
      <c r="J67" s="48"/>
      <c r="K67" s="34" t="s">
        <v>34</v>
      </c>
      <c r="L67" s="2"/>
      <c r="M67" s="31"/>
      <c r="N67" s="2"/>
      <c r="O67" s="2"/>
      <c r="P67" s="2"/>
      <c r="Q67" s="2"/>
      <c r="R67" s="2"/>
      <c r="S67" s="2"/>
      <c r="T67" s="2"/>
      <c r="U67" s="56"/>
      <c r="V67" s="56"/>
      <c r="W67" s="110"/>
      <c r="X67" s="118"/>
      <c r="Y67" s="110"/>
      <c r="Z67" s="145"/>
      <c r="AA67" s="147"/>
      <c r="AB67" s="145"/>
      <c r="AC67" s="147"/>
      <c r="AD67" s="145"/>
      <c r="AE67" s="147"/>
      <c r="AF67" s="145"/>
      <c r="AG67" s="147"/>
      <c r="AH67" s="145"/>
      <c r="AI67" s="147"/>
      <c r="AJ67" s="145"/>
      <c r="AK67" s="146"/>
      <c r="AP67" s="25"/>
      <c r="AQ67" s="25"/>
      <c r="AR67" s="25"/>
      <c r="AS67" s="25"/>
      <c r="AT67" s="25"/>
      <c r="AU67" s="25"/>
      <c r="AW67" s="25"/>
      <c r="AX67" s="25"/>
      <c r="AY67" s="25"/>
      <c r="AZ67" s="25"/>
      <c r="BA67" s="25"/>
      <c r="BB67" s="25"/>
      <c r="BF67" s="25"/>
      <c r="BG67" s="25"/>
      <c r="BH67" s="25"/>
      <c r="BI67" s="25"/>
      <c r="BJ67" s="25"/>
      <c r="BK67" s="25"/>
      <c r="BM67" s="25"/>
      <c r="BN67" s="25"/>
      <c r="BO67" s="25"/>
      <c r="BP67" s="25"/>
      <c r="BQ67" s="25"/>
      <c r="BR67" s="25"/>
      <c r="BU67" s="25"/>
      <c r="BV67" s="25"/>
      <c r="BW67" s="25"/>
      <c r="BX67" s="25"/>
      <c r="BY67" s="25"/>
      <c r="BZ67" s="25"/>
      <c r="CB67" s="25"/>
      <c r="CC67" s="25"/>
      <c r="CD67" s="25"/>
      <c r="CE67" s="25"/>
      <c r="CF67" s="25"/>
      <c r="CG67" s="25"/>
    </row>
    <row r="68" spans="1:88" ht="14" customHeight="1">
      <c r="A68" s="79"/>
      <c r="B68" s="80" t="s">
        <v>7</v>
      </c>
      <c r="C68" s="39"/>
      <c r="D68" s="50"/>
      <c r="E68" s="19" t="s">
        <v>10</v>
      </c>
      <c r="F68" s="2" t="s">
        <v>28</v>
      </c>
      <c r="G68" s="2"/>
      <c r="H68" s="16" t="s">
        <v>12</v>
      </c>
      <c r="I68" s="19" t="s">
        <v>13</v>
      </c>
      <c r="J68" s="16" t="s">
        <v>14</v>
      </c>
      <c r="K68" s="37" t="s">
        <v>7</v>
      </c>
      <c r="L68" s="19" t="s">
        <v>15</v>
      </c>
      <c r="M68" s="16" t="s">
        <v>14</v>
      </c>
      <c r="N68" s="2"/>
      <c r="O68" s="2"/>
      <c r="P68" s="2"/>
      <c r="Q68" s="2"/>
      <c r="R68" s="2"/>
      <c r="S68" s="2"/>
      <c r="T68" s="2"/>
      <c r="U68" s="56"/>
      <c r="V68" s="56"/>
      <c r="W68" s="112"/>
      <c r="X68" s="118"/>
      <c r="Y68" s="110"/>
      <c r="Z68" s="145"/>
      <c r="AA68" s="147"/>
      <c r="AB68" s="145"/>
      <c r="AC68" s="147"/>
      <c r="AD68" s="145"/>
      <c r="AE68" s="147"/>
      <c r="AF68" s="145"/>
      <c r="AG68" s="147"/>
      <c r="AH68" s="145"/>
      <c r="AI68" s="147"/>
      <c r="AJ68" s="145"/>
      <c r="AK68" s="146"/>
      <c r="AP68" s="25"/>
      <c r="AQ68" s="25"/>
      <c r="AR68" s="25"/>
      <c r="AS68" s="25"/>
      <c r="AT68" s="25"/>
      <c r="AU68" s="25"/>
      <c r="AW68" s="25"/>
      <c r="AX68" s="25"/>
      <c r="AY68" s="25"/>
      <c r="AZ68" s="25"/>
      <c r="BA68" s="25"/>
      <c r="BB68" s="25"/>
      <c r="BF68" s="25"/>
      <c r="BG68" s="25"/>
      <c r="BH68" s="25"/>
      <c r="BI68" s="25"/>
      <c r="BJ68" s="25"/>
      <c r="BK68" s="25"/>
      <c r="BM68" s="25"/>
      <c r="BN68" s="25"/>
      <c r="BO68" s="25"/>
      <c r="BP68" s="25"/>
      <c r="BQ68" s="25"/>
      <c r="BR68" s="25"/>
      <c r="BU68" s="25"/>
      <c r="BV68" s="25"/>
      <c r="BW68" s="25"/>
      <c r="BX68" s="25"/>
      <c r="BY68" s="25"/>
      <c r="BZ68" s="25"/>
      <c r="CB68" s="25"/>
      <c r="CC68" s="25"/>
      <c r="CD68" s="25"/>
      <c r="CE68" s="25"/>
      <c r="CF68" s="25"/>
      <c r="CG68" s="25"/>
    </row>
    <row r="69" spans="1:88" ht="14" customHeight="1">
      <c r="A69" s="39" t="s">
        <v>30</v>
      </c>
      <c r="B69" s="80" t="s">
        <v>35</v>
      </c>
      <c r="C69" s="39"/>
      <c r="D69" s="38"/>
      <c r="E69" s="19" t="s">
        <v>18</v>
      </c>
      <c r="F69" s="2" t="s">
        <v>31</v>
      </c>
      <c r="G69" s="2"/>
      <c r="H69" s="16" t="s">
        <v>18</v>
      </c>
      <c r="I69" s="19" t="s">
        <v>35</v>
      </c>
      <c r="J69" s="16" t="s">
        <v>35</v>
      </c>
      <c r="K69" s="37" t="s">
        <v>35</v>
      </c>
      <c r="L69" s="19" t="s">
        <v>19</v>
      </c>
      <c r="M69" s="16" t="s">
        <v>35</v>
      </c>
      <c r="N69" s="2"/>
      <c r="O69" s="2"/>
      <c r="P69" s="2"/>
      <c r="Q69" s="2"/>
      <c r="R69" s="2"/>
      <c r="S69" s="2"/>
      <c r="T69" s="2"/>
      <c r="U69" s="56"/>
      <c r="V69" s="56"/>
      <c r="W69" s="110"/>
      <c r="X69" s="118"/>
      <c r="Y69" s="110"/>
      <c r="Z69" s="145"/>
      <c r="AA69" s="147"/>
      <c r="AB69" s="145"/>
      <c r="AC69" s="147"/>
      <c r="AD69" s="145"/>
      <c r="AE69" s="147"/>
      <c r="AF69" s="145"/>
      <c r="AG69" s="147"/>
      <c r="AH69" s="145"/>
      <c r="AI69" s="147"/>
      <c r="AJ69" s="145"/>
      <c r="AK69" s="146"/>
      <c r="AP69" s="25"/>
      <c r="AQ69" s="25"/>
      <c r="AR69" s="25"/>
      <c r="AS69" s="25"/>
      <c r="AT69" s="25"/>
      <c r="AU69" s="25"/>
      <c r="AW69" s="25"/>
      <c r="AX69" s="25"/>
      <c r="AY69" s="25"/>
      <c r="AZ69" s="25"/>
      <c r="BA69" s="25"/>
      <c r="BB69" s="25"/>
      <c r="BF69" s="25"/>
      <c r="BG69" s="25"/>
      <c r="BH69" s="25"/>
      <c r="BI69" s="25"/>
      <c r="BJ69" s="25"/>
      <c r="BK69" s="25"/>
      <c r="BM69" s="25"/>
      <c r="BN69" s="25"/>
      <c r="BO69" s="25"/>
      <c r="BP69" s="25"/>
      <c r="BQ69" s="25"/>
      <c r="BR69" s="25"/>
      <c r="BU69" s="25"/>
      <c r="BV69" s="25"/>
      <c r="BW69" s="25"/>
      <c r="BX69" s="25"/>
      <c r="BY69" s="25"/>
      <c r="BZ69" s="25"/>
      <c r="CB69" s="25"/>
      <c r="CC69" s="25"/>
      <c r="CD69" s="25"/>
      <c r="CE69" s="25"/>
      <c r="CF69" s="25"/>
      <c r="CG69" s="25"/>
    </row>
    <row r="70" spans="1:88" ht="14" customHeight="1">
      <c r="A70" s="110" t="s">
        <v>131</v>
      </c>
      <c r="B70" s="104">
        <v>17072.018222894865</v>
      </c>
      <c r="C70" s="39"/>
      <c r="D70" s="38"/>
      <c r="E70" s="75">
        <f>Poor!E70</f>
        <v>1</v>
      </c>
      <c r="F70" s="75">
        <f>Poor!F70</f>
        <v>1.4</v>
      </c>
      <c r="G70" s="22"/>
      <c r="H70" s="24">
        <f>(E70*F70)</f>
        <v>1.4</v>
      </c>
      <c r="I70" s="39">
        <f>I124*I$83</f>
        <v>23900.825512052812</v>
      </c>
      <c r="J70" s="51">
        <f t="shared" ref="J70:J77" si="44">J124*I$83</f>
        <v>23900.825512052812</v>
      </c>
      <c r="K70" s="40">
        <f>B70/B$76</f>
        <v>0.1703204967964663</v>
      </c>
      <c r="L70" s="22">
        <f t="shared" ref="L70:L75" si="45">(L124*G$37*F$9/F$7)/B$130</f>
        <v>0.23844869551505277</v>
      </c>
      <c r="M70" s="24">
        <f>J70/B$76</f>
        <v>0.23844869551505282</v>
      </c>
      <c r="N70" s="2"/>
      <c r="O70" s="2"/>
      <c r="P70" s="2"/>
      <c r="Q70" s="2"/>
      <c r="R70" s="2"/>
      <c r="S70" s="2"/>
      <c r="T70" s="2"/>
      <c r="U70" s="56"/>
      <c r="V70" s="56"/>
      <c r="W70" s="110"/>
      <c r="X70" s="118"/>
      <c r="Y70" s="110"/>
      <c r="Z70" s="156">
        <f>Poor!Z70</f>
        <v>0.25</v>
      </c>
      <c r="AA70" s="147">
        <f>$J70*Z70</f>
        <v>5975.206378013203</v>
      </c>
      <c r="AB70" s="156">
        <f>Poor!AB70</f>
        <v>0.25</v>
      </c>
      <c r="AC70" s="147">
        <f>$J70*AB70</f>
        <v>5975.206378013203</v>
      </c>
      <c r="AD70" s="156">
        <f>Poor!AD70</f>
        <v>0.25</v>
      </c>
      <c r="AE70" s="147">
        <f>$J70*AD70</f>
        <v>5975.206378013203</v>
      </c>
      <c r="AF70" s="156">
        <f>Poor!AF70</f>
        <v>0.25</v>
      </c>
      <c r="AG70" s="147">
        <f>$J70*AF70</f>
        <v>5975.206378013203</v>
      </c>
      <c r="AH70" s="155">
        <f>SUM(Z70,AB70,AD70,AF70)</f>
        <v>1</v>
      </c>
      <c r="AI70" s="147">
        <f>SUM(AA70,AC70,AE70,AG70)</f>
        <v>23900.825512052812</v>
      </c>
      <c r="AJ70" s="148">
        <f>(AA70+AC70)</f>
        <v>11950.412756026406</v>
      </c>
      <c r="AK70" s="147">
        <f>(AE70+AG70)</f>
        <v>11950.412756026406</v>
      </c>
      <c r="AP70" s="25"/>
      <c r="AQ70" s="25"/>
      <c r="AR70" s="25"/>
      <c r="AS70" s="25"/>
      <c r="AT70" s="25"/>
      <c r="AU70" s="25"/>
      <c r="AW70" s="25"/>
      <c r="AX70" s="25"/>
      <c r="AY70" s="25"/>
      <c r="AZ70" s="25"/>
      <c r="BA70" s="25"/>
      <c r="BB70" s="25"/>
      <c r="BF70" s="25"/>
      <c r="BG70" s="25"/>
      <c r="BH70" s="25"/>
      <c r="BI70" s="25"/>
      <c r="BJ70" s="25"/>
      <c r="BK70" s="25"/>
      <c r="BM70" s="25"/>
      <c r="BN70" s="25"/>
      <c r="BO70" s="25"/>
      <c r="BP70" s="25"/>
      <c r="BQ70" s="25"/>
      <c r="BR70" s="25"/>
      <c r="BU70" s="25"/>
      <c r="BV70" s="25"/>
      <c r="BW70" s="25"/>
      <c r="BX70" s="25"/>
      <c r="BY70" s="25"/>
      <c r="BZ70" s="25"/>
      <c r="CB70" s="25"/>
      <c r="CC70" s="25"/>
      <c r="CD70" s="25"/>
      <c r="CE70" s="25"/>
      <c r="CF70" s="25"/>
      <c r="CG70" s="25"/>
    </row>
    <row r="71" spans="1:88" ht="14" customHeight="1">
      <c r="A71" s="110" t="s">
        <v>132</v>
      </c>
      <c r="B71" s="104">
        <v>14413.777777777781</v>
      </c>
      <c r="C71" s="39"/>
      <c r="D71" s="38"/>
      <c r="E71" s="75">
        <f>Poor!E71</f>
        <v>1</v>
      </c>
      <c r="F71" s="75">
        <f>Poor!F71</f>
        <v>1.18</v>
      </c>
      <c r="G71" s="22"/>
      <c r="H71" s="24">
        <f t="shared" ref="H71:H72" si="46">(E71*F71)</f>
        <v>1.18</v>
      </c>
      <c r="I71" s="39">
        <f>I125*I$83</f>
        <v>17008.257777777784</v>
      </c>
      <c r="J71" s="51">
        <f t="shared" si="44"/>
        <v>17008.257777777784</v>
      </c>
      <c r="K71" s="40">
        <f t="shared" ref="K71:K72" si="47">B71/B$76</f>
        <v>0.14380032634528755</v>
      </c>
      <c r="L71" s="22">
        <f t="shared" si="45"/>
        <v>0.1696843850874393</v>
      </c>
      <c r="M71" s="24">
        <f t="shared" ref="M71:M72" si="48">J71/B$76</f>
        <v>0.16968438508743933</v>
      </c>
      <c r="N71" s="2"/>
      <c r="O71" s="2"/>
      <c r="P71" s="2"/>
      <c r="Q71" s="2"/>
      <c r="R71" s="2"/>
      <c r="S71" s="2"/>
      <c r="T71" s="2"/>
      <c r="U71" s="56"/>
      <c r="V71" s="56"/>
      <c r="W71" s="110"/>
      <c r="X71" s="118"/>
      <c r="Y71" s="110"/>
      <c r="Z71" s="156"/>
      <c r="AA71" s="147"/>
      <c r="AB71" s="156"/>
      <c r="AC71" s="147"/>
      <c r="AD71" s="156"/>
      <c r="AE71" s="147"/>
      <c r="AF71" s="156"/>
      <c r="AG71" s="147"/>
      <c r="AH71" s="155"/>
      <c r="AI71" s="147"/>
      <c r="AJ71" s="148"/>
      <c r="AK71" s="147"/>
      <c r="AP71" s="25"/>
      <c r="AQ71" s="25"/>
      <c r="AR71" s="25"/>
      <c r="AS71" s="25"/>
      <c r="AT71" s="25"/>
      <c r="AU71" s="25"/>
      <c r="AW71" s="25"/>
      <c r="AX71" s="25"/>
      <c r="AY71" s="25"/>
      <c r="AZ71" s="25"/>
      <c r="BA71" s="25"/>
      <c r="BB71" s="25"/>
      <c r="BF71" s="25"/>
      <c r="BG71" s="25"/>
      <c r="BH71" s="25"/>
      <c r="BI71" s="25"/>
      <c r="BJ71" s="25"/>
      <c r="BK71" s="25"/>
      <c r="BM71" s="25"/>
      <c r="BN71" s="25"/>
      <c r="BO71" s="25"/>
      <c r="BP71" s="25"/>
      <c r="BQ71" s="25"/>
      <c r="BR71" s="25"/>
      <c r="BU71" s="25"/>
      <c r="BV71" s="25"/>
      <c r="BW71" s="25"/>
      <c r="BX71" s="25"/>
      <c r="BY71" s="25"/>
      <c r="BZ71" s="25"/>
      <c r="CB71" s="25"/>
      <c r="CC71" s="25"/>
      <c r="CD71" s="25"/>
      <c r="CE71" s="25"/>
      <c r="CF71" s="25"/>
      <c r="CG71" s="25"/>
    </row>
    <row r="72" spans="1:88" ht="14" customHeight="1">
      <c r="A72" s="110" t="s">
        <v>133</v>
      </c>
      <c r="B72" s="104">
        <v>25432</v>
      </c>
      <c r="C72" s="39"/>
      <c r="D72" s="38"/>
      <c r="E72" s="75">
        <f>Poor!E72</f>
        <v>1</v>
      </c>
      <c r="F72" s="75">
        <f>Poor!F72</f>
        <v>1.18</v>
      </c>
      <c r="G72" s="22"/>
      <c r="H72" s="24">
        <f t="shared" si="46"/>
        <v>1.18</v>
      </c>
      <c r="I72" s="39">
        <f>I126*I$83</f>
        <v>0</v>
      </c>
      <c r="J72" s="51">
        <f t="shared" si="44"/>
        <v>30009.760000000002</v>
      </c>
      <c r="K72" s="40">
        <f t="shared" si="47"/>
        <v>0.2537245929551985</v>
      </c>
      <c r="L72" s="22">
        <f t="shared" si="45"/>
        <v>0.29939501968713417</v>
      </c>
      <c r="M72" s="24">
        <f t="shared" si="48"/>
        <v>0.29939501968713422</v>
      </c>
      <c r="N72" s="2"/>
      <c r="O72" s="2"/>
      <c r="P72" s="2"/>
      <c r="Q72" s="2"/>
      <c r="R72" s="2"/>
      <c r="S72" s="2"/>
      <c r="T72" s="2"/>
      <c r="U72" s="56"/>
      <c r="V72" s="56"/>
      <c r="W72" s="110"/>
      <c r="X72" s="118"/>
      <c r="Y72" s="110"/>
      <c r="Z72" s="156"/>
      <c r="AA72" s="147"/>
      <c r="AB72" s="156"/>
      <c r="AC72" s="147"/>
      <c r="AD72" s="156"/>
      <c r="AE72" s="147"/>
      <c r="AF72" s="156"/>
      <c r="AG72" s="147"/>
      <c r="AH72" s="155"/>
      <c r="AI72" s="147"/>
      <c r="AJ72" s="148"/>
      <c r="AK72" s="147"/>
      <c r="AP72" s="25"/>
      <c r="AQ72" s="25"/>
      <c r="AR72" s="25"/>
      <c r="AS72" s="25"/>
      <c r="AT72" s="25"/>
      <c r="AU72" s="25"/>
      <c r="AW72" s="25"/>
      <c r="AX72" s="25"/>
      <c r="AY72" s="25"/>
      <c r="AZ72" s="25"/>
      <c r="BA72" s="25"/>
      <c r="BB72" s="25"/>
      <c r="BF72" s="25"/>
      <c r="BG72" s="25"/>
      <c r="BH72" s="25"/>
      <c r="BI72" s="25"/>
      <c r="BJ72" s="25"/>
      <c r="BK72" s="25"/>
      <c r="BM72" s="25"/>
      <c r="BN72" s="25"/>
      <c r="BO72" s="25"/>
      <c r="BP72" s="25"/>
      <c r="BQ72" s="25"/>
      <c r="BR72" s="25"/>
      <c r="BU72" s="25"/>
      <c r="BV72" s="25"/>
      <c r="BW72" s="25"/>
      <c r="BX72" s="25"/>
      <c r="BY72" s="25"/>
      <c r="BZ72" s="25"/>
      <c r="CB72" s="25"/>
      <c r="CC72" s="25"/>
      <c r="CD72" s="25"/>
      <c r="CE72" s="25"/>
      <c r="CF72" s="25"/>
      <c r="CG72" s="25"/>
    </row>
    <row r="73" spans="1:88" ht="13.5" customHeight="1">
      <c r="A73" s="110" t="s">
        <v>134</v>
      </c>
      <c r="B73" s="104">
        <v>25445</v>
      </c>
      <c r="C73" s="39"/>
      <c r="D73" s="38"/>
      <c r="E73" s="75">
        <f>Poor!E73</f>
        <v>1</v>
      </c>
      <c r="F73" s="75">
        <f>Poor!F73</f>
        <v>1.18</v>
      </c>
      <c r="G73" s="22"/>
      <c r="H73" s="24">
        <f>(E73*F73)</f>
        <v>1.18</v>
      </c>
      <c r="I73" s="39">
        <f>I127*I$83</f>
        <v>0</v>
      </c>
      <c r="J73" s="51">
        <f t="shared" si="44"/>
        <v>20416.911009142907</v>
      </c>
      <c r="K73" s="40">
        <f>B73/B$76</f>
        <v>0.25385428860274556</v>
      </c>
      <c r="L73" s="22">
        <f t="shared" si="45"/>
        <v>0.18612953886833211</v>
      </c>
      <c r="M73" s="24">
        <f>J73/B$76</f>
        <v>0.20369111494169923</v>
      </c>
      <c r="O73" s="2"/>
      <c r="P73" s="2"/>
      <c r="Q73" s="2"/>
      <c r="R73" s="2"/>
      <c r="S73" s="2"/>
      <c r="T73" s="2"/>
      <c r="U73" s="56"/>
      <c r="V73" s="56"/>
      <c r="W73" s="110"/>
      <c r="X73" s="118"/>
      <c r="Y73" s="110"/>
      <c r="Z73" s="156">
        <f>Poor!Z73</f>
        <v>0.09</v>
      </c>
      <c r="AA73" s="147">
        <f>$H$73*$B$73*Z73</f>
        <v>2702.2589999999996</v>
      </c>
      <c r="AB73" s="156">
        <f>Poor!AB73</f>
        <v>0.09</v>
      </c>
      <c r="AC73" s="147">
        <f>$H$73*$B$73*AB73</f>
        <v>2702.2589999999996</v>
      </c>
      <c r="AD73" s="156">
        <f>Poor!AD73</f>
        <v>0.23</v>
      </c>
      <c r="AE73" s="147">
        <f>$H$73*$B$73*AD73</f>
        <v>6905.7730000000001</v>
      </c>
      <c r="AF73" s="156">
        <f>Poor!AF73</f>
        <v>0.59</v>
      </c>
      <c r="AG73" s="147">
        <f>$H$73*$B$73*AF73</f>
        <v>17714.808999999997</v>
      </c>
      <c r="AH73" s="155">
        <f>SUM(Z73,AB73,AD73,AF73)</f>
        <v>1</v>
      </c>
      <c r="AI73" s="147">
        <f>SUM(AA73,AC73,AE73,AG73)</f>
        <v>30025.1</v>
      </c>
      <c r="AJ73" s="148">
        <f>(AA73+AC73)</f>
        <v>5404.5179999999991</v>
      </c>
      <c r="AK73" s="147">
        <f>(AE73+AG73)</f>
        <v>24620.581999999999</v>
      </c>
      <c r="AP73" s="25"/>
      <c r="AQ73" s="25"/>
      <c r="AR73" s="25"/>
      <c r="AS73" s="25"/>
      <c r="AT73" s="25"/>
      <c r="AU73" s="25"/>
      <c r="AW73" s="25"/>
      <c r="AX73" s="25"/>
      <c r="AY73" s="25"/>
      <c r="AZ73" s="25"/>
      <c r="BA73" s="25"/>
      <c r="BB73" s="25"/>
      <c r="BF73" s="25"/>
      <c r="BG73" s="25"/>
      <c r="BH73" s="25"/>
      <c r="BI73" s="25"/>
      <c r="BJ73" s="25"/>
      <c r="BK73" s="25"/>
      <c r="BM73" s="25"/>
      <c r="BN73" s="25"/>
      <c r="BO73" s="25"/>
      <c r="BP73" s="25"/>
      <c r="BQ73" s="25"/>
      <c r="BR73" s="25"/>
      <c r="BU73" s="25"/>
      <c r="BV73" s="25"/>
      <c r="BW73" s="25"/>
      <c r="BX73" s="25"/>
      <c r="BY73" s="25"/>
      <c r="BZ73" s="25"/>
      <c r="CB73" s="25"/>
      <c r="CC73" s="25"/>
      <c r="CD73" s="25"/>
      <c r="CE73" s="25"/>
      <c r="CF73" s="25"/>
      <c r="CG73" s="25"/>
    </row>
    <row r="74" spans="1:88" ht="14" customHeight="1">
      <c r="A74" s="1" t="s">
        <v>135</v>
      </c>
      <c r="B74" s="81">
        <f>B128*B83</f>
        <v>5571.6032163096679</v>
      </c>
      <c r="C74" s="39"/>
      <c r="D74" s="38"/>
      <c r="E74" s="32"/>
      <c r="F74" s="32"/>
      <c r="G74" s="32"/>
      <c r="H74" s="31"/>
      <c r="I74" s="39">
        <f>I128*I$83</f>
        <v>66122.601154613876</v>
      </c>
      <c r="J74" s="51">
        <f t="shared" si="44"/>
        <v>2083.4759275684414</v>
      </c>
      <c r="K74" s="40">
        <f>B74/B$76</f>
        <v>5.5585591308825309E-2</v>
      </c>
      <c r="L74" s="22">
        <f t="shared" si="45"/>
        <v>4.7048783104465933E-2</v>
      </c>
      <c r="M74" s="24">
        <f>J74/B$76</f>
        <v>2.0785981505750922E-2</v>
      </c>
      <c r="O74" s="2"/>
      <c r="P74" s="2"/>
      <c r="Q74" s="2"/>
      <c r="R74" s="2"/>
      <c r="S74" s="2"/>
      <c r="T74" s="2"/>
      <c r="U74" s="56"/>
      <c r="V74" s="56"/>
      <c r="W74" s="110"/>
      <c r="X74" s="118"/>
      <c r="Y74" s="110"/>
      <c r="Z74" s="156"/>
      <c r="AA74" s="147">
        <f>AA30*$I$84/4</f>
        <v>0</v>
      </c>
      <c r="AB74" s="156"/>
      <c r="AC74" s="147">
        <f>AC30*$I$84/4</f>
        <v>9.8297988434767997E-13</v>
      </c>
      <c r="AD74" s="156"/>
      <c r="AE74" s="147">
        <f>AE30*$I$84/4</f>
        <v>1451.5285754419597</v>
      </c>
      <c r="AF74" s="156"/>
      <c r="AG74" s="147">
        <f>AG30*$I$84/4</f>
        <v>4626.3288029481364</v>
      </c>
      <c r="AH74" s="155"/>
      <c r="AI74" s="147">
        <f>SUM(AA74,AC74,AE74,AG74)</f>
        <v>6077.8573783900974</v>
      </c>
      <c r="AJ74" s="148">
        <f>(AA74+AC74)</f>
        <v>9.8297988434767997E-13</v>
      </c>
      <c r="AK74" s="147">
        <f>(AE74+AG74)</f>
        <v>6077.8573783900956</v>
      </c>
      <c r="AP74" s="25"/>
      <c r="AQ74" s="25"/>
      <c r="AR74" s="25"/>
      <c r="AS74" s="25"/>
      <c r="AT74" s="25"/>
      <c r="AU74" s="25"/>
      <c r="AW74" s="25"/>
      <c r="AX74" s="25"/>
      <c r="AY74" s="25"/>
      <c r="AZ74" s="25"/>
      <c r="BA74" s="25"/>
      <c r="BB74" s="25"/>
      <c r="BF74" s="25"/>
      <c r="BG74" s="25"/>
      <c r="BH74" s="25"/>
      <c r="BI74" s="25"/>
      <c r="BJ74" s="25"/>
      <c r="BK74" s="25"/>
      <c r="BM74" s="25"/>
      <c r="BN74" s="25"/>
      <c r="BO74" s="25"/>
      <c r="BP74" s="25"/>
      <c r="BQ74" s="25"/>
      <c r="BR74" s="25"/>
      <c r="BU74" s="25"/>
      <c r="BV74" s="25"/>
      <c r="BW74" s="25"/>
      <c r="BX74" s="25"/>
      <c r="BY74" s="25"/>
      <c r="BZ74" s="25"/>
      <c r="CB74" s="25"/>
      <c r="CC74" s="25"/>
      <c r="CD74" s="25"/>
      <c r="CE74" s="25"/>
      <c r="CF74" s="25"/>
      <c r="CG74" s="25"/>
    </row>
    <row r="75" spans="1:88" ht="14" customHeight="1">
      <c r="A75" s="1" t="s">
        <v>55</v>
      </c>
      <c r="B75" s="81">
        <f>B129*B83</f>
        <v>12300.267449684356</v>
      </c>
      <c r="C75" s="39"/>
      <c r="D75" s="38"/>
      <c r="E75" s="32"/>
      <c r="F75" s="32"/>
      <c r="G75" s="32"/>
      <c r="H75" s="31"/>
      <c r="I75" s="47"/>
      <c r="J75" s="51">
        <f t="shared" si="44"/>
        <v>0</v>
      </c>
      <c r="K75" s="40">
        <f>B75/B$76</f>
        <v>0.12271470399147691</v>
      </c>
      <c r="L75" s="22">
        <f t="shared" si="45"/>
        <v>0</v>
      </c>
      <c r="M75" s="24">
        <f>J75/B$76</f>
        <v>0</v>
      </c>
      <c r="O75" s="2"/>
      <c r="P75" s="2"/>
      <c r="Q75" s="2"/>
      <c r="R75" s="2"/>
      <c r="S75" s="2"/>
      <c r="T75" s="2"/>
      <c r="U75" s="56"/>
      <c r="V75" s="56"/>
      <c r="W75" s="110"/>
      <c r="X75" s="157"/>
      <c r="Y75" s="161" t="s">
        <v>104</v>
      </c>
      <c r="Z75" s="158"/>
      <c r="AA75" s="149">
        <f>AA79-AA74</f>
        <v>27606.371752661449</v>
      </c>
      <c r="AB75" s="158"/>
      <c r="AC75" s="149">
        <f>AA75+AC65-SUM(AC70,AC74)</f>
        <v>41001.200803982123</v>
      </c>
      <c r="AD75" s="158"/>
      <c r="AE75" s="149">
        <f>AC75+AE65-SUM(AE70,AE74)</f>
        <v>52438.920988423066</v>
      </c>
      <c r="AF75" s="158"/>
      <c r="AG75" s="149">
        <f>IF(SUM(AG6:AG29)+((AG65-AG70-$J$75)*4/I$83)&lt;1,0,AG65-AG70-$J$75-(1-SUM(AG6:AG29))*I$83/4)</f>
        <v>14618.74367478627</v>
      </c>
      <c r="AH75" s="134"/>
      <c r="AI75" s="149">
        <f>AI76-SUM(AI70,AI74)</f>
        <v>49752.547336099015</v>
      </c>
      <c r="AJ75" s="151">
        <f>AJ76-SUM(AJ70,AJ74)</f>
        <v>26382.457129195842</v>
      </c>
      <c r="AK75" s="149">
        <f>AJ75+AK76-SUM(AK70,AK74)</f>
        <v>49752.547336099022</v>
      </c>
      <c r="AP75" s="25"/>
      <c r="AQ75" s="25"/>
      <c r="AR75" s="25"/>
      <c r="AS75" s="25"/>
      <c r="AT75" s="25"/>
      <c r="AU75" s="25"/>
      <c r="AW75" s="25"/>
      <c r="AX75" s="25"/>
      <c r="AY75" s="25"/>
      <c r="AZ75" s="25"/>
      <c r="BA75" s="25"/>
      <c r="BB75" s="25"/>
      <c r="BF75" s="25"/>
      <c r="BG75" s="25"/>
      <c r="BH75" s="25"/>
      <c r="BI75" s="25"/>
      <c r="BJ75" s="25"/>
      <c r="BK75" s="25"/>
      <c r="BM75" s="25"/>
      <c r="BN75" s="25"/>
      <c r="BO75" s="25"/>
      <c r="BP75" s="25"/>
      <c r="BQ75" s="25"/>
      <c r="BR75" s="25"/>
      <c r="BU75" s="25"/>
      <c r="BV75" s="25"/>
      <c r="BW75" s="25"/>
      <c r="BX75" s="25"/>
      <c r="BY75" s="25"/>
      <c r="BZ75" s="25"/>
      <c r="CB75" s="25"/>
      <c r="CC75" s="25"/>
      <c r="CD75" s="25"/>
      <c r="CE75" s="25"/>
      <c r="CF75" s="25"/>
      <c r="CG75" s="25"/>
    </row>
    <row r="76" spans="1:88" ht="14" customHeight="1" thickBot="1">
      <c r="A76" s="1" t="s">
        <v>32</v>
      </c>
      <c r="B76" s="81">
        <f>B65</f>
        <v>100234.66666666666</v>
      </c>
      <c r="C76" s="39"/>
      <c r="D76" s="38"/>
      <c r="E76" s="32"/>
      <c r="F76" s="32"/>
      <c r="G76" s="32"/>
      <c r="H76" s="31"/>
      <c r="I76" s="39">
        <f>I130*I$83</f>
        <v>90023.426666666681</v>
      </c>
      <c r="J76" s="51">
        <f t="shared" si="44"/>
        <v>93419.230226541942</v>
      </c>
      <c r="K76" s="40">
        <f>SUM(K70:K75)</f>
        <v>1.0000000000000002</v>
      </c>
      <c r="L76" s="22">
        <f>SUM(L70:L75)</f>
        <v>0.9407064222624244</v>
      </c>
      <c r="M76" s="24">
        <f>SUM(M70:M75)</f>
        <v>0.93200519673707649</v>
      </c>
      <c r="O76" s="2"/>
      <c r="P76" s="2"/>
      <c r="Q76" s="2"/>
      <c r="R76" s="2"/>
      <c r="S76" s="2"/>
      <c r="T76" s="2"/>
      <c r="U76" s="56"/>
      <c r="V76" s="56"/>
      <c r="W76" s="110"/>
      <c r="X76" s="189"/>
      <c r="Y76" s="189"/>
      <c r="Z76" s="137"/>
      <c r="AA76" s="154">
        <f>AA65</f>
        <v>18962.83445588838</v>
      </c>
      <c r="AB76" s="137"/>
      <c r="AC76" s="153">
        <f>AC65</f>
        <v>19370.035429333871</v>
      </c>
      <c r="AD76" s="137"/>
      <c r="AE76" s="153">
        <f>AE65</f>
        <v>18864.455137896108</v>
      </c>
      <c r="AF76" s="137"/>
      <c r="AG76" s="153">
        <f>AG65</f>
        <v>22533.905203423568</v>
      </c>
      <c r="AH76" s="137"/>
      <c r="AI76" s="153">
        <f>SUM(AA76,AC76,AE76,AG76)</f>
        <v>79731.230226541928</v>
      </c>
      <c r="AJ76" s="154">
        <f>SUM(AA76,AC76)</f>
        <v>38332.869885222251</v>
      </c>
      <c r="AK76" s="154">
        <f>SUM(AE76,AG76)</f>
        <v>41398.360341319676</v>
      </c>
      <c r="AP76" s="25"/>
      <c r="AQ76" s="25"/>
      <c r="AR76" s="25"/>
      <c r="AS76" s="25"/>
      <c r="AT76" s="25"/>
      <c r="AU76" s="25"/>
      <c r="AW76" s="25"/>
      <c r="AX76" s="25"/>
      <c r="AY76" s="25"/>
      <c r="AZ76" s="25"/>
      <c r="BA76" s="25"/>
      <c r="BB76" s="25"/>
      <c r="BF76" s="25"/>
      <c r="BG76" s="25"/>
      <c r="BH76" s="25"/>
      <c r="BI76" s="25"/>
      <c r="BJ76" s="25"/>
      <c r="BK76" s="25"/>
      <c r="BM76" s="25"/>
      <c r="BN76" s="25"/>
      <c r="BO76" s="25"/>
      <c r="BP76" s="25"/>
      <c r="BQ76" s="25"/>
      <c r="BR76" s="25"/>
      <c r="BU76" s="25"/>
      <c r="BV76" s="25"/>
      <c r="BW76" s="25"/>
      <c r="BX76" s="25"/>
      <c r="BY76" s="25"/>
      <c r="BZ76" s="25"/>
      <c r="CB76" s="25"/>
      <c r="CC76" s="25"/>
      <c r="CD76" s="25"/>
      <c r="CE76" s="25"/>
      <c r="CF76" s="25"/>
      <c r="CG76" s="25"/>
    </row>
    <row r="77" spans="1:88" ht="14" customHeight="1" thickBot="1">
      <c r="A77" s="99" t="s">
        <v>36</v>
      </c>
      <c r="B77" s="81"/>
      <c r="C77" s="39"/>
      <c r="D77" s="38"/>
      <c r="E77" s="32"/>
      <c r="F77" s="32"/>
      <c r="G77" s="32"/>
      <c r="H77" s="31"/>
      <c r="I77" s="39">
        <f>I131*I$83</f>
        <v>17008.257777777784</v>
      </c>
      <c r="J77" s="100">
        <f t="shared" si="44"/>
        <v>0</v>
      </c>
      <c r="K77" s="40"/>
      <c r="L77" s="22">
        <f>-(L131*G$37*F$9/F$7)/B$130</f>
        <v>0</v>
      </c>
      <c r="M77" s="24">
        <f>-J77/B$76</f>
        <v>0</v>
      </c>
      <c r="O77" s="2"/>
      <c r="P77" s="2"/>
      <c r="Q77" s="2"/>
      <c r="R77" s="2"/>
      <c r="S77" s="2"/>
      <c r="T77" s="2"/>
      <c r="U77" s="56"/>
      <c r="V77" s="56"/>
      <c r="W77" s="110"/>
      <c r="X77" s="110"/>
      <c r="Y77" s="161" t="s">
        <v>102</v>
      </c>
      <c r="Z77" s="159"/>
      <c r="AA77" s="111">
        <f>AA31*$I$84/4</f>
        <v>0</v>
      </c>
      <c r="AB77" s="112"/>
      <c r="AC77" s="111">
        <f>AC31*$I$84/4</f>
        <v>0</v>
      </c>
      <c r="AD77" s="112"/>
      <c r="AE77" s="111">
        <f>AE31*$I$84/4</f>
        <v>0</v>
      </c>
      <c r="AF77" s="112"/>
      <c r="AG77" s="111">
        <f>AG31*$I$84/4</f>
        <v>0</v>
      </c>
      <c r="AH77" s="110"/>
      <c r="AI77" s="154">
        <f>SUM(AA77,AC77,AE77,AG77)</f>
        <v>0</v>
      </c>
      <c r="AJ77" s="153">
        <f>SUM(AA77,AC77)</f>
        <v>0</v>
      </c>
      <c r="AK77" s="160">
        <f>SUM(AE77,AG77)</f>
        <v>0</v>
      </c>
      <c r="AP77" s="25"/>
      <c r="AQ77" s="25"/>
      <c r="AR77" s="25"/>
      <c r="AS77" s="25"/>
      <c r="AT77" s="25"/>
      <c r="AU77" s="25"/>
      <c r="AW77" s="25"/>
      <c r="AX77" s="25"/>
      <c r="AY77" s="25"/>
      <c r="AZ77" s="25"/>
      <c r="BA77" s="25"/>
      <c r="BB77" s="25"/>
      <c r="BF77" s="25"/>
      <c r="BG77" s="25"/>
      <c r="BH77" s="25"/>
      <c r="BI77" s="25"/>
      <c r="BJ77" s="25"/>
      <c r="BK77" s="25"/>
      <c r="BM77" s="25"/>
      <c r="BN77" s="25"/>
      <c r="BO77" s="25"/>
      <c r="BP77" s="25"/>
      <c r="BQ77" s="25"/>
      <c r="BR77" s="25"/>
      <c r="BU77" s="25"/>
      <c r="BV77" s="25"/>
      <c r="BW77" s="25"/>
      <c r="BX77" s="25"/>
      <c r="BY77" s="25"/>
      <c r="BZ77" s="25"/>
      <c r="CB77" s="25"/>
      <c r="CC77" s="25"/>
      <c r="CD77" s="25"/>
      <c r="CE77" s="25"/>
      <c r="CF77" s="25"/>
      <c r="CG77" s="25"/>
    </row>
    <row r="78" spans="1:88" ht="14" customHeight="1">
      <c r="A78" s="82" t="s">
        <v>37</v>
      </c>
      <c r="B78" s="39"/>
      <c r="C78" s="39"/>
      <c r="D78" s="38"/>
      <c r="E78" s="32"/>
      <c r="F78" s="32"/>
      <c r="G78" s="32"/>
      <c r="H78" s="31"/>
      <c r="I78" s="47"/>
      <c r="J78" s="48"/>
      <c r="K78" s="32"/>
      <c r="L78" s="32"/>
      <c r="M78" s="48"/>
      <c r="N78" s="2"/>
      <c r="O78" s="2"/>
      <c r="P78" s="2"/>
      <c r="Q78" s="2"/>
      <c r="R78" s="2"/>
      <c r="S78" s="2"/>
      <c r="T78" s="2"/>
      <c r="U78" s="56"/>
      <c r="V78" s="56"/>
      <c r="W78" s="110"/>
      <c r="X78" s="110"/>
      <c r="Y78" s="161" t="s">
        <v>103</v>
      </c>
      <c r="Z78" s="110"/>
      <c r="AA78" s="112">
        <f>IF(SUM(AG6:AG29)+((AG65-AG70-$J$75)*4/I$83)&lt;1,0,AG65-AG70-$J$75-(1-SUM(AG6:AG29))*I$83/4)</f>
        <v>14618.74367478627</v>
      </c>
      <c r="AB78" s="112"/>
      <c r="AC78" s="112">
        <f>IF(AA75&lt;0,0,AA75)</f>
        <v>27606.371752661449</v>
      </c>
      <c r="AD78" s="112"/>
      <c r="AE78" s="112">
        <f>AC75</f>
        <v>41001.200803982123</v>
      </c>
      <c r="AF78" s="112"/>
      <c r="AG78" s="112">
        <f>AE75</f>
        <v>52438.920988423066</v>
      </c>
      <c r="AH78" s="110"/>
      <c r="AI78" s="146"/>
      <c r="AJ78" s="110"/>
      <c r="AK78" s="146"/>
      <c r="AP78" s="25"/>
      <c r="AQ78" s="25"/>
      <c r="AR78" s="25"/>
      <c r="AS78" s="25"/>
      <c r="AT78" s="25"/>
      <c r="AU78" s="25"/>
      <c r="AW78" s="25"/>
      <c r="AX78" s="25"/>
      <c r="AY78" s="25"/>
      <c r="AZ78" s="25"/>
      <c r="BA78" s="25"/>
      <c r="BB78" s="25"/>
      <c r="BF78" s="25"/>
      <c r="BG78" s="25"/>
      <c r="BH78" s="25"/>
      <c r="BI78" s="25"/>
      <c r="BJ78" s="25"/>
      <c r="BK78" s="25"/>
      <c r="BM78" s="25"/>
      <c r="BN78" s="25"/>
      <c r="BO78" s="25"/>
      <c r="BP78" s="25"/>
      <c r="BQ78" s="25"/>
      <c r="BR78" s="25"/>
      <c r="BU78" s="25"/>
      <c r="BV78" s="25"/>
      <c r="BW78" s="25"/>
      <c r="BX78" s="25"/>
      <c r="BY78" s="25"/>
      <c r="BZ78" s="25"/>
      <c r="CB78" s="25"/>
      <c r="CC78" s="25"/>
      <c r="CD78" s="25"/>
      <c r="CE78" s="25"/>
      <c r="CF78" s="25"/>
      <c r="CG78" s="25"/>
    </row>
    <row r="79" spans="1:88" ht="14" customHeight="1">
      <c r="A79" s="39" t="s">
        <v>38</v>
      </c>
      <c r="B79" s="230" t="s">
        <v>189</v>
      </c>
      <c r="C79" s="39"/>
      <c r="D79" s="38"/>
      <c r="E79" s="32"/>
      <c r="F79" s="32"/>
      <c r="G79" s="32"/>
      <c r="H79" s="31"/>
      <c r="I79" s="47"/>
      <c r="J79" s="48"/>
      <c r="K79" s="32"/>
      <c r="L79" s="32"/>
      <c r="M79" s="48"/>
      <c r="N79" s="32"/>
      <c r="O79" s="2"/>
      <c r="P79" s="2"/>
      <c r="Q79" s="2"/>
      <c r="R79" s="2"/>
      <c r="S79" s="2"/>
      <c r="T79" s="2"/>
      <c r="U79" s="56"/>
      <c r="V79" s="56"/>
      <c r="W79" s="110"/>
      <c r="X79" s="110"/>
      <c r="Y79" s="161" t="s">
        <v>63</v>
      </c>
      <c r="Z79" s="110"/>
      <c r="AA79" s="112">
        <f>AA65-AA70+IF(SUM(AG6:AG29)+((AG65-AG70-$J$75)*4/I$83)&lt;1,0,AG65-AG70-$J$75-(1-SUM(AG6:AG29))*I$83/4)</f>
        <v>27606.371752661449</v>
      </c>
      <c r="AB79" s="112"/>
      <c r="AC79" s="112">
        <f>AA79-AA74+AC65-AC70</f>
        <v>41001.200803982123</v>
      </c>
      <c r="AD79" s="112"/>
      <c r="AE79" s="112">
        <f>AC79-AC74+AE65-AE70</f>
        <v>53890.449563865026</v>
      </c>
      <c r="AF79" s="112"/>
      <c r="AG79" s="112">
        <f>AE79-AE74+AG65-AG70</f>
        <v>68997.619813833429</v>
      </c>
      <c r="AH79" s="110"/>
      <c r="AI79" s="146"/>
      <c r="AJ79" s="110"/>
      <c r="AK79" s="146"/>
      <c r="AS79" s="25"/>
      <c r="AT79" s="25"/>
      <c r="AU79" s="25"/>
      <c r="AV79" s="25"/>
      <c r="AW79" s="25"/>
      <c r="AX79" s="25"/>
      <c r="AZ79" s="25"/>
      <c r="BA79" s="25"/>
      <c r="BB79" s="25"/>
      <c r="BC79" s="25"/>
      <c r="BD79" s="25"/>
      <c r="BE79" s="25"/>
      <c r="BI79" s="25"/>
      <c r="BJ79" s="25"/>
      <c r="BK79" s="25"/>
      <c r="BL79" s="25"/>
      <c r="BM79" s="25"/>
      <c r="BN79" s="25"/>
      <c r="BP79" s="25"/>
      <c r="BQ79" s="25"/>
      <c r="BR79" s="25"/>
      <c r="BS79" s="25"/>
      <c r="BT79" s="25"/>
      <c r="BU79" s="25"/>
      <c r="BX79" s="25"/>
      <c r="BY79" s="25"/>
      <c r="BZ79" s="25"/>
      <c r="CA79" s="25"/>
      <c r="CB79" s="25"/>
      <c r="CC79" s="25"/>
      <c r="CE79" s="25"/>
      <c r="CF79" s="25"/>
      <c r="CG79" s="25"/>
      <c r="CH79" s="25"/>
      <c r="CI79" s="25"/>
      <c r="CJ79" s="25"/>
    </row>
    <row r="80" spans="1:88" ht="14" customHeight="1">
      <c r="A80" s="39" t="s">
        <v>39</v>
      </c>
      <c r="B80" s="105">
        <v>0.60121974522379507</v>
      </c>
      <c r="C80" s="39"/>
      <c r="D80" s="38"/>
      <c r="E80" s="32"/>
      <c r="F80" s="32"/>
      <c r="G80" s="32"/>
      <c r="H80" s="31"/>
      <c r="I80" s="47"/>
      <c r="J80" s="48"/>
      <c r="K80" s="32"/>
      <c r="L80" s="32"/>
      <c r="M80" s="48"/>
      <c r="N80" s="32"/>
      <c r="O80" s="2"/>
      <c r="P80" s="2"/>
      <c r="Q80" s="2"/>
      <c r="R80" s="2"/>
      <c r="S80" s="2"/>
      <c r="T80" s="2"/>
      <c r="U80" s="56"/>
      <c r="V80" s="56"/>
      <c r="W80" s="110"/>
      <c r="X80" s="110"/>
      <c r="Y80" s="110"/>
      <c r="Z80" s="110"/>
      <c r="AA80" s="110"/>
      <c r="AB80" s="110"/>
      <c r="AC80" s="110"/>
      <c r="AD80" s="110"/>
      <c r="AE80" s="110"/>
      <c r="AF80" s="110"/>
      <c r="AG80" s="110"/>
      <c r="AH80" s="110"/>
      <c r="AI80" s="146"/>
      <c r="AJ80" s="110"/>
      <c r="AK80" s="146"/>
      <c r="AS80" s="25"/>
      <c r="AT80" s="25"/>
      <c r="AU80" s="25"/>
      <c r="AV80" s="25"/>
      <c r="AW80" s="25"/>
      <c r="AX80" s="25"/>
      <c r="AZ80" s="25"/>
      <c r="BA80" s="25"/>
      <c r="BB80" s="25"/>
      <c r="BC80" s="25"/>
      <c r="BD80" s="25"/>
      <c r="BE80" s="25"/>
      <c r="BI80" s="25"/>
      <c r="BJ80" s="25"/>
      <c r="BK80" s="25"/>
      <c r="BL80" s="25"/>
      <c r="BM80" s="25"/>
      <c r="BN80" s="25"/>
      <c r="BP80" s="25"/>
      <c r="BQ80" s="25"/>
      <c r="BR80" s="25"/>
      <c r="BS80" s="25"/>
      <c r="BT80" s="25"/>
      <c r="BU80" s="25"/>
      <c r="BX80" s="25"/>
      <c r="BY80" s="25"/>
      <c r="BZ80" s="25"/>
      <c r="CA80" s="25"/>
      <c r="CB80" s="25"/>
      <c r="CC80" s="25"/>
      <c r="CE80" s="25"/>
      <c r="CF80" s="25"/>
      <c r="CG80" s="25"/>
      <c r="CH80" s="25"/>
      <c r="CI80" s="25"/>
      <c r="CJ80" s="25"/>
    </row>
    <row r="81" spans="1:88" ht="14" customHeight="1">
      <c r="A81" s="39" t="s">
        <v>40</v>
      </c>
      <c r="B81" s="230">
        <v>7</v>
      </c>
      <c r="C81" s="39"/>
      <c r="D81" s="38"/>
      <c r="E81" s="32"/>
      <c r="F81" s="32"/>
      <c r="G81" s="32"/>
      <c r="H81" s="31"/>
      <c r="I81" s="47"/>
      <c r="J81" s="48"/>
      <c r="K81" s="32"/>
      <c r="L81" s="32"/>
      <c r="M81" s="48"/>
      <c r="N81" s="32"/>
      <c r="O81" s="2"/>
      <c r="P81" s="2"/>
      <c r="Q81" s="2"/>
      <c r="R81" s="2"/>
      <c r="S81" s="2"/>
      <c r="T81" s="2"/>
      <c r="U81" s="56"/>
      <c r="V81" s="56"/>
      <c r="W81" s="110"/>
      <c r="X81" s="110"/>
      <c r="Y81" s="110"/>
      <c r="Z81" s="143" t="s">
        <v>64</v>
      </c>
      <c r="AA81" s="159"/>
      <c r="AB81" s="159"/>
      <c r="AC81" s="159"/>
      <c r="AD81" s="159"/>
      <c r="AE81" s="159"/>
      <c r="AF81" s="159"/>
      <c r="AG81" s="144"/>
      <c r="AH81" s="114" t="s">
        <v>65</v>
      </c>
      <c r="AI81" s="146"/>
      <c r="AJ81" s="110"/>
      <c r="AK81" s="146"/>
      <c r="AS81" s="25"/>
      <c r="AT81" s="25"/>
      <c r="AU81" s="25"/>
      <c r="AV81" s="25"/>
      <c r="AW81" s="25"/>
      <c r="AX81" s="25"/>
      <c r="AZ81" s="25"/>
      <c r="BA81" s="25"/>
      <c r="BB81" s="25"/>
      <c r="BC81" s="25"/>
      <c r="BD81" s="25"/>
      <c r="BE81" s="25"/>
      <c r="BI81" s="25"/>
      <c r="BJ81" s="25"/>
      <c r="BK81" s="25"/>
      <c r="BL81" s="25"/>
      <c r="BM81" s="25"/>
      <c r="BN81" s="25"/>
      <c r="BP81" s="25"/>
      <c r="BQ81" s="25"/>
      <c r="BR81" s="25"/>
      <c r="BS81" s="25"/>
      <c r="BT81" s="25"/>
      <c r="BU81" s="25"/>
      <c r="BX81" s="25"/>
      <c r="BY81" s="25"/>
      <c r="BZ81" s="25"/>
      <c r="CA81" s="25"/>
      <c r="CB81" s="25"/>
      <c r="CC81" s="25"/>
      <c r="CE81" s="25"/>
      <c r="CF81" s="25"/>
      <c r="CG81" s="25"/>
      <c r="CH81" s="25"/>
      <c r="CI81" s="25"/>
      <c r="CJ81" s="25"/>
    </row>
    <row r="82" spans="1:88" ht="14" customHeight="1">
      <c r="A82" s="39" t="s">
        <v>41</v>
      </c>
      <c r="B82" s="105">
        <v>5.8592428953253695</v>
      </c>
      <c r="C82" s="39"/>
      <c r="D82" s="38"/>
      <c r="E82" s="32"/>
      <c r="F82" s="32"/>
      <c r="G82" s="32"/>
      <c r="H82" s="31"/>
      <c r="I82" s="47"/>
      <c r="J82" s="48"/>
      <c r="K82" s="32"/>
      <c r="L82" s="32"/>
      <c r="M82" s="48"/>
      <c r="N82" s="32"/>
      <c r="O82" s="2"/>
      <c r="P82" s="2"/>
      <c r="Q82" s="2"/>
      <c r="R82" s="2"/>
      <c r="S82" s="2"/>
      <c r="T82" s="2"/>
      <c r="U82" s="56"/>
      <c r="V82" s="56"/>
      <c r="X82" s="110"/>
      <c r="Y82" s="161" t="s">
        <v>66</v>
      </c>
      <c r="Z82" s="162">
        <f>IF($AH$82=0,0,AA82/$AH$82)</f>
        <v>1</v>
      </c>
      <c r="AA82" s="193">
        <f>Poor!AA82</f>
        <v>5.6000000000000005</v>
      </c>
      <c r="AB82" s="162">
        <f>IF($AH$82=0,0,AC82/$AH$82)</f>
        <v>1</v>
      </c>
      <c r="AC82" s="193">
        <f>Poor!AC82</f>
        <v>5.6000000000000005</v>
      </c>
      <c r="AD82" s="162">
        <f>IF($AH$82=0,0,AE82/$AH$82)</f>
        <v>1</v>
      </c>
      <c r="AE82" s="193">
        <f>Poor!AE82</f>
        <v>5.6000000000000005</v>
      </c>
      <c r="AF82" s="162">
        <f>IF($AH$82=0,0,AG82/$AH$82)</f>
        <v>1</v>
      </c>
      <c r="AG82" s="193">
        <f>Poor!AG82</f>
        <v>5.6000000000000005</v>
      </c>
      <c r="AH82" s="164">
        <f>IF(PRODUCT(AA82,AC82,AE82,AG82)=0,0,SUM(AA82,AC82,AE82,AG82)/4)</f>
        <v>5.6000000000000005</v>
      </c>
      <c r="AI82" s="146"/>
      <c r="AJ82" s="110"/>
      <c r="AK82" s="146"/>
      <c r="AS82" s="25"/>
      <c r="AT82" s="25"/>
      <c r="AU82" s="25"/>
      <c r="AV82" s="25"/>
      <c r="AW82" s="25"/>
      <c r="AX82" s="25"/>
      <c r="AZ82" s="25"/>
      <c r="BA82" s="25"/>
      <c r="BB82" s="25"/>
      <c r="BC82" s="25"/>
      <c r="BD82" s="25"/>
      <c r="BE82" s="25"/>
      <c r="BI82" s="25"/>
      <c r="BJ82" s="25"/>
      <c r="BK82" s="25"/>
      <c r="BL82" s="25"/>
      <c r="BM82" s="25"/>
      <c r="BN82" s="25"/>
      <c r="BP82" s="25"/>
      <c r="BQ82" s="25"/>
      <c r="BR82" s="25"/>
      <c r="BS82" s="25"/>
      <c r="BT82" s="25"/>
      <c r="BU82" s="25"/>
      <c r="BX82" s="25"/>
      <c r="BY82" s="25"/>
      <c r="BZ82" s="25"/>
      <c r="CA82" s="25"/>
      <c r="CB82" s="25"/>
      <c r="CC82" s="25"/>
      <c r="CE82" s="25"/>
      <c r="CF82" s="25"/>
      <c r="CG82" s="25"/>
      <c r="CH82" s="25"/>
      <c r="CI82" s="25"/>
      <c r="CJ82" s="25"/>
    </row>
    <row r="83" spans="1:88" ht="14" customHeight="1">
      <c r="A83" s="39" t="s">
        <v>42</v>
      </c>
      <c r="B83" s="39">
        <f>365*B80*B81*B82</f>
        <v>9000.4793904698763</v>
      </c>
      <c r="C83" s="39"/>
      <c r="D83" s="38"/>
      <c r="E83" s="32"/>
      <c r="F83" s="32"/>
      <c r="G83" s="32"/>
      <c r="H83" s="24">
        <f>G$37*F$9/F$7</f>
        <v>1.65</v>
      </c>
      <c r="I83" s="39">
        <f xml:space="preserve"> B83*H83</f>
        <v>14850.790994275296</v>
      </c>
      <c r="J83" s="48"/>
      <c r="K83" s="32"/>
      <c r="L83" s="32"/>
      <c r="M83" s="48"/>
      <c r="N83" s="32"/>
      <c r="O83" s="2"/>
      <c r="P83" s="2"/>
      <c r="Q83" s="2"/>
      <c r="R83" s="2"/>
      <c r="S83" s="2"/>
      <c r="T83" s="2"/>
      <c r="U83" s="56"/>
      <c r="V83" s="56"/>
      <c r="X83" s="110"/>
      <c r="Y83" s="161" t="s">
        <v>130</v>
      </c>
      <c r="Z83" s="110"/>
      <c r="AA83" s="165">
        <f>$I$84*Z82/4</f>
        <v>8853.8956817218095</v>
      </c>
      <c r="AB83" s="112"/>
      <c r="AC83" s="165">
        <f>$I$84*AB82/4</f>
        <v>8853.8956817218095</v>
      </c>
      <c r="AD83" s="112"/>
      <c r="AE83" s="165">
        <f>$I$84*AD82/4</f>
        <v>8853.8956817218095</v>
      </c>
      <c r="AF83" s="112"/>
      <c r="AG83" s="165">
        <f>$I$84*AF82/4</f>
        <v>8853.8956817218095</v>
      </c>
      <c r="AH83" s="165">
        <f>SUM(AA83,AC83,AE83,AG83)</f>
        <v>35415.582726887238</v>
      </c>
      <c r="AI83" s="146"/>
      <c r="AJ83" s="110"/>
      <c r="AK83" s="146"/>
      <c r="AS83" s="25"/>
      <c r="AT83" s="25"/>
      <c r="AU83" s="25"/>
      <c r="AV83" s="25"/>
      <c r="AW83" s="25"/>
      <c r="AX83" s="25"/>
      <c r="AZ83" s="25"/>
      <c r="BA83" s="25"/>
      <c r="BB83" s="25"/>
      <c r="BC83" s="25"/>
      <c r="BD83" s="25"/>
      <c r="BE83" s="25"/>
      <c r="BI83" s="25"/>
      <c r="BJ83" s="25"/>
      <c r="BK83" s="25"/>
      <c r="BL83" s="25"/>
      <c r="BM83" s="25"/>
      <c r="BN83" s="25"/>
      <c r="BP83" s="25"/>
      <c r="BQ83" s="25"/>
      <c r="BR83" s="25"/>
      <c r="BS83" s="25"/>
      <c r="BT83" s="25"/>
      <c r="BU83" s="25"/>
      <c r="BX83" s="25"/>
      <c r="BY83" s="25"/>
      <c r="BZ83" s="25"/>
      <c r="CA83" s="25"/>
      <c r="CB83" s="25"/>
      <c r="CC83" s="25"/>
      <c r="CE83" s="25"/>
      <c r="CF83" s="25"/>
      <c r="CG83" s="25"/>
      <c r="CH83" s="25"/>
      <c r="CI83" s="25"/>
      <c r="CJ83" s="25"/>
    </row>
    <row r="84" spans="1:88" ht="14" customHeight="1" thickBot="1">
      <c r="A84" s="46" t="s">
        <v>136</v>
      </c>
      <c r="B84" s="234">
        <f>B70+((1-D29)*B83)</f>
        <v>24050.658959158158</v>
      </c>
      <c r="C84" s="46"/>
      <c r="D84" s="235"/>
      <c r="E84" s="64"/>
      <c r="F84" s="64"/>
      <c r="G84" s="64"/>
      <c r="H84" s="236">
        <f>IF(B84=0,0,I84/B84)</f>
        <v>1.4725410554042835</v>
      </c>
      <c r="I84" s="234">
        <f>(B70*H70)+((1-(D29*H29))*I83)</f>
        <v>35415.582726887238</v>
      </c>
      <c r="J84" s="48"/>
      <c r="K84" s="32"/>
      <c r="L84" s="32"/>
      <c r="M84" s="48"/>
      <c r="N84" s="32"/>
      <c r="O84" s="2"/>
      <c r="P84" s="2"/>
      <c r="Q84" s="2"/>
      <c r="R84" s="2"/>
      <c r="S84" s="2"/>
      <c r="T84" s="2"/>
      <c r="U84" s="56"/>
      <c r="V84" s="56"/>
      <c r="X84" s="110"/>
      <c r="Y84" s="161"/>
      <c r="Z84" s="110"/>
      <c r="AA84" s="110"/>
      <c r="AB84" s="110"/>
      <c r="AC84" s="110"/>
      <c r="AD84" s="110"/>
      <c r="AE84" s="110"/>
      <c r="AF84" s="110"/>
      <c r="AG84" s="110"/>
      <c r="AH84" s="110"/>
      <c r="AI84" s="146"/>
      <c r="AJ84" s="110"/>
      <c r="AK84" s="146"/>
      <c r="AS84" s="25"/>
      <c r="AT84" s="25"/>
      <c r="AU84" s="25"/>
      <c r="AV84" s="25"/>
      <c r="AW84" s="25"/>
      <c r="AX84" s="25"/>
      <c r="AZ84" s="25"/>
      <c r="BA84" s="25"/>
      <c r="BB84" s="25"/>
      <c r="BC84" s="25"/>
      <c r="BD84" s="25"/>
      <c r="BE84" s="25"/>
      <c r="BI84" s="25"/>
      <c r="BJ84" s="25"/>
      <c r="BK84" s="25"/>
      <c r="BL84" s="25"/>
      <c r="BM84" s="25"/>
      <c r="BN84" s="25"/>
      <c r="BP84" s="25"/>
      <c r="BQ84" s="25"/>
      <c r="BR84" s="25"/>
      <c r="BS84" s="25"/>
      <c r="BT84" s="25"/>
      <c r="BU84" s="25"/>
      <c r="BX84" s="25"/>
      <c r="BY84" s="25"/>
      <c r="BZ84" s="25"/>
      <c r="CA84" s="25"/>
      <c r="CB84" s="25"/>
      <c r="CC84" s="25"/>
      <c r="CE84" s="25"/>
      <c r="CF84" s="25"/>
      <c r="CG84" s="25"/>
      <c r="CH84" s="25"/>
      <c r="CI84" s="25"/>
      <c r="CJ84" s="25"/>
    </row>
    <row r="85" spans="1:88" ht="14" customHeight="1" thickBot="1">
      <c r="A85" s="39" t="s">
        <v>43</v>
      </c>
      <c r="B85" s="39"/>
      <c r="C85" s="39"/>
      <c r="D85" s="38"/>
      <c r="E85" s="32"/>
      <c r="F85" s="32"/>
      <c r="G85" s="32"/>
      <c r="H85" s="31"/>
      <c r="I85" s="47"/>
      <c r="J85" s="48"/>
      <c r="K85" s="32"/>
      <c r="L85" s="32"/>
      <c r="M85" s="48"/>
      <c r="N85" s="32"/>
      <c r="O85" s="2"/>
      <c r="P85" s="2"/>
      <c r="Q85" s="2"/>
      <c r="R85" s="2"/>
      <c r="S85" s="2"/>
      <c r="T85" s="2"/>
      <c r="U85" s="56"/>
      <c r="V85" s="56"/>
      <c r="X85" s="110"/>
      <c r="Y85" s="161"/>
      <c r="Z85" s="110"/>
      <c r="AA85" s="113"/>
      <c r="AB85" s="110"/>
      <c r="AC85" s="113"/>
      <c r="AD85" s="110"/>
      <c r="AE85" s="113"/>
      <c r="AF85" s="110"/>
      <c r="AG85" s="113"/>
      <c r="AH85" s="110"/>
      <c r="AI85" s="190"/>
      <c r="AJ85" s="191"/>
      <c r="AK85" s="192"/>
      <c r="AS85" s="25"/>
      <c r="AT85" s="25"/>
      <c r="AU85" s="25"/>
      <c r="AV85" s="25"/>
      <c r="AW85" s="25"/>
      <c r="AX85" s="25"/>
      <c r="AZ85" s="25"/>
      <c r="BA85" s="25"/>
      <c r="BB85" s="25"/>
      <c r="BC85" s="25"/>
      <c r="BD85" s="25"/>
      <c r="BE85" s="25"/>
      <c r="BI85" s="25"/>
      <c r="BJ85" s="25"/>
      <c r="BK85" s="25"/>
      <c r="BL85" s="25"/>
      <c r="BM85" s="25"/>
      <c r="BN85" s="25"/>
      <c r="BP85" s="25"/>
      <c r="BQ85" s="25"/>
      <c r="BR85" s="25"/>
      <c r="BS85" s="25"/>
      <c r="BT85" s="25"/>
      <c r="BU85" s="25"/>
      <c r="BX85" s="25"/>
      <c r="BY85" s="25"/>
      <c r="BZ85" s="25"/>
      <c r="CA85" s="25"/>
      <c r="CB85" s="25"/>
      <c r="CC85" s="25"/>
      <c r="CE85" s="25"/>
      <c r="CF85" s="25"/>
      <c r="CG85" s="25"/>
      <c r="CH85" s="25"/>
      <c r="CI85" s="25"/>
      <c r="CJ85" s="25"/>
    </row>
    <row r="86" spans="1:88" ht="14" customHeight="1">
      <c r="A86" s="106"/>
      <c r="B86" s="107"/>
      <c r="C86" s="39"/>
      <c r="D86" s="38"/>
      <c r="E86" s="32"/>
      <c r="F86" s="32"/>
      <c r="G86" s="32"/>
      <c r="H86" s="31"/>
      <c r="I86" s="47"/>
      <c r="J86" s="48"/>
      <c r="K86" s="32"/>
      <c r="L86" s="32"/>
      <c r="M86" s="48"/>
      <c r="N86" s="3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S86" s="25"/>
      <c r="AT86" s="25"/>
      <c r="AU86" s="25"/>
      <c r="AV86" s="25"/>
      <c r="AW86" s="25"/>
      <c r="AX86" s="25"/>
      <c r="AZ86" s="25"/>
      <c r="BA86" s="25"/>
      <c r="BB86" s="25"/>
      <c r="BC86" s="25"/>
      <c r="BD86" s="25"/>
      <c r="BE86" s="25"/>
      <c r="BI86" s="25"/>
      <c r="BJ86" s="25"/>
      <c r="BK86" s="25"/>
      <c r="BL86" s="25"/>
      <c r="BM86" s="25"/>
      <c r="BN86" s="25"/>
      <c r="BP86" s="25"/>
      <c r="BQ86" s="25"/>
      <c r="BR86" s="25"/>
      <c r="BS86" s="25"/>
      <c r="BT86" s="25"/>
      <c r="BU86" s="25"/>
      <c r="BX86" s="25"/>
      <c r="BY86" s="25"/>
      <c r="BZ86" s="25"/>
      <c r="CA86" s="25"/>
      <c r="CB86" s="25"/>
      <c r="CC86" s="25"/>
      <c r="CE86" s="25"/>
      <c r="CF86" s="25"/>
      <c r="CG86" s="25"/>
      <c r="CH86" s="25"/>
      <c r="CI86" s="25"/>
      <c r="CJ86" s="25"/>
    </row>
    <row r="87" spans="1:88" ht="14" customHeight="1">
      <c r="A87" s="39" t="s">
        <v>123</v>
      </c>
      <c r="B87" s="75"/>
      <c r="C87" s="14"/>
      <c r="D87" s="12"/>
      <c r="E87" s="14"/>
      <c r="F87" s="14"/>
      <c r="G87" s="14"/>
      <c r="H87" s="12"/>
      <c r="I87" s="14"/>
      <c r="J87" s="12"/>
      <c r="K87" s="14"/>
      <c r="L87" s="14"/>
      <c r="M87" s="10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S87" s="25"/>
      <c r="AT87" s="25"/>
      <c r="AU87" s="25"/>
      <c r="AV87" s="25"/>
      <c r="AW87" s="25"/>
      <c r="AX87" s="25"/>
      <c r="AZ87" s="25"/>
      <c r="BA87" s="25"/>
      <c r="BB87" s="25"/>
      <c r="BC87" s="25"/>
      <c r="BD87" s="25"/>
      <c r="BE87" s="25"/>
      <c r="BI87" s="25"/>
      <c r="BJ87" s="25"/>
      <c r="BK87" s="25"/>
      <c r="BL87" s="25"/>
      <c r="BM87" s="25"/>
      <c r="BN87" s="25"/>
      <c r="BP87" s="25"/>
      <c r="BQ87" s="25"/>
      <c r="BR87" s="25"/>
      <c r="BS87" s="25"/>
      <c r="BT87" s="25"/>
      <c r="BU87" s="25"/>
      <c r="BX87" s="25"/>
      <c r="BY87" s="25"/>
      <c r="BZ87" s="25"/>
      <c r="CA87" s="25"/>
      <c r="CB87" s="25"/>
      <c r="CC87" s="25"/>
      <c r="CE87" s="25"/>
      <c r="CF87" s="25"/>
      <c r="CG87" s="25"/>
      <c r="CH87" s="25"/>
      <c r="CI87" s="25"/>
      <c r="CJ87" s="25"/>
    </row>
    <row r="88" spans="1:88" ht="15.75" customHeight="1">
      <c r="A88" s="73" t="str">
        <f>A34</f>
        <v>Income : Middle HHs</v>
      </c>
      <c r="B88" s="2"/>
      <c r="C88" s="2"/>
      <c r="D88" s="31"/>
      <c r="E88" s="2"/>
      <c r="F88" s="2"/>
      <c r="G88" s="2"/>
      <c r="H88" s="17"/>
      <c r="I88" s="2"/>
      <c r="J88" s="33"/>
      <c r="M88" s="57"/>
      <c r="N88" s="58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S88" s="25"/>
      <c r="AT88" s="25"/>
      <c r="AU88" s="25"/>
      <c r="AV88" s="25"/>
      <c r="AW88" s="25"/>
      <c r="AX88" s="25"/>
      <c r="AZ88" s="25"/>
      <c r="BA88" s="25"/>
      <c r="BB88" s="25"/>
      <c r="BC88" s="25"/>
      <c r="BD88" s="25"/>
      <c r="BE88" s="25"/>
      <c r="BI88" s="25"/>
      <c r="BJ88" s="25"/>
      <c r="BK88" s="25"/>
      <c r="BL88" s="25"/>
      <c r="BM88" s="25"/>
      <c r="BN88" s="25"/>
      <c r="BP88" s="25"/>
      <c r="BQ88" s="25"/>
      <c r="BR88" s="25"/>
      <c r="BS88" s="25"/>
      <c r="BT88" s="25"/>
      <c r="BU88" s="25"/>
      <c r="BX88" s="25"/>
      <c r="BY88" s="25"/>
      <c r="BZ88" s="25"/>
      <c r="CA88" s="25"/>
      <c r="CB88" s="25"/>
      <c r="CC88" s="25"/>
      <c r="CE88" s="25"/>
      <c r="CF88" s="25"/>
      <c r="CG88" s="25"/>
      <c r="CH88" s="25"/>
      <c r="CI88" s="25"/>
      <c r="CJ88" s="25"/>
    </row>
    <row r="89" spans="1:88" ht="14" customHeight="1">
      <c r="A89" s="2"/>
      <c r="B89" s="19" t="s">
        <v>7</v>
      </c>
      <c r="C89" s="19" t="s">
        <v>8</v>
      </c>
      <c r="D89" s="16" t="s">
        <v>9</v>
      </c>
      <c r="H89" s="16" t="s">
        <v>12</v>
      </c>
      <c r="I89" s="19" t="s">
        <v>13</v>
      </c>
      <c r="J89" s="16" t="s">
        <v>14</v>
      </c>
      <c r="K89" s="19" t="s">
        <v>7</v>
      </c>
      <c r="L89" s="19" t="s">
        <v>15</v>
      </c>
      <c r="M89" s="57" t="str">
        <f t="shared" ref="M89:M119" si="49">(J89)</f>
        <v>Curr.</v>
      </c>
      <c r="N89" s="58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S89" s="25"/>
      <c r="AT89" s="25"/>
      <c r="AU89" s="25"/>
      <c r="AV89" s="25"/>
      <c r="AW89" s="25"/>
      <c r="AX89" s="25"/>
      <c r="AZ89" s="25"/>
      <c r="BA89" s="25"/>
      <c r="BB89" s="25"/>
      <c r="BC89" s="25"/>
      <c r="BD89" s="25"/>
      <c r="BE89" s="25"/>
      <c r="BI89" s="25"/>
      <c r="BJ89" s="25"/>
      <c r="BK89" s="25"/>
      <c r="BL89" s="25"/>
      <c r="BM89" s="25"/>
      <c r="BN89" s="25"/>
      <c r="BP89" s="25"/>
      <c r="BQ89" s="25"/>
      <c r="BR89" s="25"/>
      <c r="BS89" s="25"/>
      <c r="BT89" s="25"/>
      <c r="BU89" s="25"/>
      <c r="BX89" s="25"/>
      <c r="BY89" s="25"/>
      <c r="BZ89" s="25"/>
      <c r="CA89" s="25"/>
      <c r="CB89" s="25"/>
      <c r="CC89" s="25"/>
      <c r="CE89" s="25"/>
      <c r="CF89" s="25"/>
      <c r="CG89" s="25"/>
      <c r="CH89" s="25"/>
      <c r="CI89" s="25"/>
      <c r="CJ89" s="25"/>
    </row>
    <row r="90" spans="1:88" ht="14" customHeight="1">
      <c r="A90" s="2" t="s">
        <v>44</v>
      </c>
      <c r="B90" s="19" t="s">
        <v>16</v>
      </c>
      <c r="C90" s="19" t="s">
        <v>17</v>
      </c>
      <c r="D90" s="16" t="s">
        <v>16</v>
      </c>
      <c r="H90" s="16" t="s">
        <v>18</v>
      </c>
      <c r="I90" s="19" t="s">
        <v>16</v>
      </c>
      <c r="J90" s="16" t="s">
        <v>16</v>
      </c>
      <c r="K90" s="19" t="s">
        <v>16</v>
      </c>
      <c r="L90" s="19" t="s">
        <v>19</v>
      </c>
      <c r="M90" s="57" t="str">
        <f t="shared" si="49"/>
        <v>Access</v>
      </c>
      <c r="N90" s="58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S90" s="25"/>
      <c r="AT90" s="25"/>
      <c r="AU90" s="25"/>
      <c r="AV90" s="25"/>
      <c r="AW90" s="25"/>
      <c r="AX90" s="25"/>
      <c r="AZ90" s="25"/>
      <c r="BA90" s="25"/>
      <c r="BB90" s="25"/>
      <c r="BC90" s="25"/>
      <c r="BD90" s="25"/>
      <c r="BE90" s="25"/>
      <c r="BI90" s="25"/>
      <c r="BJ90" s="25"/>
      <c r="BK90" s="25"/>
      <c r="BL90" s="25"/>
      <c r="BM90" s="25"/>
      <c r="BN90" s="25"/>
      <c r="BP90" s="25"/>
      <c r="BQ90" s="25"/>
      <c r="BR90" s="25"/>
      <c r="BS90" s="25"/>
      <c r="BT90" s="25"/>
      <c r="BU90" s="25"/>
      <c r="BX90" s="25"/>
      <c r="BY90" s="25"/>
      <c r="BZ90" s="25"/>
      <c r="CA90" s="25"/>
      <c r="CB90" s="25"/>
      <c r="CC90" s="25"/>
      <c r="CE90" s="25"/>
      <c r="CF90" s="25"/>
      <c r="CG90" s="25"/>
      <c r="CH90" s="25"/>
      <c r="CI90" s="25"/>
      <c r="CJ90" s="25"/>
    </row>
    <row r="91" spans="1:88" ht="14" customHeight="1">
      <c r="A91" s="2" t="str">
        <f>IF(A37="","",A37)</f>
        <v>Pig sales: no sold</v>
      </c>
      <c r="B91" s="75">
        <f t="shared" ref="B91:C118" si="50">(B37/$B$83)</f>
        <v>0.10369818015711361</v>
      </c>
      <c r="C91" s="75">
        <f t="shared" si="50"/>
        <v>0</v>
      </c>
      <c r="D91" s="24">
        <f t="shared" ref="D91" si="51">(B91+C91)</f>
        <v>0.10369818015711361</v>
      </c>
      <c r="H91" s="24">
        <f>(E37*F37/G37*F$7/F$9)</f>
        <v>0.57212121212121214</v>
      </c>
      <c r="I91" s="22">
        <f t="shared" ref="I91" si="52">(D91*H91)</f>
        <v>5.9327928526251669E-2</v>
      </c>
      <c r="J91" s="24">
        <f>IF(I$32&lt;=1+I$131,I91,L91+J$33*(I91-L91))</f>
        <v>5.9327928526251669E-2</v>
      </c>
      <c r="K91" s="22">
        <f t="shared" ref="K91" si="53">(B91)</f>
        <v>0.10369818015711361</v>
      </c>
      <c r="L91" s="22">
        <f t="shared" ref="L91" si="54">(K91*H91)</f>
        <v>5.9327928526251669E-2</v>
      </c>
      <c r="M91" s="227">
        <f t="shared" si="49"/>
        <v>5.9327928526251669E-2</v>
      </c>
      <c r="N91" s="229">
        <v>5</v>
      </c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S91" s="25"/>
      <c r="AT91" s="25"/>
      <c r="AU91" s="25"/>
      <c r="AV91" s="25"/>
      <c r="AW91" s="25"/>
      <c r="AX91" s="25"/>
      <c r="AZ91" s="25"/>
      <c r="BA91" s="25"/>
      <c r="BB91" s="25"/>
      <c r="BC91" s="25"/>
      <c r="BD91" s="25"/>
      <c r="BE91" s="25"/>
      <c r="BI91" s="25"/>
      <c r="BJ91" s="25"/>
      <c r="BK91" s="25"/>
      <c r="BL91" s="25"/>
      <c r="BM91" s="25"/>
      <c r="BN91" s="25"/>
      <c r="BP91" s="25"/>
      <c r="BQ91" s="25"/>
      <c r="BR91" s="25"/>
      <c r="BS91" s="25"/>
      <c r="BT91" s="25"/>
      <c r="BU91" s="25"/>
      <c r="BX91" s="25"/>
      <c r="BY91" s="25"/>
      <c r="BZ91" s="25"/>
      <c r="CA91" s="25"/>
      <c r="CB91" s="25"/>
      <c r="CC91" s="25"/>
      <c r="CE91" s="25"/>
      <c r="CF91" s="25"/>
      <c r="CG91" s="25"/>
      <c r="CH91" s="25"/>
      <c r="CI91" s="25"/>
      <c r="CJ91" s="25"/>
    </row>
    <row r="92" spans="1:88" ht="14" customHeight="1">
      <c r="A92" s="2" t="str">
        <f t="shared" ref="A92:A118" si="55">IF(A38="","",A38)</f>
        <v>Cattle sales - local: no. sold</v>
      </c>
      <c r="B92" s="75">
        <f t="shared" si="50"/>
        <v>0.81477141552017829</v>
      </c>
      <c r="C92" s="75">
        <f t="shared" si="50"/>
        <v>0.24072791822187087</v>
      </c>
      <c r="D92" s="24">
        <f t="shared" ref="D92:D118" si="56">(B92+C92)</f>
        <v>1.0554993337420491</v>
      </c>
      <c r="H92" s="24">
        <f t="shared" ref="H92:H118" si="57">(E38*F38/G38*F$7/F$9)</f>
        <v>0.57212121212121214</v>
      </c>
      <c r="I92" s="22">
        <f t="shared" ref="I92:I118" si="58">(D92*H92)</f>
        <v>0.60387355821363298</v>
      </c>
      <c r="J92" s="24">
        <f t="shared" ref="J92:J118" si="59">IF(I$32&lt;=1+I$131,I92,L92+J$33*(I92-L92))</f>
        <v>0.49429239279205867</v>
      </c>
      <c r="K92" s="22">
        <f t="shared" ref="K92:K118" si="60">(B92)</f>
        <v>0.81477141552017829</v>
      </c>
      <c r="L92" s="22">
        <f t="shared" ref="L92:L118" si="61">(K92*H92)</f>
        <v>0.46614800984912019</v>
      </c>
      <c r="M92" s="227">
        <f t="shared" ref="M92:M118" si="62">(J92)</f>
        <v>0.49429239279205867</v>
      </c>
      <c r="N92" s="229">
        <v>5</v>
      </c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S92" s="25"/>
      <c r="AT92" s="25"/>
      <c r="AU92" s="25"/>
      <c r="AV92" s="25"/>
      <c r="AW92" s="25"/>
      <c r="AX92" s="25"/>
      <c r="AZ92" s="25"/>
      <c r="BA92" s="25"/>
      <c r="BB92" s="25"/>
      <c r="BC92" s="25"/>
      <c r="BD92" s="25"/>
      <c r="BE92" s="25"/>
      <c r="BI92" s="25"/>
      <c r="BJ92" s="25"/>
      <c r="BK92" s="25"/>
      <c r="BL92" s="25"/>
      <c r="BM92" s="25"/>
      <c r="BN92" s="25"/>
      <c r="BP92" s="25"/>
      <c r="BQ92" s="25"/>
      <c r="BR92" s="25"/>
      <c r="BS92" s="25"/>
      <c r="BT92" s="25"/>
      <c r="BU92" s="25"/>
      <c r="BX92" s="25"/>
      <c r="BY92" s="25"/>
      <c r="BZ92" s="25"/>
      <c r="CA92" s="25"/>
      <c r="CB92" s="25"/>
      <c r="CC92" s="25"/>
      <c r="CE92" s="25"/>
      <c r="CF92" s="25"/>
      <c r="CG92" s="25"/>
      <c r="CH92" s="25"/>
      <c r="CI92" s="25"/>
      <c r="CJ92" s="25"/>
    </row>
    <row r="93" spans="1:88" ht="14" customHeight="1">
      <c r="A93" s="2" t="str">
        <f t="shared" si="55"/>
        <v>Goat sales - local: no. sold</v>
      </c>
      <c r="B93" s="75">
        <f t="shared" si="50"/>
        <v>0.21924758090361163</v>
      </c>
      <c r="C93" s="75">
        <f t="shared" si="50"/>
        <v>1.8517532170913146E-3</v>
      </c>
      <c r="D93" s="24">
        <f t="shared" si="56"/>
        <v>0.22109933412070293</v>
      </c>
      <c r="H93" s="24">
        <f t="shared" si="57"/>
        <v>0.57212121212121214</v>
      </c>
      <c r="I93" s="22">
        <f t="shared" si="58"/>
        <v>0.12649561903632944</v>
      </c>
      <c r="J93" s="24">
        <f t="shared" si="59"/>
        <v>0.12565268699462503</v>
      </c>
      <c r="K93" s="22">
        <f t="shared" si="60"/>
        <v>0.21924758090361163</v>
      </c>
      <c r="L93" s="22">
        <f t="shared" si="61"/>
        <v>0.12543619174121781</v>
      </c>
      <c r="M93" s="227">
        <f t="shared" si="62"/>
        <v>0.12565268699462503</v>
      </c>
      <c r="N93" s="229">
        <v>5</v>
      </c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S93" s="25"/>
      <c r="AT93" s="25"/>
      <c r="AU93" s="25"/>
      <c r="AV93" s="25"/>
      <c r="AW93" s="25"/>
      <c r="AX93" s="25"/>
      <c r="AZ93" s="25"/>
      <c r="BA93" s="25"/>
      <c r="BB93" s="25"/>
      <c r="BC93" s="25"/>
      <c r="BD93" s="25"/>
      <c r="BE93" s="25"/>
      <c r="BI93" s="25"/>
      <c r="BJ93" s="25"/>
      <c r="BK93" s="25"/>
      <c r="BL93" s="25"/>
      <c r="BM93" s="25"/>
      <c r="BN93" s="25"/>
      <c r="BP93" s="25"/>
      <c r="BQ93" s="25"/>
      <c r="BR93" s="25"/>
      <c r="BS93" s="25"/>
      <c r="BT93" s="25"/>
      <c r="BU93" s="25"/>
      <c r="BX93" s="25"/>
      <c r="BY93" s="25"/>
      <c r="BZ93" s="25"/>
      <c r="CA93" s="25"/>
      <c r="CB93" s="25"/>
      <c r="CC93" s="25"/>
      <c r="CE93" s="25"/>
      <c r="CF93" s="25"/>
      <c r="CG93" s="25"/>
      <c r="CH93" s="25"/>
      <c r="CI93" s="25"/>
      <c r="CJ93" s="25"/>
    </row>
    <row r="94" spans="1:88" ht="14" customHeight="1">
      <c r="A94" s="2" t="str">
        <f t="shared" si="55"/>
        <v>Chicken sales: no. sold</v>
      </c>
      <c r="B94" s="75">
        <f t="shared" si="50"/>
        <v>3.8886817558917604E-2</v>
      </c>
      <c r="C94" s="75">
        <f t="shared" si="50"/>
        <v>0</v>
      </c>
      <c r="D94" s="24">
        <f t="shared" si="56"/>
        <v>3.8886817558917604E-2</v>
      </c>
      <c r="H94" s="24">
        <f t="shared" si="57"/>
        <v>0.7151515151515152</v>
      </c>
      <c r="I94" s="22">
        <f t="shared" si="58"/>
        <v>2.780996649668047E-2</v>
      </c>
      <c r="J94" s="24">
        <f t="shared" si="59"/>
        <v>2.780996649668047E-2</v>
      </c>
      <c r="K94" s="22">
        <f t="shared" si="60"/>
        <v>3.8886817558917604E-2</v>
      </c>
      <c r="L94" s="22">
        <f t="shared" si="61"/>
        <v>2.780996649668047E-2</v>
      </c>
      <c r="M94" s="227">
        <f t="shared" si="62"/>
        <v>2.780996649668047E-2</v>
      </c>
      <c r="N94" s="229">
        <v>5</v>
      </c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S94" s="25"/>
      <c r="AT94" s="25"/>
      <c r="AU94" s="25"/>
      <c r="AV94" s="25"/>
      <c r="AW94" s="25"/>
      <c r="AX94" s="25"/>
      <c r="AZ94" s="25"/>
      <c r="BA94" s="25"/>
      <c r="BB94" s="25"/>
      <c r="BC94" s="25"/>
      <c r="BD94" s="25"/>
      <c r="BE94" s="25"/>
      <c r="BI94" s="25"/>
      <c r="BJ94" s="25"/>
      <c r="BK94" s="25"/>
      <c r="BL94" s="25"/>
      <c r="BM94" s="25"/>
      <c r="BN94" s="25"/>
      <c r="BP94" s="25"/>
      <c r="BQ94" s="25"/>
      <c r="BR94" s="25"/>
      <c r="BS94" s="25"/>
      <c r="BT94" s="25"/>
      <c r="BU94" s="25"/>
      <c r="BX94" s="25"/>
      <c r="BY94" s="25"/>
      <c r="BZ94" s="25"/>
      <c r="CA94" s="25"/>
      <c r="CB94" s="25"/>
      <c r="CC94" s="25"/>
      <c r="CE94" s="25"/>
      <c r="CF94" s="25"/>
      <c r="CG94" s="25"/>
      <c r="CH94" s="25"/>
      <c r="CI94" s="25"/>
      <c r="CJ94" s="25"/>
    </row>
    <row r="95" spans="1:88" ht="14" customHeight="1">
      <c r="A95" s="2" t="str">
        <f t="shared" si="55"/>
        <v>Green maize sold: quantity</v>
      </c>
      <c r="B95" s="75">
        <f t="shared" si="50"/>
        <v>0.95087527697639007</v>
      </c>
      <c r="C95" s="75">
        <f t="shared" si="50"/>
        <v>0</v>
      </c>
      <c r="D95" s="24">
        <f t="shared" si="56"/>
        <v>0.95087527697639007</v>
      </c>
      <c r="H95" s="24">
        <f t="shared" si="57"/>
        <v>0.84848484848484851</v>
      </c>
      <c r="I95" s="22">
        <f t="shared" si="58"/>
        <v>0.80680326531330071</v>
      </c>
      <c r="J95" s="24">
        <f t="shared" si="59"/>
        <v>0.80680326531330071</v>
      </c>
      <c r="K95" s="22">
        <f t="shared" si="60"/>
        <v>0.95087527697639007</v>
      </c>
      <c r="L95" s="22">
        <f t="shared" si="61"/>
        <v>0.80680326531330071</v>
      </c>
      <c r="M95" s="227">
        <f t="shared" si="62"/>
        <v>0.80680326531330071</v>
      </c>
      <c r="N95" s="229">
        <v>2</v>
      </c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S95" s="25"/>
      <c r="AT95" s="25"/>
      <c r="AU95" s="25"/>
      <c r="AV95" s="25"/>
      <c r="AW95" s="25"/>
      <c r="AX95" s="25"/>
      <c r="AZ95" s="25"/>
      <c r="BA95" s="25"/>
      <c r="BB95" s="25"/>
      <c r="BC95" s="25"/>
      <c r="BD95" s="25"/>
      <c r="BE95" s="25"/>
      <c r="BI95" s="25"/>
      <c r="BJ95" s="25"/>
      <c r="BK95" s="25"/>
      <c r="BL95" s="25"/>
      <c r="BM95" s="25"/>
      <c r="BN95" s="25"/>
      <c r="BP95" s="25"/>
      <c r="BQ95" s="25"/>
      <c r="BR95" s="25"/>
      <c r="BS95" s="25"/>
      <c r="BT95" s="25"/>
      <c r="BU95" s="25"/>
      <c r="BX95" s="25"/>
      <c r="BY95" s="25"/>
      <c r="BZ95" s="25"/>
      <c r="CA95" s="25"/>
      <c r="CB95" s="25"/>
      <c r="CC95" s="25"/>
      <c r="CE95" s="25"/>
      <c r="CF95" s="25"/>
      <c r="CG95" s="25"/>
      <c r="CH95" s="25"/>
      <c r="CI95" s="25"/>
      <c r="CJ95" s="25"/>
    </row>
    <row r="96" spans="1:88" ht="14" customHeight="1">
      <c r="A96" s="2" t="str">
        <f t="shared" si="55"/>
        <v>Maize: kg produced</v>
      </c>
      <c r="B96" s="75">
        <f t="shared" si="50"/>
        <v>0.26680060351851659</v>
      </c>
      <c r="C96" s="75">
        <f t="shared" si="50"/>
        <v>-0.26680060351851659</v>
      </c>
      <c r="D96" s="24">
        <f t="shared" si="56"/>
        <v>0</v>
      </c>
      <c r="H96" s="24">
        <f t="shared" si="57"/>
        <v>0.92484848484848492</v>
      </c>
      <c r="I96" s="22">
        <f t="shared" si="58"/>
        <v>0</v>
      </c>
      <c r="J96" s="24">
        <f t="shared" si="59"/>
        <v>0.1963264446143505</v>
      </c>
      <c r="K96" s="22">
        <f t="shared" si="60"/>
        <v>0.26680060351851659</v>
      </c>
      <c r="L96" s="22">
        <f t="shared" si="61"/>
        <v>0.24675013392076142</v>
      </c>
      <c r="M96" s="227">
        <f t="shared" si="62"/>
        <v>0.1963264446143505</v>
      </c>
      <c r="N96" s="229">
        <v>2</v>
      </c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S96" s="25"/>
      <c r="AT96" s="25"/>
      <c r="AU96" s="25"/>
      <c r="AV96" s="25"/>
      <c r="AW96" s="25"/>
      <c r="AX96" s="25"/>
      <c r="AZ96" s="25"/>
      <c r="BA96" s="25"/>
      <c r="BB96" s="25"/>
      <c r="BC96" s="25"/>
      <c r="BD96" s="25"/>
      <c r="BE96" s="25"/>
      <c r="BI96" s="25"/>
      <c r="BJ96" s="25"/>
      <c r="BK96" s="25"/>
      <c r="BL96" s="25"/>
      <c r="BM96" s="25"/>
      <c r="BN96" s="25"/>
      <c r="BP96" s="25"/>
      <c r="BQ96" s="25"/>
      <c r="BR96" s="25"/>
      <c r="BS96" s="25"/>
      <c r="BT96" s="25"/>
      <c r="BU96" s="25"/>
      <c r="BX96" s="25"/>
      <c r="BY96" s="25"/>
      <c r="BZ96" s="25"/>
      <c r="CA96" s="25"/>
      <c r="CB96" s="25"/>
      <c r="CC96" s="25"/>
      <c r="CE96" s="25"/>
      <c r="CF96" s="25"/>
      <c r="CG96" s="25"/>
      <c r="CH96" s="25"/>
      <c r="CI96" s="25"/>
      <c r="CJ96" s="25"/>
    </row>
    <row r="97" spans="1:88" ht="14" customHeight="1">
      <c r="A97" s="2" t="str">
        <f t="shared" si="55"/>
        <v>Maize (irrigated): kg produced</v>
      </c>
      <c r="B97" s="75">
        <f t="shared" si="50"/>
        <v>1.1110519302547887E-2</v>
      </c>
      <c r="C97" s="75">
        <f t="shared" si="50"/>
        <v>-1.1110519302547887E-2</v>
      </c>
      <c r="D97" s="24">
        <f t="shared" si="56"/>
        <v>0</v>
      </c>
      <c r="H97" s="24">
        <f t="shared" si="57"/>
        <v>0.92484848484848492</v>
      </c>
      <c r="I97" s="22">
        <f t="shared" si="58"/>
        <v>0</v>
      </c>
      <c r="J97" s="24">
        <f t="shared" si="59"/>
        <v>8.1757264553449678E-3</v>
      </c>
      <c r="K97" s="22">
        <f t="shared" si="60"/>
        <v>1.1110519302547887E-2</v>
      </c>
      <c r="L97" s="22">
        <f t="shared" si="61"/>
        <v>1.0275546942841258E-2</v>
      </c>
      <c r="M97" s="227">
        <f t="shared" si="62"/>
        <v>8.1757264553449678E-3</v>
      </c>
      <c r="N97" s="229">
        <v>2</v>
      </c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S97" s="25"/>
      <c r="AT97" s="25"/>
      <c r="AU97" s="25"/>
      <c r="AV97" s="25"/>
      <c r="AW97" s="25"/>
      <c r="AX97" s="25"/>
      <c r="AZ97" s="25"/>
      <c r="BA97" s="25"/>
      <c r="BB97" s="25"/>
      <c r="BC97" s="25"/>
      <c r="BD97" s="25"/>
      <c r="BE97" s="25"/>
      <c r="BI97" s="25"/>
      <c r="BJ97" s="25"/>
      <c r="BK97" s="25"/>
      <c r="BL97" s="25"/>
      <c r="BM97" s="25"/>
      <c r="BN97" s="25"/>
      <c r="BP97" s="25"/>
      <c r="BQ97" s="25"/>
      <c r="BR97" s="25"/>
      <c r="BS97" s="25"/>
      <c r="BT97" s="25"/>
      <c r="BU97" s="25"/>
      <c r="BX97" s="25"/>
      <c r="BY97" s="25"/>
      <c r="BZ97" s="25"/>
      <c r="CA97" s="25"/>
      <c r="CB97" s="25"/>
      <c r="CC97" s="25"/>
      <c r="CE97" s="25"/>
      <c r="CF97" s="25"/>
      <c r="CG97" s="25"/>
      <c r="CH97" s="25"/>
      <c r="CI97" s="25"/>
      <c r="CJ97" s="25"/>
    </row>
    <row r="98" spans="1:88" ht="14" customHeight="1">
      <c r="A98" s="2" t="str">
        <f t="shared" si="55"/>
        <v>Beans: kg produced</v>
      </c>
      <c r="B98" s="75">
        <f t="shared" si="50"/>
        <v>2.9628051473461033E-2</v>
      </c>
      <c r="C98" s="75">
        <f t="shared" si="50"/>
        <v>-8.3328894769109148E-3</v>
      </c>
      <c r="D98" s="24">
        <f t="shared" si="56"/>
        <v>2.129516199655012E-2</v>
      </c>
      <c r="H98" s="24">
        <f t="shared" si="57"/>
        <v>0.84848484848484851</v>
      </c>
      <c r="I98" s="22">
        <f t="shared" si="58"/>
        <v>1.8068622300103133E-2</v>
      </c>
      <c r="J98" s="24">
        <f t="shared" si="59"/>
        <v>2.3694122154698294E-2</v>
      </c>
      <c r="K98" s="22">
        <f t="shared" si="60"/>
        <v>2.9628051473461033E-2</v>
      </c>
      <c r="L98" s="22">
        <f t="shared" si="61"/>
        <v>2.5138952765360878E-2</v>
      </c>
      <c r="M98" s="227">
        <f t="shared" si="62"/>
        <v>2.3694122154698294E-2</v>
      </c>
      <c r="N98" s="229">
        <v>2</v>
      </c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S98" s="25"/>
      <c r="AT98" s="25"/>
      <c r="AU98" s="25"/>
      <c r="AV98" s="25"/>
      <c r="AW98" s="25"/>
      <c r="AX98" s="25"/>
      <c r="AZ98" s="25"/>
      <c r="BA98" s="25"/>
      <c r="BB98" s="25"/>
      <c r="BC98" s="25"/>
      <c r="BD98" s="25"/>
      <c r="BE98" s="25"/>
      <c r="BI98" s="25"/>
      <c r="BJ98" s="25"/>
      <c r="BK98" s="25"/>
      <c r="BL98" s="25"/>
      <c r="BM98" s="25"/>
      <c r="BN98" s="25"/>
      <c r="BP98" s="25"/>
      <c r="BQ98" s="25"/>
      <c r="BR98" s="25"/>
      <c r="BS98" s="25"/>
      <c r="BT98" s="25"/>
      <c r="BU98" s="25"/>
      <c r="BX98" s="25"/>
      <c r="BY98" s="25"/>
      <c r="BZ98" s="25"/>
      <c r="CA98" s="25"/>
      <c r="CB98" s="25"/>
      <c r="CC98" s="25"/>
      <c r="CE98" s="25"/>
      <c r="CF98" s="25"/>
      <c r="CG98" s="25"/>
      <c r="CH98" s="25"/>
      <c r="CI98" s="25"/>
      <c r="CJ98" s="25"/>
    </row>
    <row r="99" spans="1:88" ht="14" customHeight="1">
      <c r="A99" s="2" t="str">
        <f t="shared" si="55"/>
        <v>Potato: kg produced</v>
      </c>
      <c r="B99" s="75">
        <f t="shared" si="50"/>
        <v>2.6665246326114927E-2</v>
      </c>
      <c r="C99" s="75">
        <f t="shared" si="50"/>
        <v>-2.6665246326114927E-2</v>
      </c>
      <c r="D99" s="24">
        <f t="shared" si="56"/>
        <v>0</v>
      </c>
      <c r="H99" s="24">
        <f t="shared" si="57"/>
        <v>0.84848484848484851</v>
      </c>
      <c r="I99" s="22">
        <f t="shared" si="58"/>
        <v>0</v>
      </c>
      <c r="J99" s="24">
        <f t="shared" si="59"/>
        <v>1.8001599534704513E-2</v>
      </c>
      <c r="K99" s="22">
        <f t="shared" si="60"/>
        <v>2.6665246326114927E-2</v>
      </c>
      <c r="L99" s="22">
        <f t="shared" si="61"/>
        <v>2.2625057488824787E-2</v>
      </c>
      <c r="M99" s="227">
        <f t="shared" si="62"/>
        <v>1.8001599534704513E-2</v>
      </c>
      <c r="N99" s="229">
        <v>2</v>
      </c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S99" s="25"/>
      <c r="AT99" s="25"/>
      <c r="AU99" s="25"/>
      <c r="AV99" s="25"/>
      <c r="AW99" s="25"/>
      <c r="AX99" s="25"/>
      <c r="AZ99" s="25"/>
      <c r="BA99" s="25"/>
      <c r="BB99" s="25"/>
      <c r="BC99" s="25"/>
      <c r="BD99" s="25"/>
      <c r="BE99" s="25"/>
      <c r="BI99" s="25"/>
      <c r="BJ99" s="25"/>
      <c r="BK99" s="25"/>
      <c r="BL99" s="25"/>
      <c r="BM99" s="25"/>
      <c r="BN99" s="25"/>
      <c r="BP99" s="25"/>
      <c r="BQ99" s="25"/>
      <c r="BR99" s="25"/>
      <c r="BS99" s="25"/>
      <c r="BT99" s="25"/>
      <c r="BU99" s="25"/>
      <c r="BX99" s="25"/>
      <c r="BY99" s="25"/>
      <c r="BZ99" s="25"/>
      <c r="CA99" s="25"/>
      <c r="CB99" s="25"/>
      <c r="CC99" s="25"/>
      <c r="CE99" s="25"/>
      <c r="CF99" s="25"/>
      <c r="CG99" s="25"/>
      <c r="CH99" s="25"/>
      <c r="CI99" s="25"/>
      <c r="CJ99" s="25"/>
    </row>
    <row r="100" spans="1:88" ht="14" customHeight="1">
      <c r="A100" s="2" t="str">
        <f t="shared" si="55"/>
        <v>Sweet potato: no. local meas</v>
      </c>
      <c r="B100" s="75">
        <f t="shared" si="50"/>
        <v>0.11110519302547887</v>
      </c>
      <c r="C100" s="75">
        <f t="shared" si="50"/>
        <v>-0.11110519302547887</v>
      </c>
      <c r="D100" s="24">
        <f t="shared" si="56"/>
        <v>0</v>
      </c>
      <c r="H100" s="24">
        <f t="shared" si="57"/>
        <v>0.84848484848484851</v>
      </c>
      <c r="I100" s="22">
        <f t="shared" si="58"/>
        <v>0</v>
      </c>
      <c r="J100" s="24">
        <f t="shared" si="59"/>
        <v>7.500666472793549E-2</v>
      </c>
      <c r="K100" s="22">
        <f t="shared" si="60"/>
        <v>0.11110519302547887</v>
      </c>
      <c r="L100" s="22">
        <f t="shared" si="61"/>
        <v>9.4271072870103292E-2</v>
      </c>
      <c r="M100" s="227">
        <f t="shared" si="62"/>
        <v>7.500666472793549E-2</v>
      </c>
      <c r="N100" s="229">
        <v>2</v>
      </c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S100" s="25"/>
      <c r="AT100" s="25"/>
      <c r="AU100" s="25"/>
      <c r="AV100" s="25"/>
      <c r="AW100" s="25"/>
      <c r="AX100" s="25"/>
      <c r="AZ100" s="25"/>
      <c r="BA100" s="25"/>
      <c r="BB100" s="25"/>
      <c r="BC100" s="25"/>
      <c r="BD100" s="25"/>
      <c r="BE100" s="25"/>
      <c r="BI100" s="25"/>
      <c r="BJ100" s="25"/>
      <c r="BK100" s="25"/>
      <c r="BL100" s="25"/>
      <c r="BM100" s="25"/>
      <c r="BN100" s="25"/>
      <c r="BP100" s="25"/>
      <c r="BQ100" s="25"/>
      <c r="BR100" s="25"/>
      <c r="BS100" s="25"/>
      <c r="BT100" s="25"/>
      <c r="BU100" s="25"/>
      <c r="BX100" s="25"/>
      <c r="BY100" s="25"/>
      <c r="BZ100" s="25"/>
      <c r="CA100" s="25"/>
      <c r="CB100" s="25"/>
      <c r="CC100" s="25"/>
      <c r="CE100" s="25"/>
      <c r="CF100" s="25"/>
      <c r="CG100" s="25"/>
      <c r="CH100" s="25"/>
      <c r="CI100" s="25"/>
      <c r="CJ100" s="25"/>
    </row>
    <row r="101" spans="1:88" ht="14" customHeight="1">
      <c r="A101" s="2" t="str">
        <f t="shared" si="55"/>
        <v>Groundnuts (dry): no. local meas</v>
      </c>
      <c r="B101" s="75">
        <f t="shared" si="50"/>
        <v>3.3331557907643659E-2</v>
      </c>
      <c r="C101" s="75">
        <f t="shared" si="50"/>
        <v>-3.3331557907643659E-2</v>
      </c>
      <c r="D101" s="24">
        <f t="shared" si="56"/>
        <v>0</v>
      </c>
      <c r="H101" s="24">
        <f t="shared" si="57"/>
        <v>0.84848484848484851</v>
      </c>
      <c r="I101" s="22">
        <f t="shared" si="58"/>
        <v>0</v>
      </c>
      <c r="J101" s="24">
        <f t="shared" si="59"/>
        <v>2.2501999418380644E-2</v>
      </c>
      <c r="K101" s="22">
        <f t="shared" si="60"/>
        <v>3.3331557907643659E-2</v>
      </c>
      <c r="L101" s="22">
        <f t="shared" si="61"/>
        <v>2.8281321861030984E-2</v>
      </c>
      <c r="M101" s="227">
        <f t="shared" si="62"/>
        <v>2.2501999418380644E-2</v>
      </c>
      <c r="N101" s="229">
        <v>2</v>
      </c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S101" s="25"/>
      <c r="AT101" s="25"/>
      <c r="AU101" s="25"/>
      <c r="AV101" s="25"/>
      <c r="AW101" s="25"/>
      <c r="AX101" s="25"/>
      <c r="AZ101" s="25"/>
      <c r="BA101" s="25"/>
      <c r="BB101" s="25"/>
      <c r="BC101" s="25"/>
      <c r="BD101" s="25"/>
      <c r="BE101" s="25"/>
      <c r="BI101" s="25"/>
      <c r="BJ101" s="25"/>
      <c r="BK101" s="25"/>
      <c r="BL101" s="25"/>
      <c r="BM101" s="25"/>
      <c r="BN101" s="25"/>
      <c r="BP101" s="25"/>
      <c r="BQ101" s="25"/>
      <c r="BR101" s="25"/>
      <c r="BS101" s="25"/>
      <c r="BT101" s="25"/>
      <c r="BU101" s="25"/>
      <c r="BX101" s="25"/>
      <c r="BY101" s="25"/>
      <c r="BZ101" s="25"/>
      <c r="CA101" s="25"/>
      <c r="CB101" s="25"/>
      <c r="CC101" s="25"/>
      <c r="CE101" s="25"/>
      <c r="CF101" s="25"/>
      <c r="CG101" s="25"/>
      <c r="CH101" s="25"/>
      <c r="CI101" s="25"/>
      <c r="CJ101" s="25"/>
    </row>
    <row r="102" spans="1:88" ht="14" customHeight="1">
      <c r="A102" s="2" t="str">
        <f t="shared" si="55"/>
        <v>Other crop: Rape</v>
      </c>
      <c r="B102" s="75">
        <f t="shared" si="50"/>
        <v>6.4811362598196009E-3</v>
      </c>
      <c r="C102" s="75">
        <f t="shared" si="50"/>
        <v>-6.4811362598196009E-3</v>
      </c>
      <c r="D102" s="24">
        <f t="shared" si="56"/>
        <v>0</v>
      </c>
      <c r="H102" s="24">
        <f t="shared" si="57"/>
        <v>0.84848484848484851</v>
      </c>
      <c r="I102" s="22">
        <f t="shared" si="58"/>
        <v>0</v>
      </c>
      <c r="J102" s="24">
        <f t="shared" si="59"/>
        <v>4.3753887757962372E-3</v>
      </c>
      <c r="K102" s="22">
        <f t="shared" si="60"/>
        <v>6.4811362598196009E-3</v>
      </c>
      <c r="L102" s="22">
        <f t="shared" si="61"/>
        <v>5.4991459174226921E-3</v>
      </c>
      <c r="M102" s="227">
        <f t="shared" si="62"/>
        <v>4.3753887757962372E-3</v>
      </c>
      <c r="N102" s="229">
        <v>2</v>
      </c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S102" s="25"/>
      <c r="AT102" s="25"/>
      <c r="AU102" s="25"/>
      <c r="AV102" s="25"/>
      <c r="AW102" s="25"/>
      <c r="AX102" s="25"/>
      <c r="AZ102" s="25"/>
      <c r="BA102" s="25"/>
      <c r="BB102" s="25"/>
      <c r="BC102" s="25"/>
      <c r="BD102" s="25"/>
      <c r="BE102" s="25"/>
      <c r="BI102" s="25"/>
      <c r="BJ102" s="25"/>
      <c r="BK102" s="25"/>
      <c r="BL102" s="25"/>
      <c r="BM102" s="25"/>
      <c r="BN102" s="25"/>
      <c r="BP102" s="25"/>
      <c r="BQ102" s="25"/>
      <c r="BR102" s="25"/>
      <c r="BS102" s="25"/>
      <c r="BT102" s="25"/>
      <c r="BU102" s="25"/>
      <c r="BX102" s="25"/>
      <c r="BY102" s="25"/>
      <c r="BZ102" s="25"/>
      <c r="CA102" s="25"/>
      <c r="CB102" s="25"/>
      <c r="CC102" s="25"/>
      <c r="CE102" s="25"/>
      <c r="CF102" s="25"/>
      <c r="CG102" s="25"/>
      <c r="CH102" s="25"/>
      <c r="CI102" s="25"/>
      <c r="CJ102" s="25"/>
    </row>
    <row r="103" spans="1:88" ht="14" customHeight="1">
      <c r="A103" s="2" t="str">
        <f t="shared" si="55"/>
        <v>Other cashcrop (cabbage): kg produced</v>
      </c>
      <c r="B103" s="75">
        <f t="shared" si="50"/>
        <v>2.9628051473461033E-2</v>
      </c>
      <c r="C103" s="75">
        <f t="shared" si="50"/>
        <v>0</v>
      </c>
      <c r="D103" s="24">
        <f t="shared" si="56"/>
        <v>2.9628051473461033E-2</v>
      </c>
      <c r="H103" s="24">
        <f t="shared" si="57"/>
        <v>0.84848484848484851</v>
      </c>
      <c r="I103" s="22">
        <f t="shared" si="58"/>
        <v>2.5138952765360878E-2</v>
      </c>
      <c r="J103" s="24">
        <f t="shared" si="59"/>
        <v>2.5138952765360878E-2</v>
      </c>
      <c r="K103" s="22">
        <f t="shared" si="60"/>
        <v>2.9628051473461033E-2</v>
      </c>
      <c r="L103" s="22">
        <f t="shared" si="61"/>
        <v>2.5138952765360878E-2</v>
      </c>
      <c r="M103" s="227">
        <f t="shared" si="62"/>
        <v>2.5138952765360878E-2</v>
      </c>
      <c r="N103" s="229">
        <v>2</v>
      </c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S103" s="25"/>
      <c r="AT103" s="25"/>
      <c r="AU103" s="25"/>
      <c r="AV103" s="25"/>
      <c r="AW103" s="25"/>
      <c r="AX103" s="25"/>
      <c r="AZ103" s="25"/>
      <c r="BA103" s="25"/>
      <c r="BB103" s="25"/>
      <c r="BC103" s="25"/>
      <c r="BD103" s="25"/>
      <c r="BE103" s="25"/>
      <c r="BI103" s="25"/>
      <c r="BJ103" s="25"/>
      <c r="BK103" s="25"/>
      <c r="BL103" s="25"/>
      <c r="BM103" s="25"/>
      <c r="BN103" s="25"/>
      <c r="BP103" s="25"/>
      <c r="BQ103" s="25"/>
      <c r="BR103" s="25"/>
      <c r="BS103" s="25"/>
      <c r="BT103" s="25"/>
      <c r="BU103" s="25"/>
      <c r="BX103" s="25"/>
      <c r="BY103" s="25"/>
      <c r="BZ103" s="25"/>
      <c r="CA103" s="25"/>
      <c r="CB103" s="25"/>
      <c r="CC103" s="25"/>
      <c r="CE103" s="25"/>
      <c r="CF103" s="25"/>
      <c r="CG103" s="25"/>
      <c r="CH103" s="25"/>
      <c r="CI103" s="25"/>
      <c r="CJ103" s="25"/>
    </row>
    <row r="104" spans="1:88" ht="14" customHeight="1">
      <c r="A104" s="2" t="str">
        <f t="shared" si="55"/>
        <v>Other crop: Amadumbe</v>
      </c>
      <c r="B104" s="75">
        <f t="shared" si="50"/>
        <v>1.8517532170913144E-2</v>
      </c>
      <c r="C104" s="75">
        <f t="shared" si="50"/>
        <v>-1.8517532170913144E-2</v>
      </c>
      <c r="D104" s="24">
        <f t="shared" si="56"/>
        <v>0</v>
      </c>
      <c r="H104" s="24">
        <f t="shared" si="57"/>
        <v>0.84848484848484851</v>
      </c>
      <c r="I104" s="22">
        <f t="shared" si="58"/>
        <v>0</v>
      </c>
      <c r="J104" s="24">
        <f t="shared" si="59"/>
        <v>1.2501110787989248E-2</v>
      </c>
      <c r="K104" s="22">
        <f t="shared" si="60"/>
        <v>1.8517532170913144E-2</v>
      </c>
      <c r="L104" s="22">
        <f t="shared" si="61"/>
        <v>1.5711845478350549E-2</v>
      </c>
      <c r="M104" s="227">
        <f t="shared" si="62"/>
        <v>1.2501110787989248E-2</v>
      </c>
      <c r="N104" s="229">
        <v>2</v>
      </c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S104" s="25"/>
      <c r="AT104" s="25"/>
      <c r="AU104" s="25"/>
      <c r="AV104" s="25"/>
      <c r="AW104" s="25"/>
      <c r="AX104" s="25"/>
      <c r="AZ104" s="25"/>
      <c r="BA104" s="25"/>
      <c r="BB104" s="25"/>
      <c r="BC104" s="25"/>
      <c r="BD104" s="25"/>
      <c r="BE104" s="25"/>
      <c r="BI104" s="25"/>
      <c r="BJ104" s="25"/>
      <c r="BK104" s="25"/>
      <c r="BL104" s="25"/>
      <c r="BM104" s="25"/>
      <c r="BN104" s="25"/>
      <c r="BP104" s="25"/>
      <c r="BQ104" s="25"/>
      <c r="BR104" s="25"/>
      <c r="BS104" s="25"/>
      <c r="BT104" s="25"/>
      <c r="BU104" s="25"/>
      <c r="BX104" s="25"/>
      <c r="BY104" s="25"/>
      <c r="BZ104" s="25"/>
      <c r="CA104" s="25"/>
      <c r="CB104" s="25"/>
      <c r="CC104" s="25"/>
      <c r="CE104" s="25"/>
      <c r="CF104" s="25"/>
      <c r="CG104" s="25"/>
      <c r="CH104" s="25"/>
      <c r="CI104" s="25"/>
      <c r="CJ104" s="25"/>
    </row>
    <row r="105" spans="1:88" ht="14" customHeight="1">
      <c r="A105" s="2" t="str">
        <f t="shared" si="55"/>
        <v>Water melon: no. local meas</v>
      </c>
      <c r="B105" s="75">
        <f t="shared" si="50"/>
        <v>0</v>
      </c>
      <c r="C105" s="75">
        <f t="shared" si="50"/>
        <v>0</v>
      </c>
      <c r="D105" s="24">
        <f t="shared" si="56"/>
        <v>0</v>
      </c>
      <c r="H105" s="24">
        <f t="shared" si="57"/>
        <v>0.84848484848484851</v>
      </c>
      <c r="I105" s="22">
        <f t="shared" si="58"/>
        <v>0</v>
      </c>
      <c r="J105" s="24">
        <f t="shared" si="59"/>
        <v>0</v>
      </c>
      <c r="K105" s="22">
        <f t="shared" si="60"/>
        <v>0</v>
      </c>
      <c r="L105" s="22">
        <f t="shared" si="61"/>
        <v>0</v>
      </c>
      <c r="M105" s="227">
        <f t="shared" si="62"/>
        <v>0</v>
      </c>
      <c r="N105" s="229">
        <v>2</v>
      </c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S105" s="25"/>
      <c r="AT105" s="25"/>
      <c r="AU105" s="25"/>
      <c r="AV105" s="25"/>
      <c r="AW105" s="25"/>
      <c r="AX105" s="25"/>
      <c r="AZ105" s="25"/>
      <c r="BA105" s="25"/>
      <c r="BB105" s="25"/>
      <c r="BC105" s="25"/>
      <c r="BD105" s="25"/>
      <c r="BE105" s="25"/>
      <c r="BI105" s="25"/>
      <c r="BJ105" s="25"/>
      <c r="BK105" s="25"/>
      <c r="BL105" s="25"/>
      <c r="BM105" s="25"/>
      <c r="BN105" s="25"/>
      <c r="BP105" s="25"/>
      <c r="BQ105" s="25"/>
      <c r="BR105" s="25"/>
      <c r="BS105" s="25"/>
      <c r="BT105" s="25"/>
      <c r="BU105" s="25"/>
      <c r="BX105" s="25"/>
      <c r="BY105" s="25"/>
      <c r="BZ105" s="25"/>
      <c r="CA105" s="25"/>
      <c r="CB105" s="25"/>
      <c r="CC105" s="25"/>
      <c r="CE105" s="25"/>
      <c r="CF105" s="25"/>
      <c r="CG105" s="25"/>
      <c r="CH105" s="25"/>
      <c r="CI105" s="25"/>
      <c r="CJ105" s="25"/>
    </row>
    <row r="106" spans="1:88" ht="14" customHeight="1">
      <c r="A106" s="2" t="str">
        <f t="shared" si="55"/>
        <v>FISHING -- see worksheet Data 3</v>
      </c>
      <c r="B106" s="75">
        <f t="shared" si="50"/>
        <v>0</v>
      </c>
      <c r="C106" s="75">
        <f t="shared" si="50"/>
        <v>0</v>
      </c>
      <c r="D106" s="24">
        <f t="shared" si="56"/>
        <v>0</v>
      </c>
      <c r="H106" s="24">
        <f t="shared" si="57"/>
        <v>0.7151515151515152</v>
      </c>
      <c r="I106" s="22">
        <f t="shared" si="58"/>
        <v>0</v>
      </c>
      <c r="J106" s="24">
        <f t="shared" si="59"/>
        <v>0</v>
      </c>
      <c r="K106" s="22">
        <f t="shared" si="60"/>
        <v>0</v>
      </c>
      <c r="L106" s="22">
        <f t="shared" si="61"/>
        <v>0</v>
      </c>
      <c r="M106" s="227">
        <f t="shared" si="62"/>
        <v>0</v>
      </c>
      <c r="N106" s="229">
        <v>6</v>
      </c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S106" s="25"/>
      <c r="AT106" s="25"/>
      <c r="AU106" s="25"/>
      <c r="AV106" s="25"/>
      <c r="AW106" s="25"/>
      <c r="AX106" s="25"/>
      <c r="AZ106" s="25"/>
      <c r="BA106" s="25"/>
      <c r="BB106" s="25"/>
      <c r="BC106" s="25"/>
      <c r="BD106" s="25"/>
      <c r="BE106" s="25"/>
      <c r="BI106" s="25"/>
      <c r="BJ106" s="25"/>
      <c r="BK106" s="25"/>
      <c r="BL106" s="25"/>
      <c r="BM106" s="25"/>
      <c r="BN106" s="25"/>
      <c r="BP106" s="25"/>
      <c r="BQ106" s="25"/>
      <c r="BR106" s="25"/>
      <c r="BS106" s="25"/>
      <c r="BT106" s="25"/>
      <c r="BU106" s="25"/>
      <c r="BX106" s="25"/>
      <c r="BY106" s="25"/>
      <c r="BZ106" s="25"/>
      <c r="CA106" s="25"/>
      <c r="CB106" s="25"/>
      <c r="CC106" s="25"/>
      <c r="CE106" s="25"/>
      <c r="CF106" s="25"/>
      <c r="CG106" s="25"/>
      <c r="CH106" s="25"/>
      <c r="CI106" s="25"/>
      <c r="CJ106" s="25"/>
    </row>
    <row r="107" spans="1:88" ht="14" customHeight="1">
      <c r="A107" s="2" t="str">
        <f t="shared" si="55"/>
        <v>WILD FOODS -- see worksheet Data 3</v>
      </c>
      <c r="B107" s="75">
        <f t="shared" si="50"/>
        <v>0</v>
      </c>
      <c r="C107" s="75">
        <f t="shared" si="50"/>
        <v>0</v>
      </c>
      <c r="D107" s="24">
        <f t="shared" si="56"/>
        <v>0</v>
      </c>
      <c r="H107" s="24">
        <f t="shared" si="57"/>
        <v>0.7151515151515152</v>
      </c>
      <c r="I107" s="22">
        <f t="shared" si="58"/>
        <v>0</v>
      </c>
      <c r="J107" s="24">
        <f t="shared" si="59"/>
        <v>0</v>
      </c>
      <c r="K107" s="22">
        <f t="shared" si="60"/>
        <v>0</v>
      </c>
      <c r="L107" s="22">
        <f t="shared" si="61"/>
        <v>0</v>
      </c>
      <c r="M107" s="227">
        <f t="shared" si="62"/>
        <v>0</v>
      </c>
      <c r="N107" s="229">
        <v>6</v>
      </c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S107" s="25"/>
      <c r="AT107" s="25"/>
      <c r="AU107" s="25"/>
      <c r="AV107" s="25"/>
      <c r="AW107" s="25"/>
      <c r="AX107" s="25"/>
      <c r="AZ107" s="25"/>
      <c r="BA107" s="25"/>
      <c r="BB107" s="25"/>
      <c r="BC107" s="25"/>
      <c r="BD107" s="25"/>
      <c r="BE107" s="25"/>
      <c r="BI107" s="25"/>
      <c r="BJ107" s="25"/>
      <c r="BK107" s="25"/>
      <c r="BL107" s="25"/>
      <c r="BM107" s="25"/>
      <c r="BN107" s="25"/>
      <c r="BP107" s="25"/>
      <c r="BQ107" s="25"/>
      <c r="BR107" s="25"/>
      <c r="BS107" s="25"/>
      <c r="BT107" s="25"/>
      <c r="BU107" s="25"/>
      <c r="BX107" s="25"/>
      <c r="BY107" s="25"/>
      <c r="BZ107" s="25"/>
      <c r="CA107" s="25"/>
      <c r="CB107" s="25"/>
      <c r="CC107" s="25"/>
      <c r="CE107" s="25"/>
      <c r="CF107" s="25"/>
      <c r="CG107" s="25"/>
      <c r="CH107" s="25"/>
      <c r="CI107" s="25"/>
      <c r="CJ107" s="25"/>
    </row>
    <row r="108" spans="1:88" ht="14" customHeight="1">
      <c r="A108" s="2" t="str">
        <f t="shared" si="55"/>
        <v>Agricultural casual work -- see Data2</v>
      </c>
      <c r="B108" s="75">
        <f t="shared" si="50"/>
        <v>0</v>
      </c>
      <c r="C108" s="75">
        <f t="shared" si="50"/>
        <v>0</v>
      </c>
      <c r="D108" s="24">
        <f t="shared" si="56"/>
        <v>0</v>
      </c>
      <c r="H108" s="24">
        <f t="shared" si="57"/>
        <v>0.67272727272727284</v>
      </c>
      <c r="I108" s="22">
        <f t="shared" si="58"/>
        <v>0</v>
      </c>
      <c r="J108" s="24">
        <f t="shared" si="59"/>
        <v>0</v>
      </c>
      <c r="K108" s="22">
        <f t="shared" si="60"/>
        <v>0</v>
      </c>
      <c r="L108" s="22">
        <f t="shared" si="61"/>
        <v>0</v>
      </c>
      <c r="M108" s="227">
        <f t="shared" si="62"/>
        <v>0</v>
      </c>
      <c r="N108" s="229">
        <v>7</v>
      </c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S108" s="25"/>
      <c r="AT108" s="25"/>
      <c r="AU108" s="25"/>
      <c r="AV108" s="25"/>
      <c r="AW108" s="25"/>
      <c r="AX108" s="25"/>
      <c r="AZ108" s="25"/>
      <c r="BA108" s="25"/>
      <c r="BB108" s="25"/>
      <c r="BC108" s="25"/>
      <c r="BD108" s="25"/>
      <c r="BE108" s="25"/>
      <c r="BI108" s="25"/>
      <c r="BJ108" s="25"/>
      <c r="BK108" s="25"/>
      <c r="BL108" s="25"/>
      <c r="BM108" s="25"/>
      <c r="BN108" s="25"/>
      <c r="BP108" s="25"/>
      <c r="BQ108" s="25"/>
      <c r="BR108" s="25"/>
      <c r="BS108" s="25"/>
      <c r="BT108" s="25"/>
      <c r="BU108" s="25"/>
      <c r="BX108" s="25"/>
      <c r="BY108" s="25"/>
      <c r="BZ108" s="25"/>
      <c r="CA108" s="25"/>
      <c r="CB108" s="25"/>
      <c r="CC108" s="25"/>
      <c r="CE108" s="25"/>
      <c r="CF108" s="25"/>
      <c r="CG108" s="25"/>
      <c r="CH108" s="25"/>
      <c r="CI108" s="25"/>
      <c r="CJ108" s="25"/>
    </row>
    <row r="109" spans="1:88" ht="14" customHeight="1">
      <c r="A109" s="2" t="str">
        <f t="shared" si="55"/>
        <v>Construction casual work -- see Data2</v>
      </c>
      <c r="B109" s="75">
        <f t="shared" si="50"/>
        <v>0</v>
      </c>
      <c r="C109" s="75">
        <f t="shared" si="50"/>
        <v>0</v>
      </c>
      <c r="D109" s="24">
        <f t="shared" si="56"/>
        <v>0</v>
      </c>
      <c r="H109" s="24">
        <f t="shared" si="57"/>
        <v>0.67272727272727284</v>
      </c>
      <c r="I109" s="22">
        <f t="shared" si="58"/>
        <v>0</v>
      </c>
      <c r="J109" s="24">
        <f t="shared" si="59"/>
        <v>0</v>
      </c>
      <c r="K109" s="22">
        <f t="shared" si="60"/>
        <v>0</v>
      </c>
      <c r="L109" s="22">
        <f t="shared" si="61"/>
        <v>0</v>
      </c>
      <c r="M109" s="227">
        <f t="shared" si="62"/>
        <v>0</v>
      </c>
      <c r="N109" s="229">
        <v>7</v>
      </c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S109" s="25"/>
      <c r="AT109" s="25"/>
      <c r="AU109" s="25"/>
      <c r="AV109" s="25"/>
      <c r="AW109" s="25"/>
      <c r="AX109" s="25"/>
      <c r="AZ109" s="25"/>
      <c r="BA109" s="25"/>
      <c r="BB109" s="25"/>
      <c r="BC109" s="25"/>
      <c r="BD109" s="25"/>
      <c r="BE109" s="25"/>
      <c r="BI109" s="25"/>
      <c r="BJ109" s="25"/>
      <c r="BK109" s="25"/>
      <c r="BL109" s="25"/>
      <c r="BM109" s="25"/>
      <c r="BN109" s="25"/>
      <c r="BP109" s="25"/>
      <c r="BQ109" s="25"/>
      <c r="BR109" s="25"/>
      <c r="BS109" s="25"/>
      <c r="BT109" s="25"/>
      <c r="BU109" s="25"/>
      <c r="BX109" s="25"/>
      <c r="BY109" s="25"/>
      <c r="BZ109" s="25"/>
      <c r="CA109" s="25"/>
      <c r="CB109" s="25"/>
      <c r="CC109" s="25"/>
      <c r="CE109" s="25"/>
      <c r="CF109" s="25"/>
      <c r="CG109" s="25"/>
      <c r="CH109" s="25"/>
      <c r="CI109" s="25"/>
      <c r="CJ109" s="25"/>
    </row>
    <row r="110" spans="1:88" ht="14" customHeight="1">
      <c r="A110" s="2" t="str">
        <f t="shared" si="55"/>
        <v>Domestic casual work -- see Data2</v>
      </c>
      <c r="B110" s="75">
        <f t="shared" si="50"/>
        <v>0</v>
      </c>
      <c r="C110" s="75">
        <f t="shared" si="50"/>
        <v>0</v>
      </c>
      <c r="D110" s="24">
        <f t="shared" si="56"/>
        <v>0</v>
      </c>
      <c r="H110" s="24">
        <f t="shared" si="57"/>
        <v>0.67272727272727284</v>
      </c>
      <c r="I110" s="22">
        <f t="shared" si="58"/>
        <v>0</v>
      </c>
      <c r="J110" s="24">
        <f t="shared" si="59"/>
        <v>0</v>
      </c>
      <c r="K110" s="22">
        <f t="shared" si="60"/>
        <v>0</v>
      </c>
      <c r="L110" s="22">
        <f t="shared" si="61"/>
        <v>0</v>
      </c>
      <c r="M110" s="227">
        <f t="shared" si="62"/>
        <v>0</v>
      </c>
      <c r="N110" s="229">
        <v>7</v>
      </c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S110" s="25"/>
      <c r="AT110" s="25"/>
      <c r="AU110" s="25"/>
      <c r="AV110" s="25"/>
      <c r="AW110" s="25"/>
      <c r="AX110" s="25"/>
      <c r="AZ110" s="25"/>
      <c r="BA110" s="25"/>
      <c r="BB110" s="25"/>
      <c r="BC110" s="25"/>
      <c r="BD110" s="25"/>
      <c r="BE110" s="25"/>
      <c r="BI110" s="25"/>
      <c r="BJ110" s="25"/>
      <c r="BK110" s="25"/>
      <c r="BL110" s="25"/>
      <c r="BM110" s="25"/>
      <c r="BN110" s="25"/>
      <c r="BP110" s="25"/>
      <c r="BQ110" s="25"/>
      <c r="BR110" s="25"/>
      <c r="BS110" s="25"/>
      <c r="BT110" s="25"/>
      <c r="BU110" s="25"/>
      <c r="BX110" s="25"/>
      <c r="BY110" s="25"/>
      <c r="BZ110" s="25"/>
      <c r="CA110" s="25"/>
      <c r="CB110" s="25"/>
      <c r="CC110" s="25"/>
      <c r="CE110" s="25"/>
      <c r="CF110" s="25"/>
      <c r="CG110" s="25"/>
      <c r="CH110" s="25"/>
      <c r="CI110" s="25"/>
      <c r="CJ110" s="25"/>
    </row>
    <row r="111" spans="1:88" ht="14" customHeight="1">
      <c r="A111" s="2" t="str">
        <f t="shared" si="55"/>
        <v>Labour migration(formal employment): no. people per HH</v>
      </c>
      <c r="B111" s="75">
        <f t="shared" si="50"/>
        <v>1.6110252988694436</v>
      </c>
      <c r="C111" s="75">
        <f t="shared" si="50"/>
        <v>0</v>
      </c>
      <c r="D111" s="24">
        <f t="shared" si="56"/>
        <v>1.6110252988694436</v>
      </c>
      <c r="H111" s="24">
        <f t="shared" si="57"/>
        <v>0.57212121212121214</v>
      </c>
      <c r="I111" s="22">
        <f t="shared" si="58"/>
        <v>0.92170174674712413</v>
      </c>
      <c r="J111" s="24">
        <f t="shared" si="59"/>
        <v>0.92170174674712413</v>
      </c>
      <c r="K111" s="22">
        <f t="shared" si="60"/>
        <v>1.6110252988694436</v>
      </c>
      <c r="L111" s="22">
        <f t="shared" si="61"/>
        <v>0.92170174674712413</v>
      </c>
      <c r="M111" s="227">
        <f t="shared" si="62"/>
        <v>0.92170174674712413</v>
      </c>
      <c r="N111" s="229">
        <v>8</v>
      </c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S111" s="25"/>
      <c r="AT111" s="25"/>
      <c r="AU111" s="25"/>
      <c r="AV111" s="25"/>
      <c r="AW111" s="25"/>
      <c r="AX111" s="25"/>
      <c r="AZ111" s="25"/>
      <c r="BA111" s="25"/>
      <c r="BB111" s="25"/>
      <c r="BC111" s="25"/>
      <c r="BD111" s="25"/>
      <c r="BE111" s="25"/>
      <c r="BI111" s="25"/>
      <c r="BJ111" s="25"/>
      <c r="BK111" s="25"/>
      <c r="BL111" s="25"/>
      <c r="BM111" s="25"/>
      <c r="BN111" s="25"/>
      <c r="BP111" s="25"/>
      <c r="BQ111" s="25"/>
      <c r="BR111" s="25"/>
      <c r="BS111" s="25"/>
      <c r="BT111" s="25"/>
      <c r="BU111" s="25"/>
      <c r="BX111" s="25"/>
      <c r="BY111" s="25"/>
      <c r="BZ111" s="25"/>
      <c r="CA111" s="25"/>
      <c r="CB111" s="25"/>
      <c r="CC111" s="25"/>
      <c r="CE111" s="25"/>
      <c r="CF111" s="25"/>
      <c r="CG111" s="25"/>
      <c r="CH111" s="25"/>
      <c r="CI111" s="25"/>
      <c r="CJ111" s="25"/>
    </row>
    <row r="112" spans="1:88" ht="14" customHeight="1">
      <c r="A112" s="2" t="str">
        <f t="shared" si="55"/>
        <v>Formal Employment (e.g. teachers, salaried staff, etc.)</v>
      </c>
      <c r="B112" s="75">
        <f t="shared" si="50"/>
        <v>1.3332623163057464</v>
      </c>
      <c r="C112" s="75">
        <f t="shared" si="50"/>
        <v>0</v>
      </c>
      <c r="D112" s="24">
        <f t="shared" si="56"/>
        <v>1.3332623163057464</v>
      </c>
      <c r="H112" s="24">
        <f t="shared" si="57"/>
        <v>0.57212121212121214</v>
      </c>
      <c r="I112" s="22">
        <f t="shared" si="58"/>
        <v>0.76278765248037861</v>
      </c>
      <c r="J112" s="24">
        <f t="shared" si="59"/>
        <v>0.76278765248037861</v>
      </c>
      <c r="K112" s="22">
        <f t="shared" si="60"/>
        <v>1.3332623163057464</v>
      </c>
      <c r="L112" s="22">
        <f t="shared" si="61"/>
        <v>0.76278765248037861</v>
      </c>
      <c r="M112" s="227">
        <f t="shared" si="62"/>
        <v>0.76278765248037861</v>
      </c>
      <c r="N112" s="229">
        <v>8</v>
      </c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S112" s="25"/>
      <c r="AT112" s="25"/>
      <c r="AU112" s="25"/>
      <c r="AV112" s="25"/>
      <c r="AW112" s="25"/>
      <c r="AX112" s="25"/>
      <c r="AZ112" s="25"/>
      <c r="BA112" s="25"/>
      <c r="BB112" s="25"/>
      <c r="BC112" s="25"/>
      <c r="BD112" s="25"/>
      <c r="BE112" s="25"/>
      <c r="BI112" s="25"/>
      <c r="BJ112" s="25"/>
      <c r="BK112" s="25"/>
      <c r="BL112" s="25"/>
      <c r="BM112" s="25"/>
      <c r="BN112" s="25"/>
      <c r="BP112" s="25"/>
      <c r="BQ112" s="25"/>
      <c r="BR112" s="25"/>
      <c r="BS112" s="25"/>
      <c r="BT112" s="25"/>
      <c r="BU112" s="25"/>
      <c r="BX112" s="25"/>
      <c r="BY112" s="25"/>
      <c r="BZ112" s="25"/>
      <c r="CA112" s="25"/>
      <c r="CB112" s="25"/>
      <c r="CC112" s="25"/>
      <c r="CE112" s="25"/>
      <c r="CF112" s="25"/>
      <c r="CG112" s="25"/>
      <c r="CH112" s="25"/>
      <c r="CI112" s="25"/>
      <c r="CJ112" s="25"/>
    </row>
    <row r="113" spans="1:88" ht="14" customHeight="1">
      <c r="A113" s="2" t="str">
        <f t="shared" si="55"/>
        <v>Self-employment -- see Data2</v>
      </c>
      <c r="B113" s="75">
        <f t="shared" si="50"/>
        <v>4.4442077210191548E-2</v>
      </c>
      <c r="C113" s="75">
        <f t="shared" si="50"/>
        <v>8.8884154420383089E-3</v>
      </c>
      <c r="D113" s="24">
        <f t="shared" si="56"/>
        <v>5.3330492652229861E-2</v>
      </c>
      <c r="H113" s="24">
        <f t="shared" si="57"/>
        <v>0.48484848484848486</v>
      </c>
      <c r="I113" s="22">
        <f t="shared" si="58"/>
        <v>2.5857208558656902E-2</v>
      </c>
      <c r="J113" s="24">
        <f t="shared" si="59"/>
        <v>2.242833245680842E-2</v>
      </c>
      <c r="K113" s="22">
        <f t="shared" si="60"/>
        <v>4.4442077210191548E-2</v>
      </c>
      <c r="L113" s="22">
        <f t="shared" si="61"/>
        <v>2.154767379888075E-2</v>
      </c>
      <c r="M113" s="227">
        <f t="shared" si="62"/>
        <v>2.242833245680842E-2</v>
      </c>
      <c r="N113" s="229">
        <v>10</v>
      </c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S113" s="25"/>
      <c r="AT113" s="25"/>
      <c r="AU113" s="25"/>
      <c r="AV113" s="25"/>
      <c r="AW113" s="25"/>
      <c r="AX113" s="25"/>
      <c r="AZ113" s="25"/>
      <c r="BA113" s="25"/>
      <c r="BB113" s="25"/>
      <c r="BC113" s="25"/>
      <c r="BD113" s="25"/>
      <c r="BE113" s="25"/>
      <c r="BI113" s="25"/>
      <c r="BJ113" s="25"/>
      <c r="BK113" s="25"/>
      <c r="BL113" s="25"/>
      <c r="BM113" s="25"/>
      <c r="BN113" s="25"/>
      <c r="BP113" s="25"/>
      <c r="BQ113" s="25"/>
      <c r="BR113" s="25"/>
      <c r="BS113" s="25"/>
      <c r="BT113" s="25"/>
      <c r="BU113" s="25"/>
      <c r="BX113" s="25"/>
      <c r="BY113" s="25"/>
      <c r="BZ113" s="25"/>
      <c r="CA113" s="25"/>
      <c r="CB113" s="25"/>
      <c r="CC113" s="25"/>
      <c r="CE113" s="25"/>
      <c r="CF113" s="25"/>
      <c r="CG113" s="25"/>
      <c r="CH113" s="25"/>
      <c r="CI113" s="25"/>
      <c r="CJ113" s="25"/>
    </row>
    <row r="114" spans="1:88" ht="14" customHeight="1">
      <c r="A114" s="2" t="str">
        <f t="shared" si="55"/>
        <v>Small business -- see Data2</v>
      </c>
      <c r="B114" s="75">
        <f t="shared" si="50"/>
        <v>3.9849729231805084</v>
      </c>
      <c r="C114" s="75">
        <f t="shared" si="50"/>
        <v>0</v>
      </c>
      <c r="D114" s="24">
        <f t="shared" si="56"/>
        <v>3.9849729231805084</v>
      </c>
      <c r="H114" s="24">
        <f t="shared" si="57"/>
        <v>0.57212121212121214</v>
      </c>
      <c r="I114" s="22">
        <f t="shared" si="58"/>
        <v>2.2798875390802427</v>
      </c>
      <c r="J114" s="24">
        <f t="shared" si="59"/>
        <v>2.2798875390802427</v>
      </c>
      <c r="K114" s="22">
        <f t="shared" si="60"/>
        <v>3.9849729231805084</v>
      </c>
      <c r="L114" s="22">
        <f t="shared" si="61"/>
        <v>2.2798875390802427</v>
      </c>
      <c r="M114" s="227">
        <f t="shared" si="62"/>
        <v>2.2798875390802427</v>
      </c>
      <c r="N114" s="229">
        <v>11</v>
      </c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S114" s="25"/>
      <c r="AT114" s="25"/>
      <c r="AU114" s="25"/>
      <c r="AV114" s="25"/>
      <c r="AW114" s="25"/>
      <c r="AX114" s="25"/>
      <c r="AZ114" s="25"/>
      <c r="BA114" s="25"/>
      <c r="BB114" s="25"/>
      <c r="BC114" s="25"/>
      <c r="BD114" s="25"/>
      <c r="BE114" s="25"/>
      <c r="BI114" s="25"/>
      <c r="BJ114" s="25"/>
      <c r="BK114" s="25"/>
      <c r="BL114" s="25"/>
      <c r="BM114" s="25"/>
      <c r="BN114" s="25"/>
      <c r="BP114" s="25"/>
      <c r="BQ114" s="25"/>
      <c r="BR114" s="25"/>
      <c r="BS114" s="25"/>
      <c r="BT114" s="25"/>
      <c r="BU114" s="25"/>
      <c r="BX114" s="25"/>
      <c r="BY114" s="25"/>
      <c r="BZ114" s="25"/>
      <c r="CA114" s="25"/>
      <c r="CB114" s="25"/>
      <c r="CC114" s="25"/>
      <c r="CE114" s="25"/>
      <c r="CF114" s="25"/>
      <c r="CG114" s="25"/>
      <c r="CH114" s="25"/>
      <c r="CI114" s="25"/>
      <c r="CJ114" s="25"/>
    </row>
    <row r="115" spans="1:88" ht="14" customHeight="1">
      <c r="A115" s="2" t="str">
        <f t="shared" si="55"/>
        <v>Social development -- see Data2</v>
      </c>
      <c r="B115" s="75">
        <f t="shared" si="50"/>
        <v>0.87995312876179266</v>
      </c>
      <c r="C115" s="75">
        <f t="shared" si="50"/>
        <v>0</v>
      </c>
      <c r="D115" s="24">
        <f t="shared" si="56"/>
        <v>0.87995312876179266</v>
      </c>
      <c r="H115" s="24">
        <f t="shared" si="57"/>
        <v>0</v>
      </c>
      <c r="I115" s="22">
        <f t="shared" si="58"/>
        <v>0</v>
      </c>
      <c r="J115" s="24">
        <f t="shared" si="59"/>
        <v>0</v>
      </c>
      <c r="K115" s="22">
        <f t="shared" si="60"/>
        <v>0.87995312876179266</v>
      </c>
      <c r="L115" s="22">
        <f t="shared" si="61"/>
        <v>0</v>
      </c>
      <c r="M115" s="227">
        <f t="shared" si="62"/>
        <v>0</v>
      </c>
      <c r="N115" s="229">
        <v>14</v>
      </c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S115" s="25"/>
      <c r="AT115" s="25"/>
      <c r="AU115" s="25"/>
      <c r="AV115" s="25"/>
      <c r="AW115" s="25"/>
      <c r="AX115" s="25"/>
      <c r="AZ115" s="25"/>
      <c r="BA115" s="25"/>
      <c r="BB115" s="25"/>
      <c r="BC115" s="25"/>
      <c r="BD115" s="25"/>
      <c r="BE115" s="25"/>
      <c r="BI115" s="25"/>
      <c r="BJ115" s="25"/>
      <c r="BK115" s="25"/>
      <c r="BL115" s="25"/>
      <c r="BM115" s="25"/>
      <c r="BN115" s="25"/>
      <c r="BP115" s="25"/>
      <c r="BQ115" s="25"/>
      <c r="BR115" s="25"/>
      <c r="BS115" s="25"/>
      <c r="BT115" s="25"/>
      <c r="BU115" s="25"/>
      <c r="BX115" s="25"/>
      <c r="BY115" s="25"/>
      <c r="BZ115" s="25"/>
      <c r="CA115" s="25"/>
      <c r="CB115" s="25"/>
      <c r="CC115" s="25"/>
      <c r="CE115" s="25"/>
      <c r="CF115" s="25"/>
      <c r="CG115" s="25"/>
      <c r="CH115" s="25"/>
      <c r="CI115" s="25"/>
      <c r="CJ115" s="25"/>
    </row>
    <row r="116" spans="1:88" ht="14" customHeight="1">
      <c r="A116" s="2" t="str">
        <f t="shared" si="55"/>
        <v>Public works -- see Data2</v>
      </c>
      <c r="B116" s="75">
        <f t="shared" si="50"/>
        <v>0.14814025736730516</v>
      </c>
      <c r="C116" s="75">
        <f t="shared" si="50"/>
        <v>0</v>
      </c>
      <c r="D116" s="24">
        <f t="shared" si="56"/>
        <v>0.14814025736730516</v>
      </c>
      <c r="H116" s="24">
        <f t="shared" si="57"/>
        <v>0.7151515151515152</v>
      </c>
      <c r="I116" s="22">
        <f t="shared" si="58"/>
        <v>0.10594272951116369</v>
      </c>
      <c r="J116" s="24">
        <f t="shared" si="59"/>
        <v>0.10594272951116369</v>
      </c>
      <c r="K116" s="22">
        <f t="shared" si="60"/>
        <v>0.14814025736730516</v>
      </c>
      <c r="L116" s="22">
        <f t="shared" si="61"/>
        <v>0.10594272951116369</v>
      </c>
      <c r="M116" s="227">
        <f t="shared" si="62"/>
        <v>0.10594272951116369</v>
      </c>
      <c r="N116" s="229">
        <v>9</v>
      </c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S116" s="25"/>
      <c r="AT116" s="25"/>
      <c r="AU116" s="25"/>
      <c r="AV116" s="25"/>
      <c r="AW116" s="25"/>
      <c r="AX116" s="25"/>
      <c r="AZ116" s="25"/>
      <c r="BA116" s="25"/>
      <c r="BB116" s="25"/>
      <c r="BC116" s="25"/>
      <c r="BD116" s="25"/>
      <c r="BE116" s="25"/>
      <c r="BI116" s="25"/>
      <c r="BJ116" s="25"/>
      <c r="BK116" s="25"/>
      <c r="BL116" s="25"/>
      <c r="BM116" s="25"/>
      <c r="BN116" s="25"/>
      <c r="BP116" s="25"/>
      <c r="BQ116" s="25"/>
      <c r="BR116" s="25"/>
      <c r="BS116" s="25"/>
      <c r="BT116" s="25"/>
      <c r="BU116" s="25"/>
      <c r="BX116" s="25"/>
      <c r="BY116" s="25"/>
      <c r="BZ116" s="25"/>
      <c r="CA116" s="25"/>
      <c r="CB116" s="25"/>
      <c r="CC116" s="25"/>
      <c r="CE116" s="25"/>
      <c r="CF116" s="25"/>
      <c r="CG116" s="25"/>
      <c r="CH116" s="25"/>
      <c r="CI116" s="25"/>
      <c r="CJ116" s="25"/>
    </row>
    <row r="117" spans="1:88" ht="14" customHeight="1">
      <c r="A117" s="2" t="str">
        <f t="shared" si="55"/>
        <v>Other income: e.g. Credit (cotton loans)</v>
      </c>
      <c r="B117" s="75">
        <f t="shared" si="50"/>
        <v>0.31109454047134083</v>
      </c>
      <c r="C117" s="75">
        <f t="shared" si="50"/>
        <v>0</v>
      </c>
      <c r="D117" s="24">
        <f t="shared" si="56"/>
        <v>0.31109454047134083</v>
      </c>
      <c r="H117" s="24">
        <f t="shared" si="57"/>
        <v>0.60606060606060608</v>
      </c>
      <c r="I117" s="22">
        <f t="shared" si="58"/>
        <v>0.18854214574020656</v>
      </c>
      <c r="J117" s="24">
        <f t="shared" si="59"/>
        <v>0.18854214574020656</v>
      </c>
      <c r="K117" s="22">
        <f t="shared" si="60"/>
        <v>0.31109454047134083</v>
      </c>
      <c r="L117" s="22">
        <f t="shared" si="61"/>
        <v>0.18854214574020656</v>
      </c>
      <c r="M117" s="227">
        <f t="shared" si="62"/>
        <v>0.18854214574020656</v>
      </c>
      <c r="N117" s="229">
        <v>16</v>
      </c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S117" s="25"/>
      <c r="AT117" s="25"/>
      <c r="AU117" s="25"/>
      <c r="AV117" s="25"/>
      <c r="AW117" s="25"/>
      <c r="AX117" s="25"/>
      <c r="AZ117" s="25"/>
      <c r="BA117" s="25"/>
      <c r="BB117" s="25"/>
      <c r="BC117" s="25"/>
      <c r="BD117" s="25"/>
      <c r="BE117" s="25"/>
      <c r="BI117" s="25"/>
      <c r="BJ117" s="25"/>
      <c r="BK117" s="25"/>
      <c r="BL117" s="25"/>
      <c r="BM117" s="25"/>
      <c r="BN117" s="25"/>
      <c r="BP117" s="25"/>
      <c r="BQ117" s="25"/>
      <c r="BR117" s="25"/>
      <c r="BS117" s="25"/>
      <c r="BT117" s="25"/>
      <c r="BU117" s="25"/>
      <c r="BX117" s="25"/>
      <c r="BY117" s="25"/>
      <c r="BZ117" s="25"/>
      <c r="CA117" s="25"/>
      <c r="CB117" s="25"/>
      <c r="CC117" s="25"/>
      <c r="CE117" s="25"/>
      <c r="CF117" s="25"/>
      <c r="CG117" s="25"/>
      <c r="CH117" s="25"/>
      <c r="CI117" s="25"/>
      <c r="CJ117" s="25"/>
    </row>
    <row r="118" spans="1:88" ht="14" customHeight="1">
      <c r="A118" s="2" t="str">
        <f t="shared" si="55"/>
        <v>Remittances: no. times per year</v>
      </c>
      <c r="B118" s="75">
        <f t="shared" si="50"/>
        <v>0.16295428310403567</v>
      </c>
      <c r="C118" s="75">
        <f t="shared" si="50"/>
        <v>0</v>
      </c>
      <c r="D118" s="24">
        <f t="shared" si="56"/>
        <v>0.16295428310403567</v>
      </c>
      <c r="H118" s="24">
        <f t="shared" si="57"/>
        <v>0.67272727272727284</v>
      </c>
      <c r="I118" s="22">
        <f t="shared" si="58"/>
        <v>0.10962379045180584</v>
      </c>
      <c r="J118" s="24">
        <f t="shared" si="59"/>
        <v>0.10962379045180584</v>
      </c>
      <c r="K118" s="22">
        <f t="shared" si="60"/>
        <v>0.16295428310403567</v>
      </c>
      <c r="L118" s="22">
        <f t="shared" si="61"/>
        <v>0.10962379045180584</v>
      </c>
      <c r="M118" s="227">
        <f t="shared" si="62"/>
        <v>0.10962379045180584</v>
      </c>
      <c r="N118" s="229">
        <v>15</v>
      </c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S118" s="25"/>
      <c r="AT118" s="25"/>
      <c r="AU118" s="25"/>
      <c r="AV118" s="25"/>
      <c r="AW118" s="25"/>
      <c r="AX118" s="25"/>
      <c r="AZ118" s="25"/>
      <c r="BA118" s="25"/>
      <c r="BB118" s="25"/>
      <c r="BC118" s="25"/>
      <c r="BD118" s="25"/>
      <c r="BE118" s="25"/>
      <c r="BI118" s="25"/>
      <c r="BJ118" s="25"/>
      <c r="BK118" s="25"/>
      <c r="BL118" s="25"/>
      <c r="BM118" s="25"/>
      <c r="BN118" s="25"/>
      <c r="BP118" s="25"/>
      <c r="BQ118" s="25"/>
      <c r="BR118" s="25"/>
      <c r="BS118" s="25"/>
      <c r="BT118" s="25"/>
      <c r="BU118" s="25"/>
      <c r="BX118" s="25"/>
      <c r="BY118" s="25"/>
      <c r="BZ118" s="25"/>
      <c r="CA118" s="25"/>
      <c r="CB118" s="25"/>
      <c r="CC118" s="25"/>
      <c r="CE118" s="25"/>
      <c r="CF118" s="25"/>
      <c r="CG118" s="25"/>
      <c r="CH118" s="25"/>
      <c r="CI118" s="25"/>
      <c r="CJ118" s="25"/>
    </row>
    <row r="119" spans="1:88" ht="14" customHeight="1">
      <c r="A119" s="2" t="s">
        <v>32</v>
      </c>
      <c r="B119" s="22">
        <f>SUM(B91:B118)</f>
        <v>11.136591987844533</v>
      </c>
      <c r="C119" s="22">
        <f>SUM(C91:C118)</f>
        <v>-0.23087659110694514</v>
      </c>
      <c r="D119" s="24">
        <f>SUM(D91:D118)</f>
        <v>10.905715396737587</v>
      </c>
      <c r="E119" s="22"/>
      <c r="F119" s="2"/>
      <c r="G119" s="2"/>
      <c r="H119" s="31"/>
      <c r="I119" s="22">
        <f>SUM(I91:I118)</f>
        <v>6.0618607252212389</v>
      </c>
      <c r="J119" s="24">
        <f>SUM(J91:J118)</f>
        <v>6.2905221858252078</v>
      </c>
      <c r="K119" s="22">
        <f>SUM(K91:K118)</f>
        <v>11.136591987844533</v>
      </c>
      <c r="L119" s="22">
        <f>SUM(L91:L118)</f>
        <v>6.3492506697464304</v>
      </c>
      <c r="M119" s="57">
        <f t="shared" si="49"/>
        <v>6.2905221858252078</v>
      </c>
      <c r="N119" s="58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S119" s="25"/>
      <c r="AT119" s="25"/>
      <c r="AU119" s="25"/>
      <c r="AV119" s="25"/>
      <c r="AW119" s="25"/>
      <c r="AX119" s="25"/>
      <c r="AZ119" s="25"/>
      <c r="BA119" s="25"/>
      <c r="BB119" s="25"/>
      <c r="BC119" s="25"/>
      <c r="BD119" s="25"/>
      <c r="BE119" s="25"/>
      <c r="BI119" s="25"/>
      <c r="BJ119" s="25"/>
      <c r="BK119" s="25"/>
      <c r="BL119" s="25"/>
      <c r="BM119" s="25"/>
      <c r="BN119" s="25"/>
      <c r="BP119" s="25"/>
      <c r="BQ119" s="25"/>
      <c r="BR119" s="25"/>
      <c r="BS119" s="25"/>
      <c r="BT119" s="25"/>
      <c r="BU119" s="25"/>
      <c r="BX119" s="25"/>
      <c r="BY119" s="25"/>
      <c r="BZ119" s="25"/>
      <c r="CA119" s="25"/>
      <c r="CB119" s="25"/>
      <c r="CC119" s="25"/>
      <c r="CE119" s="25"/>
      <c r="CF119" s="25"/>
      <c r="CG119" s="25"/>
      <c r="CH119" s="25"/>
      <c r="CI119" s="25"/>
      <c r="CJ119" s="25"/>
    </row>
    <row r="120" spans="1:88" ht="14" customHeight="1">
      <c r="A120" s="83"/>
      <c r="B120" s="83"/>
      <c r="C120" s="83"/>
      <c r="D120" s="10"/>
      <c r="E120" s="11"/>
      <c r="F120" s="11"/>
      <c r="G120" s="11"/>
      <c r="H120" s="10"/>
      <c r="I120" s="11"/>
      <c r="J120" s="62"/>
      <c r="K120" s="14"/>
      <c r="L120" s="11"/>
      <c r="M120" s="63"/>
      <c r="N120" s="58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S120" s="25"/>
      <c r="AT120" s="25"/>
      <c r="AU120" s="25"/>
      <c r="AV120" s="25"/>
      <c r="AW120" s="25"/>
      <c r="AX120" s="25"/>
      <c r="AZ120" s="25"/>
      <c r="BA120" s="25"/>
      <c r="BB120" s="25"/>
      <c r="BC120" s="25"/>
      <c r="BD120" s="25"/>
      <c r="BE120" s="25"/>
      <c r="BI120" s="25"/>
      <c r="BJ120" s="25"/>
      <c r="BK120" s="25"/>
      <c r="BL120" s="25"/>
      <c r="BM120" s="25"/>
      <c r="BN120" s="25"/>
      <c r="BP120" s="25"/>
      <c r="BQ120" s="25"/>
      <c r="BR120" s="25"/>
      <c r="BS120" s="25"/>
      <c r="BT120" s="25"/>
      <c r="BU120" s="25"/>
      <c r="BX120" s="25"/>
      <c r="BY120" s="25"/>
      <c r="BZ120" s="25"/>
      <c r="CA120" s="25"/>
      <c r="CB120" s="25"/>
      <c r="CC120" s="25"/>
      <c r="CE120" s="25"/>
      <c r="CF120" s="25"/>
      <c r="CG120" s="25"/>
      <c r="CH120" s="25"/>
      <c r="CI120" s="25"/>
      <c r="CJ120" s="25"/>
    </row>
    <row r="121" spans="1:88">
      <c r="A121" s="73" t="str">
        <f>A67</f>
        <v>Expenditure : Middle HHs</v>
      </c>
      <c r="B121" s="2"/>
      <c r="C121" s="2"/>
      <c r="D121" s="31"/>
      <c r="E121" s="2"/>
      <c r="F121" s="2"/>
      <c r="G121" s="2"/>
      <c r="H121" s="31"/>
      <c r="I121" s="22"/>
      <c r="J121" s="18"/>
      <c r="L121" s="2"/>
      <c r="M121" s="57"/>
      <c r="N121" s="58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2"/>
      <c r="AC121" s="2"/>
      <c r="AD121" s="2"/>
      <c r="AE121" s="2"/>
      <c r="AF121" s="2"/>
      <c r="AG121" s="2"/>
      <c r="AM121" s="21"/>
      <c r="AN121" s="21"/>
      <c r="AO121" s="21"/>
      <c r="AV121" s="21"/>
      <c r="AW121" s="21"/>
      <c r="AX121" s="21"/>
      <c r="BC121" s="21"/>
      <c r="BD121" s="21"/>
      <c r="BE121" s="21"/>
      <c r="BL121" s="21"/>
      <c r="BM121" s="21"/>
      <c r="BN121" s="21"/>
      <c r="BS121" s="21"/>
      <c r="BT121" s="21"/>
      <c r="BU121" s="21"/>
      <c r="CA121" s="21"/>
      <c r="CB121" s="21"/>
      <c r="CC121" s="21"/>
      <c r="CH121" s="21"/>
      <c r="CI121" s="21"/>
      <c r="CJ121" s="21"/>
    </row>
    <row r="122" spans="1:88" ht="14" customHeight="1">
      <c r="A122" s="84"/>
      <c r="B122" s="19" t="s">
        <v>7</v>
      </c>
      <c r="C122" s="2"/>
      <c r="D122" s="16"/>
      <c r="H122" s="16" t="s">
        <v>12</v>
      </c>
      <c r="I122" s="19" t="s">
        <v>13</v>
      </c>
      <c r="J122" s="16" t="s">
        <v>14</v>
      </c>
      <c r="K122" s="19" t="s">
        <v>7</v>
      </c>
      <c r="L122" s="19" t="s">
        <v>15</v>
      </c>
      <c r="M122" s="57" t="str">
        <f t="shared" ref="M122:M130" si="63">(J122)</f>
        <v>Curr.</v>
      </c>
      <c r="N122" s="58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S122" s="25"/>
      <c r="AT122" s="25"/>
      <c r="AU122" s="25"/>
      <c r="AV122" s="25"/>
      <c r="AW122" s="25"/>
      <c r="AX122" s="25"/>
      <c r="AZ122" s="25"/>
      <c r="BA122" s="25"/>
      <c r="BB122" s="25"/>
      <c r="BC122" s="25"/>
      <c r="BD122" s="25"/>
      <c r="BE122" s="25"/>
      <c r="BI122" s="25"/>
      <c r="BJ122" s="25"/>
      <c r="BK122" s="25"/>
      <c r="BL122" s="25"/>
      <c r="BM122" s="25"/>
      <c r="BN122" s="25"/>
      <c r="BP122" s="25"/>
      <c r="BQ122" s="25"/>
      <c r="BR122" s="25"/>
      <c r="BS122" s="25"/>
      <c r="BT122" s="25"/>
      <c r="BU122" s="25"/>
      <c r="BX122" s="25"/>
      <c r="BY122" s="25"/>
      <c r="BZ122" s="25"/>
      <c r="CA122" s="25"/>
      <c r="CB122" s="25"/>
      <c r="CC122" s="25"/>
      <c r="CE122" s="25"/>
      <c r="CF122" s="25"/>
      <c r="CG122" s="25"/>
      <c r="CH122" s="25"/>
      <c r="CI122" s="25"/>
      <c r="CJ122" s="25"/>
    </row>
    <row r="123" spans="1:88" ht="14" customHeight="1">
      <c r="A123" s="2" t="s">
        <v>44</v>
      </c>
      <c r="B123" s="19" t="s">
        <v>35</v>
      </c>
      <c r="C123" s="2"/>
      <c r="D123" s="31"/>
      <c r="H123" s="16" t="s">
        <v>18</v>
      </c>
      <c r="I123" s="19" t="s">
        <v>35</v>
      </c>
      <c r="J123" s="16" t="s">
        <v>35</v>
      </c>
      <c r="K123" s="19" t="s">
        <v>35</v>
      </c>
      <c r="L123" s="19" t="s">
        <v>19</v>
      </c>
      <c r="M123" s="57" t="str">
        <f t="shared" si="63"/>
        <v>Expend</v>
      </c>
      <c r="N123" s="58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2"/>
      <c r="AC123" s="2"/>
      <c r="AD123" s="2"/>
      <c r="AE123" s="2"/>
      <c r="AF123" s="2"/>
      <c r="AG123" s="2"/>
    </row>
    <row r="124" spans="1:88" ht="14" customHeight="1">
      <c r="A124" s="110" t="s">
        <v>131</v>
      </c>
      <c r="B124" s="75">
        <f>B70/B83</f>
        <v>1.8967898799892267</v>
      </c>
      <c r="C124" s="2"/>
      <c r="D124" s="24"/>
      <c r="H124" s="24">
        <f>(E70*F70/G$37*F$7/F$9)</f>
        <v>0.84848484848484851</v>
      </c>
      <c r="I124" s="29">
        <f>IF(SUMPRODUCT($B$124:$B124,$H$124:$H124)&lt;I$119,($B124*$H124),I$119)</f>
        <v>1.609397473930253</v>
      </c>
      <c r="J124" s="237">
        <f>IF(SUMPRODUCT($B$124:$B124,$H$124:$H124)&lt;J$119,($B124*$H124),J$119)</f>
        <v>1.609397473930253</v>
      </c>
      <c r="K124" s="22">
        <f>(B124)</f>
        <v>1.8967898799892267</v>
      </c>
      <c r="L124" s="29">
        <f>IF(SUMPRODUCT($B$124:$B124,$H$124:$H124)&lt;L$119,($B124*$H124),L$119)</f>
        <v>1.609397473930253</v>
      </c>
      <c r="M124" s="57">
        <f t="shared" si="63"/>
        <v>1.609397473930253</v>
      </c>
      <c r="N124" s="58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2"/>
      <c r="AC124" s="2"/>
      <c r="AD124" s="2"/>
      <c r="AE124" s="2"/>
      <c r="AF124" s="2"/>
      <c r="AG124" s="2"/>
    </row>
    <row r="125" spans="1:88" ht="14" customHeight="1">
      <c r="A125" s="110" t="s">
        <v>132</v>
      </c>
      <c r="B125" s="60">
        <f>B71/B$83</f>
        <v>1.6014455622263581</v>
      </c>
      <c r="C125" s="2"/>
      <c r="D125" s="24"/>
      <c r="H125" s="24">
        <f>(E71*F71/G$37*F$7/F$9)</f>
        <v>0.7151515151515152</v>
      </c>
      <c r="I125" s="29">
        <f>IF(SUMPRODUCT($B$124:$B125,$H$124:$H125)&lt;I$119,($B125*$H125),IF(SUMPRODUCT($B$124:$B124,$H$124:$H124)&lt;I$119,I$119-SUMPRODUCT($B$124:$B124,$H$124:$H124),0))</f>
        <v>1.1452762202588502</v>
      </c>
      <c r="J125" s="237">
        <f>IF(SUMPRODUCT($B$124:$B125,$H$124:$H125)&lt;J$119,($B125*$H125),IF(SUMPRODUCT($B$124:$B124,$H$124:$H124)&lt;J$119,J$119-SUMPRODUCT($B$124:$B124,$H$124:$H124),0))</f>
        <v>1.1452762202588502</v>
      </c>
      <c r="K125" s="22">
        <f t="shared" ref="K125:K126" si="64">(B125)</f>
        <v>1.6014455622263581</v>
      </c>
      <c r="L125" s="29">
        <f>IF(SUMPRODUCT($B$124:$B125,$H$124:$H125)&lt;L$119,($B125*$H125),IF(SUMPRODUCT($B$124:$B124,$H$124:$H124)&lt;L$119,L$119-SUMPRODUCT($B$124:$B124,$H$124:$H124),0))</f>
        <v>1.1452762202588502</v>
      </c>
      <c r="M125" s="57">
        <f t="shared" ref="M125:M126" si="65">(J125)</f>
        <v>1.1452762202588502</v>
      </c>
      <c r="N125" s="58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2"/>
      <c r="AC125" s="2"/>
      <c r="AD125" s="2"/>
      <c r="AE125" s="2"/>
      <c r="AF125" s="2"/>
      <c r="AG125" s="2"/>
    </row>
    <row r="126" spans="1:88" ht="14" customHeight="1">
      <c r="A126" s="110" t="s">
        <v>133</v>
      </c>
      <c r="B126" s="60">
        <f>B72/B$83</f>
        <v>2.8256272690239785</v>
      </c>
      <c r="C126" s="2"/>
      <c r="D126" s="24"/>
      <c r="H126" s="24">
        <f>(E72*F72/G$37*F$7/F$9)</f>
        <v>0.7151515151515152</v>
      </c>
      <c r="I126" s="29">
        <f>IF(SUMPRODUCT($B$124:$B126,$H$124:$H126)&lt;(I$119-I$128),($B126*$H126),IF(SUMPRODUCT($B$124:$B125,$H$124:$H125)&lt;(I$119-I$128),I$119-I$128-SUMPRODUCT($B$124:$B125,$H$124:$H125),0))</f>
        <v>0</v>
      </c>
      <c r="J126" s="237">
        <f>IF(SUMPRODUCT($B$124:$B126,$H$124:$H126)&lt;(J$119-J$128),($B126*$H126),IF(SUMPRODUCT($B$124:$B125,$H$124:$H125)&lt;(J$119-J$128),J$119-J$128-SUMPRODUCT($B$124:$B125,$H$124:$H125),0))</f>
        <v>2.0207516226959363</v>
      </c>
      <c r="K126" s="22">
        <f t="shared" si="64"/>
        <v>2.8256272690239785</v>
      </c>
      <c r="L126" s="29">
        <f>IF(SUMPRODUCT($B$124:$B126,$H$124:$H126)&lt;(L$119-L$128),($B126*$H126),IF(SUMPRODUCT($B$124:$B125,$H$124:$H125)&lt;(L$119-L$128),L$119-L$128-SUMPRODUCT($B$124:$B125,$H$124:$H125),0))</f>
        <v>2.0207516226959363</v>
      </c>
      <c r="M126" s="57">
        <f t="shared" si="65"/>
        <v>2.0207516226959363</v>
      </c>
      <c r="N126" s="58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2"/>
      <c r="AC126" s="2"/>
      <c r="AD126" s="2"/>
      <c r="AE126" s="2"/>
      <c r="AF126" s="2"/>
      <c r="AG126" s="2"/>
    </row>
    <row r="127" spans="1:88" ht="14" customHeight="1">
      <c r="A127" s="110" t="s">
        <v>134</v>
      </c>
      <c r="B127" s="75">
        <f>B73/B83</f>
        <v>2.8270716365333097</v>
      </c>
      <c r="C127" s="2"/>
      <c r="D127" s="24"/>
      <c r="H127" s="24">
        <f>(E73*F73/G$37*F$7/F$9)</f>
        <v>0.7151515151515152</v>
      </c>
      <c r="I127" s="29">
        <f>IF(SUMPRODUCT($B$124:$B127,$H$124:$H127)&lt;(I$119-I$128),($B127*$H127),IF(SUMPRODUCT($B$124:$B126,$H$124:$H126)&lt;(I$119-I128),I$119-I$128-SUMPRODUCT($B$124:$B126,$H$124:$H126),0))</f>
        <v>0</v>
      </c>
      <c r="J127" s="237">
        <f>IF(SUMPRODUCT($B$124:$B127,$H$124:$H127)&lt;(J$119-J$128),($B127*$H127),IF(SUMPRODUCT($B$124:$B126,$H$124:$H126)&lt;(J$119-J128),J$119-J$128-SUMPRODUCT($B$124:$B126,$H$124:$H126),0))</f>
        <v>1.3748029325180893</v>
      </c>
      <c r="K127" s="22">
        <f>(B127)</f>
        <v>2.8270716365333097</v>
      </c>
      <c r="L127" s="29">
        <f>IF(SUMPRODUCT($B$124:$B127,$H$124:$H127)&lt;(L$119-L$128),($B127*$H127),IF(SUMPRODUCT($B$124:$B126,$H$124:$H126)&lt;(L$119-L128),L$119-L$128-SUMPRODUCT($B$124:$B126,$H$124:$H126),0))</f>
        <v>1.2562719583407667</v>
      </c>
      <c r="M127" s="57">
        <f t="shared" si="63"/>
        <v>1.3748029325180893</v>
      </c>
      <c r="N127" s="58"/>
      <c r="Q127" s="2"/>
      <c r="R127" s="22"/>
      <c r="S127" s="2"/>
      <c r="T127" s="2"/>
      <c r="U127" s="2"/>
      <c r="V127" s="2"/>
      <c r="W127" s="2"/>
      <c r="X127" s="2"/>
      <c r="Y127" s="2"/>
      <c r="Z127" s="2"/>
      <c r="AA127" s="2"/>
      <c r="AB127" s="22"/>
      <c r="AC127" s="2"/>
      <c r="AD127" s="2"/>
      <c r="AE127" s="2"/>
      <c r="AF127" s="2"/>
      <c r="AG127" s="2"/>
    </row>
    <row r="128" spans="1:88" ht="14" customHeight="1">
      <c r="A128" s="1" t="s">
        <v>135</v>
      </c>
      <c r="B128" s="22">
        <f>(B30)</f>
        <v>0.6190340508094645</v>
      </c>
      <c r="C128" s="2"/>
      <c r="D128" s="31"/>
      <c r="E128" s="2"/>
      <c r="F128" s="2"/>
      <c r="G128" s="2"/>
      <c r="H128" s="24"/>
      <c r="I128" s="29">
        <f>(I30)</f>
        <v>4.4524632512909861</v>
      </c>
      <c r="J128" s="228">
        <f>(J30)</f>
        <v>0.14029393642207899</v>
      </c>
      <c r="K128" s="22">
        <f>(B128)</f>
        <v>0.6190340508094645</v>
      </c>
      <c r="L128" s="22">
        <f>IF(L124=L119,0,(L119-L124)/(B119-B124)*K128)</f>
        <v>0.31755339452062459</v>
      </c>
      <c r="M128" s="57">
        <f t="shared" si="63"/>
        <v>0.14029393642207899</v>
      </c>
      <c r="N128" s="58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2"/>
      <c r="AC128" s="2"/>
      <c r="AD128" s="2"/>
      <c r="AE128" s="2"/>
      <c r="AF128" s="2"/>
      <c r="AG128" s="2"/>
    </row>
    <row r="129" spans="1:33" ht="14" customHeight="1">
      <c r="A129" s="56" t="s">
        <v>55</v>
      </c>
      <c r="B129" s="29">
        <f>IF(SUM(B124:B128)&gt;B130,0,B130-B124-B125-B126-B127-B128)</f>
        <v>1.366623589262195</v>
      </c>
      <c r="C129" s="2"/>
      <c r="D129" s="31"/>
      <c r="E129" s="2"/>
      <c r="F129" s="2"/>
      <c r="G129" s="2"/>
      <c r="H129" s="24"/>
      <c r="I129" s="29"/>
      <c r="J129" s="228">
        <f>IF(SUM(J124:J128)&gt;J130,0,J130-SUM(J124:J128))</f>
        <v>0</v>
      </c>
      <c r="K129" s="29">
        <f>(B129)</f>
        <v>1.366623589262195</v>
      </c>
      <c r="L129" s="60">
        <f>IF(SUM(L124:L128)&gt;L130,0,L130-SUM(L124:L128))</f>
        <v>0</v>
      </c>
      <c r="M129" s="57">
        <f t="shared" si="63"/>
        <v>0</v>
      </c>
      <c r="N129" s="58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2"/>
      <c r="AC129" s="2"/>
      <c r="AD129" s="2"/>
      <c r="AE129" s="2"/>
      <c r="AF129" s="2"/>
      <c r="AG129" s="2"/>
    </row>
    <row r="130" spans="1:33" ht="14" customHeight="1">
      <c r="A130" s="2" t="s">
        <v>32</v>
      </c>
      <c r="B130" s="22">
        <f>(B119)</f>
        <v>11.136591987844533</v>
      </c>
      <c r="C130" s="2"/>
      <c r="D130" s="31"/>
      <c r="E130" s="2"/>
      <c r="F130" s="2"/>
      <c r="G130" s="2"/>
      <c r="H130" s="24"/>
      <c r="I130" s="29">
        <f>(I119)</f>
        <v>6.0618607252212389</v>
      </c>
      <c r="J130" s="228">
        <f>(J119)</f>
        <v>6.2905221858252078</v>
      </c>
      <c r="K130" s="22">
        <f>(B130)</f>
        <v>11.136591987844533</v>
      </c>
      <c r="L130" s="22">
        <f>(L119)</f>
        <v>6.3492506697464304</v>
      </c>
      <c r="M130" s="57">
        <f t="shared" si="63"/>
        <v>6.2905221858252078</v>
      </c>
      <c r="N130" s="58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2"/>
      <c r="AC130" s="2"/>
      <c r="AD130" s="2"/>
      <c r="AE130" s="2"/>
      <c r="AF130" s="2"/>
      <c r="AG130" s="2"/>
    </row>
    <row r="131" spans="1:33" ht="14" customHeight="1">
      <c r="A131" s="2" t="s">
        <v>36</v>
      </c>
      <c r="B131" s="22"/>
      <c r="C131" s="2"/>
      <c r="D131" s="31"/>
      <c r="E131" s="2"/>
      <c r="F131" s="2"/>
      <c r="G131" s="2"/>
      <c r="H131" s="24"/>
      <c r="I131" s="29">
        <f>IF(SUMPRODUCT($B124:$B125,$H124:$H125)&gt;(I119-I128),SUMPRODUCT($B124:$B125,$H124:$H125)+I128-I119,0)</f>
        <v>1.1452762202588502</v>
      </c>
      <c r="J131" s="237">
        <f>IF(SUMPRODUCT($B124:$B125,$H124:$H125)&gt;(J119-J128),SUMPRODUCT($B124:$B125,$H124:$H125)+J128-J119,0)</f>
        <v>0</v>
      </c>
      <c r="K131" s="29"/>
      <c r="L131" s="29">
        <f>IF(I131&lt;SUM(L126:L127),0,I131-(SUM(L126:L127)))</f>
        <v>0</v>
      </c>
      <c r="M131" s="237">
        <f>IF(I131&lt;SUM(M126:M127),0,I131-(SUM(M126:M127)))</f>
        <v>0</v>
      </c>
      <c r="N131" s="58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2"/>
      <c r="AC131" s="2"/>
      <c r="AD131" s="2"/>
      <c r="AE131" s="2"/>
      <c r="AF131" s="2"/>
      <c r="AG131" s="2"/>
    </row>
    <row r="132" spans="1:33" ht="14" customHeight="1">
      <c r="A132" s="14"/>
      <c r="B132" s="14"/>
      <c r="C132" s="14"/>
      <c r="D132" s="12"/>
      <c r="E132" s="14"/>
      <c r="F132" s="14"/>
      <c r="G132" s="14"/>
      <c r="H132" s="12"/>
      <c r="I132" s="14"/>
      <c r="J132" s="12"/>
      <c r="K132" s="14"/>
      <c r="L132" s="14"/>
      <c r="M132" s="66"/>
      <c r="N132" s="58"/>
    </row>
    <row r="142" spans="1:33">
      <c r="A142" s="2"/>
      <c r="B142" s="2"/>
      <c r="C142" s="2"/>
      <c r="D142" s="2"/>
      <c r="E142" s="2"/>
      <c r="F142" s="2"/>
      <c r="G142" s="2"/>
      <c r="H142" s="2"/>
      <c r="I142" s="2"/>
      <c r="J142" s="2"/>
      <c r="L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</row>
    <row r="143" spans="1:33">
      <c r="B143" s="22"/>
      <c r="C143" s="22"/>
      <c r="D143" s="2"/>
      <c r="E143" s="2"/>
      <c r="F143" s="2"/>
      <c r="G143" s="2"/>
      <c r="H143" s="2"/>
      <c r="I143" s="22"/>
      <c r="J143" s="2"/>
      <c r="L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68"/>
      <c r="AC143" s="2"/>
      <c r="AD143" s="2"/>
      <c r="AE143" s="2"/>
      <c r="AF143" s="2"/>
      <c r="AG143" s="2"/>
    </row>
    <row r="144" spans="1:33">
      <c r="B144" s="22"/>
      <c r="C144" s="22"/>
      <c r="D144" s="2"/>
      <c r="E144" s="2"/>
      <c r="F144" s="2"/>
      <c r="G144" s="2"/>
      <c r="H144" s="2"/>
      <c r="I144" s="2"/>
      <c r="J144" s="2"/>
      <c r="L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68"/>
      <c r="AC144" s="2"/>
      <c r="AD144" s="2"/>
      <c r="AE144" s="2"/>
      <c r="AF144" s="2"/>
      <c r="AG144" s="2"/>
    </row>
    <row r="145" spans="1:33">
      <c r="B145" s="22"/>
      <c r="C145" s="22"/>
      <c r="D145" s="2"/>
      <c r="E145" s="2"/>
      <c r="F145" s="2"/>
      <c r="G145" s="2"/>
      <c r="H145" s="2"/>
      <c r="I145" s="22"/>
      <c r="J145" s="2"/>
      <c r="L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68"/>
      <c r="AC145" s="2"/>
      <c r="AD145" s="2"/>
      <c r="AE145" s="2"/>
      <c r="AF145" s="2"/>
      <c r="AG145" s="2"/>
    </row>
    <row r="146" spans="1:33">
      <c r="B146" s="2"/>
      <c r="C146" s="2"/>
      <c r="D146" s="2"/>
      <c r="E146" s="2"/>
      <c r="F146" s="2"/>
      <c r="G146" s="2"/>
      <c r="H146" s="2"/>
      <c r="I146" s="2"/>
      <c r="J146" s="2"/>
      <c r="L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68"/>
      <c r="AC146" s="2"/>
      <c r="AD146" s="2"/>
      <c r="AE146" s="2"/>
      <c r="AF146" s="2"/>
      <c r="AG146" s="2"/>
    </row>
    <row r="147" spans="1:33">
      <c r="B147" s="22"/>
      <c r="C147" s="22"/>
      <c r="D147" s="2"/>
      <c r="E147" s="2"/>
      <c r="F147" s="2"/>
      <c r="G147" s="2"/>
      <c r="H147" s="2"/>
      <c r="I147" s="2"/>
      <c r="J147" s="2"/>
      <c r="L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68"/>
      <c r="AC147" s="2"/>
      <c r="AD147" s="2"/>
      <c r="AE147" s="2"/>
      <c r="AF147" s="2"/>
      <c r="AG147" s="2"/>
    </row>
    <row r="148" spans="1:33">
      <c r="B148" s="22"/>
      <c r="C148" s="22"/>
      <c r="D148" s="2"/>
      <c r="E148" s="2"/>
      <c r="F148" s="2"/>
      <c r="G148" s="2"/>
      <c r="H148" s="2"/>
      <c r="I148" s="2"/>
      <c r="J148" s="2"/>
      <c r="L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68"/>
      <c r="AC148" s="2"/>
      <c r="AD148" s="2"/>
      <c r="AE148" s="2"/>
      <c r="AF148" s="2"/>
      <c r="AG148" s="2"/>
    </row>
    <row r="149" spans="1:33">
      <c r="B149" s="22"/>
      <c r="C149" s="22"/>
      <c r="D149" s="2"/>
      <c r="E149" s="2"/>
      <c r="F149" s="2"/>
      <c r="G149" s="2"/>
      <c r="H149" s="2"/>
      <c r="I149" s="2"/>
      <c r="J149" s="2"/>
      <c r="L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68"/>
      <c r="AC149" s="2"/>
      <c r="AD149" s="2"/>
      <c r="AE149" s="2"/>
      <c r="AF149" s="2"/>
      <c r="AG149" s="2"/>
    </row>
    <row r="150" spans="1:33">
      <c r="B150" s="22"/>
      <c r="C150" s="22"/>
      <c r="D150" s="2"/>
      <c r="E150" s="2"/>
      <c r="F150" s="2"/>
      <c r="G150" s="2"/>
      <c r="H150" s="2"/>
      <c r="I150" s="2"/>
      <c r="J150" s="2"/>
      <c r="L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68"/>
      <c r="AC150" s="2"/>
      <c r="AD150" s="2"/>
      <c r="AE150" s="2"/>
      <c r="AF150" s="2"/>
      <c r="AG150" s="2"/>
    </row>
    <row r="151" spans="1:33">
      <c r="B151" s="22"/>
      <c r="C151" s="22"/>
      <c r="D151" s="2"/>
      <c r="E151" s="2"/>
      <c r="F151" s="2"/>
      <c r="G151" s="2"/>
      <c r="H151" s="2"/>
      <c r="I151" s="2"/>
      <c r="J151" s="2"/>
      <c r="L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68"/>
      <c r="AC151" s="2"/>
      <c r="AD151" s="2"/>
      <c r="AE151" s="2"/>
      <c r="AF151" s="2"/>
      <c r="AG151" s="2"/>
    </row>
    <row r="152" spans="1:33">
      <c r="B152" s="22"/>
      <c r="C152" s="22"/>
      <c r="D152" s="2"/>
      <c r="E152" s="2"/>
      <c r="F152" s="2"/>
      <c r="G152" s="2"/>
      <c r="H152" s="2"/>
      <c r="I152" s="2"/>
      <c r="J152" s="2"/>
      <c r="L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68"/>
      <c r="AC152" s="2"/>
      <c r="AD152" s="2"/>
      <c r="AE152" s="2"/>
      <c r="AF152" s="2"/>
      <c r="AG152" s="2"/>
    </row>
    <row r="153" spans="1:33">
      <c r="A153" s="2"/>
      <c r="B153" s="2"/>
      <c r="C153" s="2"/>
      <c r="D153" s="2"/>
      <c r="E153" s="2"/>
      <c r="F153" s="2"/>
      <c r="G153" s="2"/>
      <c r="H153" s="2"/>
      <c r="I153" s="2"/>
      <c r="J153" s="2"/>
      <c r="L153" s="2"/>
      <c r="O153" s="2"/>
      <c r="P153" s="2"/>
      <c r="Q153" s="2"/>
      <c r="R153" s="2"/>
      <c r="S153" s="2"/>
      <c r="T153" s="2"/>
      <c r="U153" s="2"/>
      <c r="V153" s="2"/>
      <c r="W153" s="69"/>
      <c r="X153" s="2"/>
      <c r="Y153" s="2"/>
      <c r="Z153" s="2"/>
      <c r="AA153" s="2"/>
      <c r="AB153" s="2"/>
      <c r="AC153" s="2"/>
      <c r="AD153" s="2"/>
      <c r="AE153" s="2"/>
      <c r="AF153" s="2"/>
      <c r="AG153" s="2"/>
    </row>
    <row r="154" spans="1:33">
      <c r="A154" s="3"/>
      <c r="B154" s="2"/>
      <c r="C154" s="2"/>
      <c r="D154" s="2"/>
      <c r="E154" s="2"/>
      <c r="F154" s="2"/>
      <c r="H154" s="2"/>
      <c r="I154" s="2"/>
      <c r="J154" s="2"/>
      <c r="L154" s="2"/>
      <c r="W154" s="71"/>
    </row>
    <row r="155" spans="1:33">
      <c r="A155" s="2"/>
      <c r="B155" s="2"/>
      <c r="C155" s="2"/>
      <c r="D155" s="2"/>
      <c r="E155" s="2"/>
      <c r="F155" s="2"/>
      <c r="H155" s="2"/>
      <c r="I155" s="2"/>
      <c r="J155" s="2"/>
      <c r="L155" s="2"/>
      <c r="W155" s="71"/>
    </row>
    <row r="156" spans="1:33">
      <c r="A156" s="2"/>
      <c r="B156" s="2"/>
      <c r="C156" s="2"/>
      <c r="D156" s="2"/>
      <c r="E156" s="2"/>
      <c r="F156" s="2"/>
      <c r="H156" s="2"/>
      <c r="I156" s="2"/>
      <c r="J156" s="2"/>
      <c r="L156" s="2"/>
      <c r="W156" s="71"/>
    </row>
    <row r="157" spans="1:33">
      <c r="A157" s="22"/>
      <c r="B157" s="2"/>
      <c r="C157" s="2"/>
      <c r="D157" s="2"/>
      <c r="E157" s="2"/>
      <c r="F157" s="2"/>
      <c r="H157" s="2"/>
      <c r="I157" s="2"/>
      <c r="J157" s="2"/>
      <c r="L157" s="2"/>
      <c r="W157" s="71"/>
    </row>
    <row r="158" spans="1:33">
      <c r="A158" s="2"/>
      <c r="B158" s="2"/>
      <c r="C158" s="2"/>
      <c r="D158" s="2"/>
      <c r="E158" s="2"/>
      <c r="F158" s="2"/>
      <c r="H158" s="2"/>
      <c r="I158" s="2"/>
      <c r="J158" s="2"/>
      <c r="L158" s="2"/>
      <c r="W158" s="71"/>
    </row>
    <row r="159" spans="1:33">
      <c r="A159" s="2"/>
      <c r="B159" s="2"/>
      <c r="C159" s="2"/>
      <c r="D159" s="2"/>
      <c r="E159" s="2"/>
      <c r="F159" s="2"/>
      <c r="H159" s="2"/>
      <c r="I159" s="2"/>
      <c r="J159" s="2"/>
      <c r="L159" s="2"/>
    </row>
    <row r="160" spans="1:33">
      <c r="A160" s="2"/>
      <c r="B160" s="2"/>
      <c r="C160" s="2"/>
      <c r="D160" s="2"/>
      <c r="E160" s="2"/>
      <c r="F160" s="2"/>
      <c r="H160" s="2"/>
      <c r="I160" s="2"/>
      <c r="J160" s="2"/>
      <c r="L160" s="2"/>
    </row>
    <row r="161" spans="1:28">
      <c r="A161" s="2"/>
      <c r="B161" s="2"/>
      <c r="C161" s="2"/>
      <c r="D161" s="2"/>
      <c r="E161" s="2"/>
      <c r="F161" s="2"/>
      <c r="H161" s="2"/>
      <c r="I161" s="2"/>
      <c r="J161" s="2"/>
      <c r="L161" s="2"/>
      <c r="AB161" s="71"/>
    </row>
    <row r="162" spans="1:28">
      <c r="A162" s="2"/>
      <c r="B162" s="2"/>
      <c r="C162" s="2"/>
      <c r="D162" s="2"/>
      <c r="E162" s="2"/>
      <c r="F162" s="2"/>
      <c r="H162" s="2"/>
      <c r="I162" s="2"/>
      <c r="J162" s="2"/>
      <c r="L162" s="2"/>
      <c r="AB162" s="71"/>
    </row>
    <row r="163" spans="1:28">
      <c r="A163" s="2"/>
      <c r="B163" s="2"/>
      <c r="C163" s="2"/>
      <c r="D163" s="2"/>
      <c r="E163" s="2"/>
      <c r="F163" s="2"/>
      <c r="H163" s="2"/>
      <c r="I163" s="2"/>
      <c r="J163" s="2"/>
      <c r="L163" s="2"/>
      <c r="AB163" s="71"/>
    </row>
    <row r="164" spans="1:28">
      <c r="A164" s="2"/>
      <c r="B164" s="2"/>
      <c r="C164" s="2"/>
      <c r="D164" s="2"/>
      <c r="E164" s="2"/>
      <c r="F164" s="2"/>
      <c r="H164" s="2"/>
      <c r="I164" s="2"/>
      <c r="J164" s="2"/>
      <c r="L164" s="2"/>
      <c r="AB164" s="71"/>
    </row>
    <row r="165" spans="1:28">
      <c r="A165" s="2"/>
      <c r="B165" s="2"/>
      <c r="C165" s="2"/>
      <c r="D165" s="2"/>
      <c r="E165" s="2"/>
      <c r="F165" s="2"/>
      <c r="H165" s="2"/>
      <c r="I165" s="2"/>
      <c r="J165" s="2"/>
      <c r="L165" s="2"/>
      <c r="W165" s="72"/>
      <c r="AB165" s="71"/>
    </row>
    <row r="166" spans="1:28">
      <c r="A166" s="2"/>
      <c r="B166" s="2"/>
      <c r="C166" s="2"/>
      <c r="D166" s="2"/>
      <c r="E166" s="2"/>
      <c r="F166" s="2"/>
      <c r="H166" s="2"/>
      <c r="I166" s="2"/>
      <c r="J166" s="2"/>
      <c r="L166" s="2"/>
      <c r="W166" s="72"/>
      <c r="AB166" s="71"/>
    </row>
    <row r="167" spans="1:28">
      <c r="A167" s="2"/>
      <c r="B167" s="2"/>
      <c r="C167" s="2"/>
      <c r="D167" s="2"/>
      <c r="E167" s="2"/>
      <c r="F167" s="2"/>
      <c r="H167" s="2"/>
      <c r="I167" s="2"/>
      <c r="J167" s="2"/>
      <c r="L167" s="2"/>
      <c r="AB167" s="71"/>
    </row>
    <row r="168" spans="1:28">
      <c r="A168" s="2"/>
      <c r="B168" s="2"/>
      <c r="C168" s="2"/>
      <c r="D168" s="2"/>
      <c r="E168" s="2"/>
      <c r="F168" s="2"/>
      <c r="H168" s="2"/>
      <c r="I168" s="2"/>
      <c r="J168" s="2"/>
      <c r="L168" s="2"/>
      <c r="AB168" s="71"/>
    </row>
    <row r="169" spans="1:28">
      <c r="A169" s="2"/>
      <c r="B169" s="2"/>
      <c r="C169" s="2"/>
      <c r="D169" s="2"/>
      <c r="E169" s="2"/>
      <c r="F169" s="2"/>
      <c r="H169" s="2"/>
      <c r="I169" s="2"/>
      <c r="J169" s="2"/>
      <c r="L169" s="2"/>
      <c r="AB169" s="71"/>
    </row>
    <row r="170" spans="1:28">
      <c r="A170" s="2"/>
      <c r="B170" s="2"/>
      <c r="C170" s="2"/>
      <c r="D170" s="2"/>
      <c r="E170" s="2"/>
      <c r="F170" s="2"/>
      <c r="H170" s="2"/>
      <c r="I170" s="2"/>
      <c r="J170" s="2"/>
      <c r="L170" s="2"/>
    </row>
    <row r="171" spans="1:28">
      <c r="A171" s="2"/>
      <c r="B171" s="2"/>
      <c r="C171" s="2"/>
      <c r="D171" s="2"/>
      <c r="E171" s="2"/>
      <c r="F171" s="2"/>
      <c r="H171" s="2"/>
      <c r="I171" s="2"/>
      <c r="J171" s="2"/>
      <c r="L171" s="2"/>
      <c r="W171" s="72"/>
      <c r="AB171" s="71"/>
    </row>
    <row r="172" spans="1:28">
      <c r="A172" s="2"/>
      <c r="B172" s="2"/>
      <c r="C172" s="2"/>
      <c r="D172" s="2"/>
      <c r="E172" s="2"/>
      <c r="F172" s="2"/>
      <c r="H172" s="2"/>
      <c r="I172" s="2"/>
      <c r="J172" s="2"/>
      <c r="L172" s="2"/>
      <c r="W172" s="72"/>
    </row>
    <row r="173" spans="1:28">
      <c r="A173" s="2"/>
      <c r="B173" s="2"/>
      <c r="C173" s="2"/>
      <c r="D173" s="2"/>
      <c r="E173" s="2"/>
      <c r="F173" s="2"/>
      <c r="H173" s="2"/>
      <c r="I173" s="2"/>
      <c r="J173" s="2"/>
      <c r="L173" s="2"/>
    </row>
    <row r="174" spans="1:28">
      <c r="A174" s="2"/>
      <c r="B174" s="2"/>
      <c r="C174" s="2"/>
      <c r="D174" s="2"/>
      <c r="E174" s="2"/>
      <c r="F174" s="2"/>
      <c r="H174" s="2"/>
      <c r="I174" s="2"/>
      <c r="J174" s="2"/>
      <c r="L174" s="2"/>
    </row>
    <row r="175" spans="1:28">
      <c r="A175" s="2"/>
      <c r="B175" s="2"/>
      <c r="C175" s="2"/>
      <c r="D175" s="2"/>
      <c r="E175" s="2"/>
      <c r="F175" s="2"/>
      <c r="H175" s="2"/>
      <c r="I175" s="2"/>
      <c r="J175" s="2"/>
      <c r="L175" s="2"/>
      <c r="AB175" s="71"/>
    </row>
    <row r="176" spans="1:28">
      <c r="A176" s="2"/>
      <c r="B176" s="2"/>
      <c r="C176" s="2"/>
      <c r="D176" s="2"/>
      <c r="E176" s="2"/>
      <c r="F176" s="2"/>
      <c r="H176" s="2"/>
      <c r="I176" s="2"/>
      <c r="J176" s="2"/>
      <c r="L176" s="2"/>
      <c r="AB176" s="71"/>
    </row>
    <row r="177" spans="1:28">
      <c r="A177" s="2"/>
      <c r="B177" s="2"/>
      <c r="C177" s="2"/>
      <c r="D177" s="2"/>
      <c r="E177" s="2"/>
      <c r="F177" s="2"/>
      <c r="H177" s="2"/>
      <c r="I177" s="2"/>
      <c r="J177" s="2"/>
      <c r="L177" s="2"/>
      <c r="W177" s="72"/>
      <c r="AB177" s="71"/>
    </row>
    <row r="178" spans="1:28">
      <c r="A178" s="2"/>
      <c r="B178" s="2"/>
      <c r="C178" s="2"/>
      <c r="D178" s="2"/>
      <c r="E178" s="2"/>
      <c r="F178" s="2"/>
      <c r="H178" s="2"/>
      <c r="I178" s="2"/>
      <c r="J178" s="2"/>
      <c r="L178" s="2"/>
      <c r="W178" s="72"/>
      <c r="AB178" s="71"/>
    </row>
    <row r="179" spans="1:28">
      <c r="A179" s="2"/>
      <c r="B179" s="2"/>
      <c r="C179" s="2"/>
      <c r="D179" s="2"/>
      <c r="E179" s="2"/>
      <c r="F179" s="2"/>
      <c r="H179" s="2"/>
      <c r="I179" s="2"/>
      <c r="J179" s="2"/>
      <c r="L179" s="2"/>
      <c r="AB179" s="71"/>
    </row>
    <row r="180" spans="1:28">
      <c r="A180" s="2"/>
      <c r="B180" s="2"/>
      <c r="C180" s="2"/>
      <c r="D180" s="2"/>
      <c r="E180" s="2"/>
      <c r="F180" s="2"/>
      <c r="H180" s="2"/>
      <c r="I180" s="2"/>
      <c r="J180" s="2"/>
      <c r="L180" s="2"/>
      <c r="AB180" s="71"/>
    </row>
    <row r="181" spans="1:28">
      <c r="A181" s="2"/>
      <c r="B181" s="2"/>
      <c r="C181" s="2"/>
      <c r="D181" s="2"/>
      <c r="E181" s="2"/>
      <c r="F181" s="2"/>
      <c r="H181" s="2"/>
      <c r="I181" s="2"/>
      <c r="J181" s="2"/>
      <c r="L181" s="2"/>
    </row>
    <row r="182" spans="1:28">
      <c r="A182" s="2"/>
      <c r="B182" s="2"/>
      <c r="C182" s="2"/>
      <c r="D182" s="2"/>
      <c r="E182" s="2"/>
      <c r="F182" s="2"/>
      <c r="H182" s="2"/>
      <c r="I182" s="2"/>
      <c r="J182" s="2"/>
      <c r="L182" s="2"/>
    </row>
    <row r="183" spans="1:28">
      <c r="A183" s="2"/>
      <c r="B183" s="2"/>
      <c r="C183" s="2"/>
      <c r="D183" s="2"/>
      <c r="E183" s="2"/>
      <c r="F183" s="2"/>
      <c r="H183" s="2"/>
      <c r="I183" s="2"/>
      <c r="J183" s="2"/>
      <c r="L183" s="2"/>
    </row>
    <row r="184" spans="1:28">
      <c r="A184" s="2"/>
      <c r="B184" s="2"/>
      <c r="C184" s="2"/>
      <c r="D184" s="2"/>
      <c r="E184" s="2"/>
      <c r="F184" s="2"/>
      <c r="H184" s="2"/>
      <c r="I184" s="2"/>
      <c r="J184" s="2"/>
      <c r="L184" s="2"/>
    </row>
    <row r="185" spans="1:28">
      <c r="AB185" s="71"/>
    </row>
    <row r="186" spans="1:28">
      <c r="AB186" s="71"/>
    </row>
    <row r="187" spans="1:28">
      <c r="AB187" s="71"/>
    </row>
    <row r="188" spans="1:28">
      <c r="AB188" s="71"/>
    </row>
    <row r="189" spans="1:28">
      <c r="W189" s="72"/>
      <c r="AB189" s="71"/>
    </row>
    <row r="190" spans="1:28">
      <c r="W190" s="72"/>
      <c r="AB190" s="71"/>
    </row>
    <row r="191" spans="1:28">
      <c r="W191" s="72"/>
    </row>
    <row r="193" spans="23:28">
      <c r="AB193" s="71"/>
    </row>
    <row r="194" spans="23:28">
      <c r="AB194" s="71"/>
    </row>
    <row r="195" spans="23:28">
      <c r="AB195" s="71"/>
    </row>
    <row r="196" spans="23:28">
      <c r="AB196" s="71"/>
    </row>
    <row r="197" spans="23:28">
      <c r="AB197" s="71"/>
    </row>
    <row r="198" spans="23:28">
      <c r="W198" s="72"/>
      <c r="AB198" s="71"/>
    </row>
    <row r="199" spans="23:28">
      <c r="W199" s="72"/>
    </row>
    <row r="200" spans="23:28">
      <c r="W200" s="72"/>
    </row>
    <row r="207" spans="23:28">
      <c r="W207" s="72"/>
    </row>
    <row r="208" spans="23:28">
      <c r="W208" s="72"/>
    </row>
    <row r="209" spans="23:23">
      <c r="W209" s="72"/>
    </row>
    <row r="219" spans="23:23">
      <c r="W219" s="72"/>
    </row>
    <row r="220" spans="23:23">
      <c r="W220" s="72"/>
    </row>
    <row r="221" spans="23:23">
      <c r="W221" s="72"/>
    </row>
    <row r="228" spans="23:23">
      <c r="W228" s="72"/>
    </row>
    <row r="229" spans="23:23">
      <c r="W229" s="72"/>
    </row>
    <row r="230" spans="23:23">
      <c r="W230" s="72"/>
    </row>
    <row r="237" spans="23:23">
      <c r="W237" s="72"/>
    </row>
    <row r="238" spans="23:23">
      <c r="W238" s="72"/>
    </row>
    <row r="239" spans="23:23">
      <c r="W239" s="72"/>
    </row>
    <row r="249" spans="23:23">
      <c r="W249" s="72"/>
    </row>
    <row r="250" spans="23:23">
      <c r="W250" s="72"/>
    </row>
    <row r="251" spans="23:23">
      <c r="W251" s="72"/>
    </row>
    <row r="258" spans="23:23">
      <c r="W258" s="72"/>
    </row>
    <row r="259" spans="23:23">
      <c r="W259" s="72"/>
    </row>
    <row r="260" spans="23:23">
      <c r="W260" s="72"/>
    </row>
    <row r="267" spans="23:23">
      <c r="W267" s="72"/>
    </row>
    <row r="268" spans="23:23">
      <c r="W268" s="72"/>
    </row>
    <row r="269" spans="23:23">
      <c r="W269" s="72"/>
    </row>
  </sheetData>
  <sheetProtection sheet="1" formatCells="0" formatColumns="0" formatRows="0" insertHyperlinks="0"/>
  <scenarios current="0" show="0">
    <scenario name="1999" locked="1" count="23" user="Mark Lawrence" comment="Created by Mark Lawrence on 24/08/00_x000d_Modified by Mark Lawrence on 24/08/00_x000d_Modified by Mark Lawrence on 25/08/00">
      <inputCells r="E6" val="3" numFmtId="9"/>
      <inputCells r="E7" val="1" numFmtId="9"/>
      <inputCells r="E13" val="1.25" numFmtId="9"/>
      <inputCells r="F9" val="1900" numFmtId="1"/>
      <inputCells r="E14" val="1" numFmtId="9"/>
      <inputCells r="E27" val="1" numFmtId="9"/>
      <inputCells r="E28" val="1" numFmtId="9"/>
      <inputCells r="E29" val="1" numFmtId="9"/>
      <inputCells r="E40" val="1" numFmtId="9"/>
      <inputCells r="E44" val="1" numFmtId="9"/>
      <inputCells r="E45" val="1" numFmtId="9"/>
      <inputCells r="E46" val="1" numFmtId="9"/>
      <inputCells r="E64" val="1" numFmtId="9"/>
      <inputCells r="F38" val="1" numFmtId="9"/>
      <inputCells r="F39" val="2" numFmtId="9"/>
      <inputCells r="F40" val="1.25" numFmtId="9"/>
      <inputCells r="F44" val="1" numFmtId="9"/>
      <inputCells r="F45" val="0.4" numFmtId="9"/>
      <inputCells r="F46" val="1" numFmtId="9"/>
      <inputCells r="F64" val="1" numFmtId="9"/>
      <inputCells r="F37" val="2.5" numFmtId="9"/>
      <inputCells r="G37" val="2" numFmtId="9"/>
      <inputCells r="F70" val="1.37" numFmtId="9"/>
    </scenario>
    <scenario name="Normal" locked="1" count="23" user="Mark Lawrence" comment="Created by Mark Lawrence on 24/08/00_x000d_Modified by Mark Lawrence on 25/08/00">
      <inputCells r="E6" val="1" numFmtId="9"/>
      <inputCells r="E7" val="1" numFmtId="9"/>
      <inputCells r="E13" val="1" numFmtId="9"/>
      <inputCells r="F9" val="1900" numFmtId="1"/>
      <inputCells r="E14" val="1" numFmtId="9"/>
      <inputCells r="E27" val="1" numFmtId="9"/>
      <inputCells r="E28" val="1" numFmtId="9"/>
      <inputCells r="E29" val="1" numFmtId="9"/>
      <inputCells r="E40" val="1" numFmtId="9"/>
      <inputCells r="E44" val="1" numFmtId="9"/>
      <inputCells r="E45" val="1" numFmtId="9"/>
      <inputCells r="E46" val="1" numFmtId="9"/>
      <inputCells r="E64" val="1" numFmtId="9"/>
      <inputCells r="F37" val="1" numFmtId="9"/>
      <inputCells r="F38" val="1" numFmtId="9"/>
      <inputCells r="F39" val="1" numFmtId="9"/>
      <inputCells r="F40" val="1" numFmtId="9"/>
      <inputCells r="F44" val="1" numFmtId="9"/>
      <inputCells r="F45" val="1" numFmtId="9"/>
      <inputCells r="F46" val="1" numFmtId="9"/>
      <inputCells r="F64" val="1" numFmtId="9"/>
      <inputCells r="G37" val="1" numFmtId="9"/>
      <inputCells r="F70" val="1" numFmtId="9"/>
    </scenario>
  </scenarios>
  <mergeCells count="4">
    <mergeCell ref="Z2:AA2"/>
    <mergeCell ref="AB2:AC2"/>
    <mergeCell ref="AD2:AE2"/>
    <mergeCell ref="AF2:AG2"/>
  </mergeCells>
  <phoneticPr fontId="1" type="noConversion"/>
  <conditionalFormatting sqref="U7:U22">
    <cfRule type="cellIs" dxfId="293" priority="324" operator="equal">
      <formula>16</formula>
    </cfRule>
    <cfRule type="cellIs" dxfId="292" priority="325" operator="equal">
      <formula>15</formula>
    </cfRule>
    <cfRule type="cellIs" dxfId="291" priority="326" operator="equal">
      <formula>14</formula>
    </cfRule>
    <cfRule type="cellIs" dxfId="290" priority="327" operator="equal">
      <formula>13</formula>
    </cfRule>
    <cfRule type="cellIs" dxfId="289" priority="328" operator="equal">
      <formula>12</formula>
    </cfRule>
    <cfRule type="cellIs" dxfId="288" priority="329" operator="equal">
      <formula>11</formula>
    </cfRule>
    <cfRule type="cellIs" dxfId="287" priority="330" operator="equal">
      <formula>10</formula>
    </cfRule>
    <cfRule type="cellIs" dxfId="286" priority="331" operator="equal">
      <formula>9</formula>
    </cfRule>
    <cfRule type="cellIs" dxfId="285" priority="332" operator="equal">
      <formula>8</formula>
    </cfRule>
    <cfRule type="cellIs" dxfId="284" priority="333" operator="equal">
      <formula>7</formula>
    </cfRule>
    <cfRule type="cellIs" dxfId="283" priority="334" operator="equal">
      <formula>6</formula>
    </cfRule>
    <cfRule type="cellIs" dxfId="282" priority="335" operator="equal">
      <formula>5</formula>
    </cfRule>
    <cfRule type="cellIs" dxfId="281" priority="336" operator="equal">
      <formula>4</formula>
    </cfRule>
    <cfRule type="cellIs" dxfId="280" priority="337" operator="equal">
      <formula>3</formula>
    </cfRule>
    <cfRule type="cellIs" dxfId="279" priority="338" operator="equal">
      <formula>2</formula>
    </cfRule>
    <cfRule type="cellIs" dxfId="278" priority="339" operator="equal">
      <formula>1</formula>
    </cfRule>
  </conditionalFormatting>
  <conditionalFormatting sqref="N29">
    <cfRule type="cellIs" dxfId="277" priority="308" operator="equal">
      <formula>16</formula>
    </cfRule>
    <cfRule type="cellIs" dxfId="276" priority="309" operator="equal">
      <formula>15</formula>
    </cfRule>
    <cfRule type="cellIs" dxfId="275" priority="310" operator="equal">
      <formula>14</formula>
    </cfRule>
    <cfRule type="cellIs" dxfId="274" priority="311" operator="equal">
      <formula>13</formula>
    </cfRule>
    <cfRule type="cellIs" dxfId="273" priority="312" operator="equal">
      <formula>12</formula>
    </cfRule>
    <cfRule type="cellIs" dxfId="272" priority="313" operator="equal">
      <formula>11</formula>
    </cfRule>
    <cfRule type="cellIs" dxfId="271" priority="314" operator="equal">
      <formula>10</formula>
    </cfRule>
    <cfRule type="cellIs" dxfId="270" priority="315" operator="equal">
      <formula>9</formula>
    </cfRule>
    <cfRule type="cellIs" dxfId="269" priority="316" operator="equal">
      <formula>8</formula>
    </cfRule>
    <cfRule type="cellIs" dxfId="268" priority="317" operator="equal">
      <formula>7</formula>
    </cfRule>
    <cfRule type="cellIs" dxfId="267" priority="318" operator="equal">
      <formula>6</formula>
    </cfRule>
    <cfRule type="cellIs" dxfId="266" priority="319" operator="equal">
      <formula>5</formula>
    </cfRule>
    <cfRule type="cellIs" dxfId="265" priority="320" operator="equal">
      <formula>4</formula>
    </cfRule>
    <cfRule type="cellIs" dxfId="264" priority="321" operator="equal">
      <formula>3</formula>
    </cfRule>
    <cfRule type="cellIs" dxfId="263" priority="322" operator="equal">
      <formula>2</formula>
    </cfRule>
    <cfRule type="cellIs" dxfId="262" priority="323" operator="equal">
      <formula>1</formula>
    </cfRule>
  </conditionalFormatting>
  <conditionalFormatting sqref="N27:N28">
    <cfRule type="cellIs" dxfId="261" priority="116" operator="equal">
      <formula>16</formula>
    </cfRule>
    <cfRule type="cellIs" dxfId="260" priority="117" operator="equal">
      <formula>15</formula>
    </cfRule>
    <cfRule type="cellIs" dxfId="259" priority="118" operator="equal">
      <formula>14</formula>
    </cfRule>
    <cfRule type="cellIs" dxfId="258" priority="119" operator="equal">
      <formula>13</formula>
    </cfRule>
    <cfRule type="cellIs" dxfId="257" priority="120" operator="equal">
      <formula>12</formula>
    </cfRule>
    <cfRule type="cellIs" dxfId="256" priority="121" operator="equal">
      <formula>11</formula>
    </cfRule>
    <cfRule type="cellIs" dxfId="255" priority="122" operator="equal">
      <formula>10</formula>
    </cfRule>
    <cfRule type="cellIs" dxfId="254" priority="123" operator="equal">
      <formula>9</formula>
    </cfRule>
    <cfRule type="cellIs" dxfId="253" priority="124" operator="equal">
      <formula>8</formula>
    </cfRule>
    <cfRule type="cellIs" dxfId="252" priority="125" operator="equal">
      <formula>7</formula>
    </cfRule>
    <cfRule type="cellIs" dxfId="251" priority="126" operator="equal">
      <formula>6</formula>
    </cfRule>
    <cfRule type="cellIs" dxfId="250" priority="127" operator="equal">
      <formula>5</formula>
    </cfRule>
    <cfRule type="cellIs" dxfId="249" priority="128" operator="equal">
      <formula>4</formula>
    </cfRule>
    <cfRule type="cellIs" dxfId="248" priority="129" operator="equal">
      <formula>3</formula>
    </cfRule>
    <cfRule type="cellIs" dxfId="247" priority="130" operator="equal">
      <formula>2</formula>
    </cfRule>
    <cfRule type="cellIs" dxfId="246" priority="131" operator="equal">
      <formula>1</formula>
    </cfRule>
  </conditionalFormatting>
  <conditionalFormatting sqref="R31:T31">
    <cfRule type="cellIs" dxfId="245" priority="99" operator="greaterThan">
      <formula>0</formula>
    </cfRule>
  </conditionalFormatting>
  <conditionalFormatting sqref="R32:T32">
    <cfRule type="cellIs" dxfId="244" priority="98" operator="greaterThan">
      <formula>0</formula>
    </cfRule>
  </conditionalFormatting>
  <conditionalFormatting sqref="R30:T30">
    <cfRule type="cellIs" dxfId="243" priority="97" operator="greaterThan">
      <formula>0</formula>
    </cfRule>
  </conditionalFormatting>
  <conditionalFormatting sqref="N6:N26">
    <cfRule type="cellIs" dxfId="242" priority="81" operator="equal">
      <formula>16</formula>
    </cfRule>
    <cfRule type="cellIs" dxfId="241" priority="82" operator="equal">
      <formula>15</formula>
    </cfRule>
    <cfRule type="cellIs" dxfId="240" priority="83" operator="equal">
      <formula>14</formula>
    </cfRule>
    <cfRule type="cellIs" dxfId="239" priority="84" operator="equal">
      <formula>13</formula>
    </cfRule>
    <cfRule type="cellIs" dxfId="238" priority="85" operator="equal">
      <formula>12</formula>
    </cfRule>
    <cfRule type="cellIs" dxfId="237" priority="86" operator="equal">
      <formula>11</formula>
    </cfRule>
    <cfRule type="cellIs" dxfId="236" priority="87" operator="equal">
      <formula>10</formula>
    </cfRule>
    <cfRule type="cellIs" dxfId="235" priority="88" operator="equal">
      <formula>9</formula>
    </cfRule>
    <cfRule type="cellIs" dxfId="234" priority="89" operator="equal">
      <formula>8</formula>
    </cfRule>
    <cfRule type="cellIs" dxfId="233" priority="90" operator="equal">
      <formula>7</formula>
    </cfRule>
    <cfRule type="cellIs" dxfId="232" priority="91" operator="equal">
      <formula>6</formula>
    </cfRule>
    <cfRule type="cellIs" dxfId="231" priority="92" operator="equal">
      <formula>5</formula>
    </cfRule>
    <cfRule type="cellIs" dxfId="230" priority="93" operator="equal">
      <formula>4</formula>
    </cfRule>
    <cfRule type="cellIs" dxfId="229" priority="94" operator="equal">
      <formula>3</formula>
    </cfRule>
    <cfRule type="cellIs" dxfId="228" priority="95" operator="equal">
      <formula>2</formula>
    </cfRule>
    <cfRule type="cellIs" dxfId="227" priority="96" operator="equal">
      <formula>1</formula>
    </cfRule>
  </conditionalFormatting>
  <conditionalFormatting sqref="N113:N118">
    <cfRule type="cellIs" dxfId="226" priority="65" operator="equal">
      <formula>16</formula>
    </cfRule>
    <cfRule type="cellIs" dxfId="225" priority="66" operator="equal">
      <formula>15</formula>
    </cfRule>
    <cfRule type="cellIs" dxfId="224" priority="67" operator="equal">
      <formula>14</formula>
    </cfRule>
    <cfRule type="cellIs" dxfId="223" priority="68" operator="equal">
      <formula>13</formula>
    </cfRule>
    <cfRule type="cellIs" dxfId="222" priority="69" operator="equal">
      <formula>12</formula>
    </cfRule>
    <cfRule type="cellIs" dxfId="221" priority="70" operator="equal">
      <formula>11</formula>
    </cfRule>
    <cfRule type="cellIs" dxfId="220" priority="71" operator="equal">
      <formula>10</formula>
    </cfRule>
    <cfRule type="cellIs" dxfId="219" priority="72" operator="equal">
      <formula>9</formula>
    </cfRule>
    <cfRule type="cellIs" dxfId="218" priority="73" operator="equal">
      <formula>8</formula>
    </cfRule>
    <cfRule type="cellIs" dxfId="217" priority="74" operator="equal">
      <formula>7</formula>
    </cfRule>
    <cfRule type="cellIs" dxfId="216" priority="75" operator="equal">
      <formula>6</formula>
    </cfRule>
    <cfRule type="cellIs" dxfId="215" priority="76" operator="equal">
      <formula>5</formula>
    </cfRule>
    <cfRule type="cellIs" dxfId="214" priority="77" operator="equal">
      <formula>4</formula>
    </cfRule>
    <cfRule type="cellIs" dxfId="213" priority="78" operator="equal">
      <formula>3</formula>
    </cfRule>
    <cfRule type="cellIs" dxfId="212" priority="79" operator="equal">
      <formula>2</formula>
    </cfRule>
    <cfRule type="cellIs" dxfId="211" priority="80" operator="equal">
      <formula>1</formula>
    </cfRule>
  </conditionalFormatting>
  <conditionalFormatting sqref="N112">
    <cfRule type="cellIs" dxfId="210" priority="49" operator="equal">
      <formula>16</formula>
    </cfRule>
    <cfRule type="cellIs" dxfId="209" priority="50" operator="equal">
      <formula>15</formula>
    </cfRule>
    <cfRule type="cellIs" dxfId="208" priority="51" operator="equal">
      <formula>14</formula>
    </cfRule>
    <cfRule type="cellIs" dxfId="207" priority="52" operator="equal">
      <formula>13</formula>
    </cfRule>
    <cfRule type="cellIs" dxfId="206" priority="53" operator="equal">
      <formula>12</formula>
    </cfRule>
    <cfRule type="cellIs" dxfId="205" priority="54" operator="equal">
      <formula>11</formula>
    </cfRule>
    <cfRule type="cellIs" dxfId="204" priority="55" operator="equal">
      <formula>10</formula>
    </cfRule>
    <cfRule type="cellIs" dxfId="203" priority="56" operator="equal">
      <formula>9</formula>
    </cfRule>
    <cfRule type="cellIs" dxfId="202" priority="57" operator="equal">
      <formula>8</formula>
    </cfRule>
    <cfRule type="cellIs" dxfId="201" priority="58" operator="equal">
      <formula>7</formula>
    </cfRule>
    <cfRule type="cellIs" dxfId="200" priority="59" operator="equal">
      <formula>6</formula>
    </cfRule>
    <cfRule type="cellIs" dxfId="199" priority="60" operator="equal">
      <formula>5</formula>
    </cfRule>
    <cfRule type="cellIs" dxfId="198" priority="61" operator="equal">
      <formula>4</formula>
    </cfRule>
    <cfRule type="cellIs" dxfId="197" priority="62" operator="equal">
      <formula>3</formula>
    </cfRule>
    <cfRule type="cellIs" dxfId="196" priority="63" operator="equal">
      <formula>2</formula>
    </cfRule>
    <cfRule type="cellIs" dxfId="195" priority="64" operator="equal">
      <formula>1</formula>
    </cfRule>
  </conditionalFormatting>
  <conditionalFormatting sqref="N111">
    <cfRule type="cellIs" dxfId="194" priority="33" operator="equal">
      <formula>16</formula>
    </cfRule>
    <cfRule type="cellIs" dxfId="193" priority="34" operator="equal">
      <formula>15</formula>
    </cfRule>
    <cfRule type="cellIs" dxfId="192" priority="35" operator="equal">
      <formula>14</formula>
    </cfRule>
    <cfRule type="cellIs" dxfId="191" priority="36" operator="equal">
      <formula>13</formula>
    </cfRule>
    <cfRule type="cellIs" dxfId="190" priority="37" operator="equal">
      <formula>12</formula>
    </cfRule>
    <cfRule type="cellIs" dxfId="189" priority="38" operator="equal">
      <formula>11</formula>
    </cfRule>
    <cfRule type="cellIs" dxfId="188" priority="39" operator="equal">
      <formula>10</formula>
    </cfRule>
    <cfRule type="cellIs" dxfId="187" priority="40" operator="equal">
      <formula>9</formula>
    </cfRule>
    <cfRule type="cellIs" dxfId="186" priority="41" operator="equal">
      <formula>8</formula>
    </cfRule>
    <cfRule type="cellIs" dxfId="185" priority="42" operator="equal">
      <formula>7</formula>
    </cfRule>
    <cfRule type="cellIs" dxfId="184" priority="43" operator="equal">
      <formula>6</formula>
    </cfRule>
    <cfRule type="cellIs" dxfId="183" priority="44" operator="equal">
      <formula>5</formula>
    </cfRule>
    <cfRule type="cellIs" dxfId="182" priority="45" operator="equal">
      <formula>4</formula>
    </cfRule>
    <cfRule type="cellIs" dxfId="181" priority="46" operator="equal">
      <formula>3</formula>
    </cfRule>
    <cfRule type="cellIs" dxfId="180" priority="47" operator="equal">
      <formula>2</formula>
    </cfRule>
    <cfRule type="cellIs" dxfId="179" priority="48" operator="equal">
      <formula>1</formula>
    </cfRule>
  </conditionalFormatting>
  <conditionalFormatting sqref="N91:N104">
    <cfRule type="cellIs" dxfId="178" priority="17" operator="equal">
      <formula>16</formula>
    </cfRule>
    <cfRule type="cellIs" dxfId="177" priority="18" operator="equal">
      <formula>15</formula>
    </cfRule>
    <cfRule type="cellIs" dxfId="176" priority="19" operator="equal">
      <formula>14</formula>
    </cfRule>
    <cfRule type="cellIs" dxfId="175" priority="20" operator="equal">
      <formula>13</formula>
    </cfRule>
    <cfRule type="cellIs" dxfId="174" priority="21" operator="equal">
      <formula>12</formula>
    </cfRule>
    <cfRule type="cellIs" dxfId="173" priority="22" operator="equal">
      <formula>11</formula>
    </cfRule>
    <cfRule type="cellIs" dxfId="172" priority="23" operator="equal">
      <formula>10</formula>
    </cfRule>
    <cfRule type="cellIs" dxfId="171" priority="24" operator="equal">
      <formula>9</formula>
    </cfRule>
    <cfRule type="cellIs" dxfId="170" priority="25" operator="equal">
      <formula>8</formula>
    </cfRule>
    <cfRule type="cellIs" dxfId="169" priority="26" operator="equal">
      <formula>7</formula>
    </cfRule>
    <cfRule type="cellIs" dxfId="168" priority="27" operator="equal">
      <formula>6</formula>
    </cfRule>
    <cfRule type="cellIs" dxfId="167" priority="28" operator="equal">
      <formula>5</formula>
    </cfRule>
    <cfRule type="cellIs" dxfId="166" priority="29" operator="equal">
      <formula>4</formula>
    </cfRule>
    <cfRule type="cellIs" dxfId="165" priority="30" operator="equal">
      <formula>3</formula>
    </cfRule>
    <cfRule type="cellIs" dxfId="164" priority="31" operator="equal">
      <formula>2</formula>
    </cfRule>
    <cfRule type="cellIs" dxfId="163" priority="32" operator="equal">
      <formula>1</formula>
    </cfRule>
  </conditionalFormatting>
  <conditionalFormatting sqref="N105:N110">
    <cfRule type="cellIs" dxfId="162" priority="1" operator="equal">
      <formula>16</formula>
    </cfRule>
    <cfRule type="cellIs" dxfId="161" priority="2" operator="equal">
      <formula>15</formula>
    </cfRule>
    <cfRule type="cellIs" dxfId="160" priority="3" operator="equal">
      <formula>14</formula>
    </cfRule>
    <cfRule type="cellIs" dxfId="159" priority="4" operator="equal">
      <formula>13</formula>
    </cfRule>
    <cfRule type="cellIs" dxfId="158" priority="5" operator="equal">
      <formula>12</formula>
    </cfRule>
    <cfRule type="cellIs" dxfId="157" priority="6" operator="equal">
      <formula>11</formula>
    </cfRule>
    <cfRule type="cellIs" dxfId="156" priority="7" operator="equal">
      <formula>10</formula>
    </cfRule>
    <cfRule type="cellIs" dxfId="155" priority="8" operator="equal">
      <formula>9</formula>
    </cfRule>
    <cfRule type="cellIs" dxfId="154" priority="9" operator="equal">
      <formula>8</formula>
    </cfRule>
    <cfRule type="cellIs" dxfId="153" priority="10" operator="equal">
      <formula>7</formula>
    </cfRule>
    <cfRule type="cellIs" dxfId="152" priority="11" operator="equal">
      <formula>6</formula>
    </cfRule>
    <cfRule type="cellIs" dxfId="151" priority="12" operator="equal">
      <formula>5</formula>
    </cfRule>
    <cfRule type="cellIs" dxfId="150" priority="13" operator="equal">
      <formula>4</formula>
    </cfRule>
    <cfRule type="cellIs" dxfId="149" priority="14" operator="equal">
      <formula>3</formula>
    </cfRule>
    <cfRule type="cellIs" dxfId="148" priority="15" operator="equal">
      <formula>2</formula>
    </cfRule>
    <cfRule type="cellIs" dxfId="147" priority="16" operator="equal">
      <formula>1</formula>
    </cfRule>
  </conditionalFormatting>
  <pageMargins left="0.74803149606299213" right="0.74803149606299213" top="0.39370078740157483" bottom="0.39370078740157483" header="0.19685039370078741" footer="0.19685039370078741"/>
  <pageSetup paperSize="9" scale="62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M269"/>
  <sheetViews>
    <sheetView showGridLines="0" workbookViewId="0">
      <pane xSplit="1" ySplit="2" topLeftCell="B61" activePane="bottomRight" state="frozen"/>
      <selection pane="topRight" activeCell="B1" sqref="B1"/>
      <selection pane="bottomLeft" activeCell="A3" sqref="A3"/>
      <selection pane="bottomRight" sqref="A1:B1"/>
    </sheetView>
  </sheetViews>
  <sheetFormatPr baseColWidth="10" defaultColWidth="8" defaultRowHeight="15" x14ac:dyDescent="0"/>
  <cols>
    <col min="1" max="1" width="21.7109375" style="4" customWidth="1"/>
    <col min="2" max="6" width="6.85546875" style="4" customWidth="1"/>
    <col min="7" max="7" width="6.5703125" style="4" customWidth="1"/>
    <col min="8" max="8" width="6.140625" style="4" customWidth="1"/>
    <col min="9" max="14" width="6.85546875" style="4" customWidth="1"/>
    <col min="15" max="33" width="8.42578125" style="4" customWidth="1"/>
    <col min="34" max="36" width="8" style="4" customWidth="1"/>
    <col min="37" max="37" width="9.28515625" style="4" customWidth="1"/>
    <col min="38" max="52" width="8" style="4" customWidth="1"/>
    <col min="53" max="53" width="9.28515625" style="4" customWidth="1"/>
    <col min="54" max="213" width="8" style="4" customWidth="1"/>
    <col min="214" max="214" width="1.42578125" style="4" customWidth="1"/>
    <col min="215" max="16384" width="8" style="4"/>
  </cols>
  <sheetData>
    <row r="1" spans="1:91" ht="18">
      <c r="A1" s="73" t="str">
        <f>Poor!A1</f>
        <v>ZA3XX: 59300</v>
      </c>
      <c r="B1" s="29" t="str">
        <f>Poor!B1</f>
        <v>Open Access cropping</v>
      </c>
      <c r="C1" s="2"/>
      <c r="D1" s="2"/>
      <c r="E1" s="2" t="s">
        <v>45</v>
      </c>
      <c r="F1" s="2"/>
      <c r="G1" s="2"/>
      <c r="H1" s="2" t="s">
        <v>0</v>
      </c>
      <c r="I1" s="2"/>
      <c r="J1" s="3"/>
      <c r="L1" s="2"/>
      <c r="O1" s="2"/>
      <c r="P1" s="2"/>
      <c r="Q1" s="2"/>
      <c r="R1" s="2"/>
      <c r="T1" s="2"/>
      <c r="U1" s="56"/>
      <c r="V1" s="56"/>
      <c r="W1" s="110"/>
      <c r="X1" s="114" t="s">
        <v>67</v>
      </c>
      <c r="Y1" s="115" t="s">
        <v>58</v>
      </c>
      <c r="Z1" s="180" t="str">
        <f>Poor!Z1</f>
        <v>Apr-Jun</v>
      </c>
      <c r="AA1" s="181"/>
      <c r="AB1" s="180" t="str">
        <f>Poor!AB1</f>
        <v>Jul-Sep</v>
      </c>
      <c r="AC1" s="181"/>
      <c r="AD1" s="180" t="str">
        <f>Poor!AD1</f>
        <v>Oct-Dec</v>
      </c>
      <c r="AE1" s="181"/>
      <c r="AF1" s="180" t="str">
        <f>Poor!AF1</f>
        <v>Jan-Mar</v>
      </c>
      <c r="AG1" s="181"/>
      <c r="AH1" s="117"/>
      <c r="AI1" s="110"/>
      <c r="AJ1" s="180" t="str">
        <f>LEFT(Z1,4) &amp; MID(AB1,5,3)</f>
        <v>Apr-Sep</v>
      </c>
      <c r="AK1" s="181" t="str">
        <f>LEFT(AD1,4) &amp; MID(AF1,5,3)</f>
        <v>Oct-Mar</v>
      </c>
      <c r="AS1" s="5"/>
      <c r="AZ1" s="5"/>
      <c r="BI1" s="5"/>
      <c r="BP1" s="5"/>
      <c r="BX1" s="5"/>
      <c r="CE1" s="5"/>
      <c r="CM1" s="6"/>
    </row>
    <row r="2" spans="1:91">
      <c r="A2" s="7" t="s">
        <v>1</v>
      </c>
      <c r="B2" s="14"/>
      <c r="C2" s="11"/>
      <c r="D2" s="10"/>
      <c r="E2" s="7" t="s">
        <v>2</v>
      </c>
      <c r="F2" s="11"/>
      <c r="G2" s="11"/>
      <c r="H2" s="12"/>
      <c r="I2" s="7" t="s">
        <v>3</v>
      </c>
      <c r="J2" s="13"/>
      <c r="K2" s="7" t="s">
        <v>4</v>
      </c>
      <c r="L2" s="11"/>
      <c r="M2" s="14"/>
      <c r="O2" s="2"/>
      <c r="P2" s="2"/>
      <c r="Q2" s="2"/>
      <c r="R2" s="2"/>
      <c r="T2" s="2"/>
      <c r="U2" s="56"/>
      <c r="V2" s="56"/>
      <c r="W2" s="110"/>
      <c r="X2" s="118" t="s">
        <v>59</v>
      </c>
      <c r="Y2" s="115" t="s">
        <v>60</v>
      </c>
      <c r="Z2" s="258" t="str">
        <f>Poor!Z2</f>
        <v>Q1</v>
      </c>
      <c r="AA2" s="259"/>
      <c r="AB2" s="258" t="str">
        <f>Poor!AB2</f>
        <v>Q2</v>
      </c>
      <c r="AC2" s="259"/>
      <c r="AD2" s="258" t="str">
        <f>Poor!AD2</f>
        <v>Q3</v>
      </c>
      <c r="AE2" s="259"/>
      <c r="AF2" s="258" t="str">
        <f>Poor!AF2</f>
        <v>Q4</v>
      </c>
      <c r="AG2" s="259"/>
      <c r="AH2" s="117"/>
      <c r="AI2" s="110"/>
      <c r="AJ2" s="197" t="str">
        <f>Poor!AJ2</f>
        <v>H1</v>
      </c>
      <c r="AK2" s="198" t="str">
        <f>Poor!AK2</f>
        <v>H2</v>
      </c>
      <c r="CM2" s="6"/>
    </row>
    <row r="3" spans="1:91">
      <c r="A3" s="73" t="s">
        <v>49</v>
      </c>
      <c r="B3" s="2"/>
      <c r="C3" s="19"/>
      <c r="D3" s="16"/>
      <c r="E3" s="2"/>
      <c r="F3" s="2"/>
      <c r="H3" s="17"/>
      <c r="I3" s="2"/>
      <c r="J3" s="18"/>
      <c r="L3" s="2"/>
      <c r="O3" s="3" t="s">
        <v>6</v>
      </c>
      <c r="P3" s="19"/>
      <c r="Q3" s="56" t="s">
        <v>68</v>
      </c>
      <c r="R3" s="56"/>
      <c r="S3" s="67"/>
      <c r="T3" s="56"/>
      <c r="U3" s="56"/>
      <c r="V3" s="56"/>
      <c r="W3" s="110"/>
      <c r="X3" s="118"/>
      <c r="Y3" s="115" t="s">
        <v>61</v>
      </c>
      <c r="Z3" s="120"/>
      <c r="AA3" s="119"/>
      <c r="AB3" s="120"/>
      <c r="AC3" s="119"/>
      <c r="AD3" s="120"/>
      <c r="AE3" s="119"/>
      <c r="AF3" s="120"/>
      <c r="AG3" s="119"/>
      <c r="AH3" s="117"/>
      <c r="AI3" s="110"/>
      <c r="AJ3" s="120"/>
      <c r="AK3" s="119"/>
      <c r="AU3" s="21"/>
      <c r="AV3" s="21"/>
      <c r="AW3" s="21"/>
      <c r="AX3" s="21"/>
      <c r="AY3" s="20"/>
      <c r="BB3" s="21"/>
      <c r="BC3" s="21"/>
      <c r="BD3" s="21"/>
      <c r="BE3" s="21"/>
      <c r="BF3" s="21"/>
      <c r="BK3" s="21"/>
      <c r="BL3" s="21"/>
      <c r="BM3" s="21"/>
      <c r="BN3" s="21"/>
      <c r="BO3" s="20"/>
      <c r="BR3" s="21"/>
      <c r="BS3" s="21"/>
      <c r="BT3" s="21"/>
      <c r="BU3" s="21"/>
      <c r="BV3" s="21"/>
      <c r="BZ3" s="21"/>
      <c r="CA3" s="21"/>
      <c r="CB3" s="21"/>
      <c r="CC3" s="21"/>
      <c r="CD3" s="20"/>
      <c r="CG3" s="21"/>
      <c r="CH3" s="21"/>
      <c r="CI3" s="21"/>
      <c r="CJ3" s="21"/>
      <c r="CK3" s="21"/>
      <c r="CM3" s="6"/>
    </row>
    <row r="4" spans="1:91" ht="14" customHeight="1">
      <c r="A4" s="2"/>
      <c r="B4" s="19" t="s">
        <v>7</v>
      </c>
      <c r="C4" s="19" t="s">
        <v>8</v>
      </c>
      <c r="D4" s="16" t="s">
        <v>9</v>
      </c>
      <c r="E4" s="19" t="s">
        <v>10</v>
      </c>
      <c r="F4" s="2" t="s">
        <v>11</v>
      </c>
      <c r="H4" s="16" t="s">
        <v>12</v>
      </c>
      <c r="I4" s="19" t="s">
        <v>13</v>
      </c>
      <c r="J4" s="16" t="s">
        <v>14</v>
      </c>
      <c r="K4" s="19" t="s">
        <v>7</v>
      </c>
      <c r="L4" s="19" t="s">
        <v>15</v>
      </c>
      <c r="M4" s="19" t="str">
        <f>(J4)</f>
        <v>Curr.</v>
      </c>
      <c r="O4" s="19" t="s">
        <v>7</v>
      </c>
      <c r="P4" s="19"/>
      <c r="Q4" s="56" t="s">
        <v>69</v>
      </c>
      <c r="R4" s="56"/>
      <c r="S4" s="29"/>
      <c r="T4" s="56"/>
      <c r="U4" s="56"/>
      <c r="V4" s="56"/>
      <c r="W4" s="110"/>
      <c r="X4" s="118"/>
      <c r="Y4" s="115" t="s">
        <v>62</v>
      </c>
      <c r="Z4" s="120"/>
      <c r="AA4" s="119"/>
      <c r="AB4" s="120"/>
      <c r="AC4" s="119"/>
      <c r="AD4" s="120"/>
      <c r="AE4" s="119"/>
      <c r="AF4" s="120"/>
      <c r="AG4" s="119"/>
      <c r="AH4" s="117"/>
      <c r="AI4" s="110"/>
      <c r="AJ4" s="120"/>
      <c r="AK4" s="119"/>
      <c r="AU4" s="21"/>
      <c r="AV4" s="21"/>
      <c r="AW4" s="21"/>
      <c r="AX4" s="21"/>
      <c r="AY4" s="20"/>
      <c r="BB4" s="21"/>
      <c r="BC4" s="21"/>
      <c r="BD4" s="21"/>
      <c r="BE4" s="21"/>
      <c r="BF4" s="21"/>
      <c r="BK4" s="21"/>
      <c r="BL4" s="21"/>
      <c r="BM4" s="21"/>
      <c r="BN4" s="21"/>
      <c r="BO4" s="20"/>
      <c r="BR4" s="21"/>
      <c r="BS4" s="21"/>
      <c r="BT4" s="21"/>
      <c r="BU4" s="21"/>
      <c r="BV4" s="21"/>
      <c r="BZ4" s="21"/>
      <c r="CA4" s="21"/>
      <c r="CB4" s="21"/>
      <c r="CC4" s="21"/>
      <c r="CD4" s="20"/>
      <c r="CG4" s="21"/>
      <c r="CH4" s="21"/>
      <c r="CI4" s="21"/>
      <c r="CJ4" s="21"/>
      <c r="CK4" s="21"/>
      <c r="CM4" s="6"/>
    </row>
    <row r="5" spans="1:91" ht="14" customHeight="1">
      <c r="A5" s="2"/>
      <c r="B5" s="19" t="s">
        <v>16</v>
      </c>
      <c r="C5" s="19" t="s">
        <v>17</v>
      </c>
      <c r="D5" s="16" t="s">
        <v>16</v>
      </c>
      <c r="E5" s="19" t="s">
        <v>18</v>
      </c>
      <c r="F5" s="56" t="s">
        <v>129</v>
      </c>
      <c r="H5" s="16" t="s">
        <v>18</v>
      </c>
      <c r="I5" s="19" t="s">
        <v>16</v>
      </c>
      <c r="J5" s="16" t="s">
        <v>16</v>
      </c>
      <c r="K5" s="19" t="s">
        <v>16</v>
      </c>
      <c r="L5" s="19" t="s">
        <v>19</v>
      </c>
      <c r="M5" s="23" t="str">
        <f>(J5)</f>
        <v>Access</v>
      </c>
      <c r="O5" s="2" t="s">
        <v>20</v>
      </c>
      <c r="P5" s="19"/>
      <c r="Q5" s="56"/>
      <c r="R5" s="56"/>
      <c r="S5" s="29"/>
      <c r="T5" s="56"/>
      <c r="U5" s="56"/>
      <c r="V5" s="56"/>
      <c r="W5" s="110"/>
      <c r="X5" s="118"/>
      <c r="Y5" s="115"/>
      <c r="Z5" s="120"/>
      <c r="AA5" s="119"/>
      <c r="AB5" s="120"/>
      <c r="AC5" s="119"/>
      <c r="AD5" s="120"/>
      <c r="AE5" s="119"/>
      <c r="AF5" s="120"/>
      <c r="AG5" s="119"/>
      <c r="AH5" s="117"/>
      <c r="AI5" s="110"/>
      <c r="AJ5" s="120"/>
      <c r="AK5" s="119"/>
      <c r="AV5" s="21"/>
      <c r="AW5" s="21"/>
      <c r="AX5" s="21"/>
      <c r="BC5" s="21"/>
      <c r="BD5" s="21"/>
      <c r="BE5" s="21"/>
      <c r="BL5" s="21"/>
      <c r="BM5" s="21"/>
      <c r="BN5" s="21"/>
      <c r="BS5" s="21"/>
      <c r="BT5" s="21"/>
      <c r="BU5" s="21"/>
      <c r="CA5" s="21"/>
      <c r="CB5" s="21"/>
      <c r="CC5" s="21"/>
      <c r="CH5" s="21"/>
      <c r="CI5" s="21"/>
      <c r="CJ5" s="21"/>
    </row>
    <row r="6" spans="1:91" ht="14" customHeight="1">
      <c r="A6" s="85" t="str">
        <f>IF(Poor!A6=0,"",Poor!A6)</f>
        <v>Cows' milk - season 1</v>
      </c>
      <c r="B6" s="101">
        <v>8.7236793453122227E-2</v>
      </c>
      <c r="C6" s="102">
        <v>0</v>
      </c>
      <c r="D6" s="24">
        <f t="shared" ref="D6:D29" si="0">(B6+C6)</f>
        <v>8.7236793453122227E-2</v>
      </c>
      <c r="E6" s="75">
        <f>Middle!E6</f>
        <v>0.5</v>
      </c>
      <c r="F6" s="2" t="s">
        <v>21</v>
      </c>
      <c r="H6" s="24">
        <f t="shared" ref="H6:H29" si="1">(E6*F$7/F$9)</f>
        <v>0.5</v>
      </c>
      <c r="I6" s="22">
        <f t="shared" ref="I6:I29" si="2">(D6*H6)</f>
        <v>4.3618396726561114E-2</v>
      </c>
      <c r="J6" s="24">
        <f t="shared" ref="J6:J13" si="3">IF(I$32&lt;=1+I$131,I6,B6*H6+J$33*(I6-B6*H6))</f>
        <v>4.3618396726561114E-2</v>
      </c>
      <c r="K6" s="22">
        <f t="shared" ref="K6:K31" si="4">B6</f>
        <v>8.7236793453122227E-2</v>
      </c>
      <c r="L6" s="22">
        <f t="shared" ref="L6:L29" si="5">IF(K6="","",K6*H6)</f>
        <v>4.3618396726561114E-2</v>
      </c>
      <c r="M6" s="177">
        <f t="shared" ref="M6:M31" si="6">J6</f>
        <v>4.3618396726561114E-2</v>
      </c>
      <c r="N6" s="229">
        <v>3</v>
      </c>
      <c r="O6" s="22" t="s">
        <v>22</v>
      </c>
      <c r="P6" s="22"/>
      <c r="Q6" s="56"/>
      <c r="R6" s="70" t="s">
        <v>7</v>
      </c>
      <c r="S6" s="70" t="s">
        <v>70</v>
      </c>
      <c r="T6" s="70" t="s">
        <v>22</v>
      </c>
      <c r="U6" s="56"/>
      <c r="V6" s="56"/>
      <c r="W6" s="115"/>
      <c r="X6" s="118"/>
      <c r="Y6" s="183">
        <f>M6*4</f>
        <v>0.17447358690624445</v>
      </c>
      <c r="Z6" s="156">
        <f>Poor!Z6</f>
        <v>0.17</v>
      </c>
      <c r="AA6" s="121">
        <f>$M6*Z6*4</f>
        <v>2.9660509774061559E-2</v>
      </c>
      <c r="AB6" s="156">
        <f>Poor!AB6</f>
        <v>0.17</v>
      </c>
      <c r="AC6" s="121">
        <f t="shared" ref="AC6:AC29" si="7">$M6*AB6*4</f>
        <v>2.9660509774061559E-2</v>
      </c>
      <c r="AD6" s="156">
        <f>Poor!AD6</f>
        <v>0.33</v>
      </c>
      <c r="AE6" s="121">
        <f t="shared" ref="AE6:AE29" si="8">$M6*AD6*4</f>
        <v>5.7576283679060675E-2</v>
      </c>
      <c r="AF6" s="122">
        <f>1-SUM(Z6,AB6,AD6)</f>
        <v>0.32999999999999996</v>
      </c>
      <c r="AG6" s="121">
        <f>$M6*AF6*4</f>
        <v>5.7576283679060661E-2</v>
      </c>
      <c r="AH6" s="123">
        <f>SUM(Z6,AB6,AD6,AF6)</f>
        <v>1</v>
      </c>
      <c r="AI6" s="183">
        <f>SUM(AA6,AC6,AE6,AG6)/4</f>
        <v>4.3618396726561114E-2</v>
      </c>
      <c r="AJ6" s="120">
        <f>(AA6+AC6)/2</f>
        <v>2.9660509774061559E-2</v>
      </c>
      <c r="AK6" s="119">
        <f>(AE6+AG6)/2</f>
        <v>5.7576283679060668E-2</v>
      </c>
      <c r="AS6" s="25"/>
      <c r="AT6" s="25"/>
      <c r="AU6" s="25"/>
      <c r="AV6" s="25"/>
      <c r="AW6" s="25"/>
      <c r="AX6" s="25"/>
      <c r="AZ6" s="25"/>
      <c r="BA6" s="25"/>
      <c r="BB6" s="25"/>
      <c r="BC6" s="25"/>
      <c r="BD6" s="25"/>
      <c r="BE6" s="25"/>
      <c r="BF6" s="25"/>
      <c r="BI6" s="25"/>
      <c r="BJ6" s="25"/>
      <c r="BK6" s="25"/>
      <c r="BL6" s="25"/>
      <c r="BM6" s="25"/>
      <c r="BN6" s="25"/>
      <c r="BP6" s="25"/>
      <c r="BQ6" s="25"/>
      <c r="BR6" s="25"/>
      <c r="BS6" s="25"/>
      <c r="BT6" s="25"/>
      <c r="BU6" s="25"/>
      <c r="BV6" s="25"/>
      <c r="BX6" s="25"/>
      <c r="BY6" s="25"/>
      <c r="BZ6" s="25"/>
      <c r="CA6" s="25"/>
      <c r="CB6" s="25"/>
      <c r="CC6" s="25"/>
      <c r="CE6" s="25"/>
      <c r="CF6" s="25"/>
      <c r="CG6" s="25"/>
      <c r="CH6" s="25"/>
      <c r="CI6" s="25"/>
      <c r="CJ6" s="25"/>
      <c r="CK6" s="25"/>
    </row>
    <row r="7" spans="1:91" ht="14" customHeight="1">
      <c r="A7" s="85" t="str">
        <f>IF(Poor!A7=0,"",Poor!A7)</f>
        <v>Cows' milk - season 2</v>
      </c>
      <c r="B7" s="101">
        <v>2.1451670521259555E-2</v>
      </c>
      <c r="C7" s="102">
        <v>0</v>
      </c>
      <c r="D7" s="24">
        <f t="shared" si="0"/>
        <v>2.1451670521259555E-2</v>
      </c>
      <c r="E7" s="75">
        <f>Middle!E7</f>
        <v>0.5</v>
      </c>
      <c r="F7" s="27">
        <v>8800</v>
      </c>
      <c r="H7" s="24">
        <f t="shared" si="1"/>
        <v>0.5</v>
      </c>
      <c r="I7" s="22">
        <f t="shared" si="2"/>
        <v>1.0725835260629778E-2</v>
      </c>
      <c r="J7" s="24">
        <f t="shared" si="3"/>
        <v>1.0725835260629778E-2</v>
      </c>
      <c r="K7" s="22">
        <f t="shared" si="4"/>
        <v>2.1451670521259555E-2</v>
      </c>
      <c r="L7" s="22">
        <f t="shared" si="5"/>
        <v>1.0725835260629778E-2</v>
      </c>
      <c r="M7" s="177">
        <f t="shared" si="6"/>
        <v>1.0725835260629778E-2</v>
      </c>
      <c r="N7" s="229">
        <v>3</v>
      </c>
      <c r="O7" s="2"/>
      <c r="P7" s="22"/>
      <c r="Q7" s="59" t="s">
        <v>71</v>
      </c>
      <c r="R7" s="222">
        <f>IF($B$81=0,0,(SUMIF($N$6:$N$28,$U7,K$6:K$28)+SUMIF($N$91:$N$118,$U7,K$91:K$118))*$B$83*$H$84*Poor!$B$81/$B$81)</f>
        <v>5853.1594742804473</v>
      </c>
      <c r="S7" s="222">
        <f>IF($B$81=0,0,(SUMIF($N$6:$N$28,$U7,L$6:L$28)+SUMIF($N$91:$N$118,$U7,L$91:L$118))*$I$83*Poor!$B$81/$B$81)</f>
        <v>6973.4948466549677</v>
      </c>
      <c r="T7" s="222">
        <f>IF($B$81=0,0,(SUMIF($N$6:$N$28,$U7,M$6:M$28)+SUMIF($N$91:$N$118,$U7,M$91:M$118))*$I$83*Poor!$B$81/$B$81)</f>
        <v>6437.0636881233486</v>
      </c>
      <c r="U7" s="223">
        <v>1</v>
      </c>
      <c r="V7" s="56"/>
      <c r="W7" s="115"/>
      <c r="X7" s="118">
        <f>Poor!X7</f>
        <v>4</v>
      </c>
      <c r="Y7" s="183">
        <f t="shared" ref="Y7:Y29" si="9">M7*4</f>
        <v>4.2903341042519111E-2</v>
      </c>
      <c r="Z7" s="125">
        <f>IF($Y7=0,0,AA7/$Y7)</f>
        <v>0</v>
      </c>
      <c r="AA7" s="121">
        <f>IF($X7=1,IF(SUM(AA$6,AA$12:AA$29)&lt;1,IF((1-SUM(AA$6,AA$12:AA$29))*$M7/SUM($M$7*IF($X$7=1,1,0),$M$8*IF($X$8=1,1,0),$M$9*IF($X$9=1,1,0),$M$10*IF($X$10=1,1,0),$M$11*IF($X$11=1,1,0))&lt;Y7,(1-SUM(AA$6,AA$12:AA$29))*$M7/SUM($M$7*IF($X$7=1,1,0),$M$8*IF($X$8=1,1,0),$M$9*IF($X$9=1,1,0),$M$10*IF($X$10=1,1,0),$M$11*IF($X$11=1,1,0)),Y7),0),0)</f>
        <v>0</v>
      </c>
      <c r="AB7" s="125">
        <f>IF($Y7=0,0,AC7/$Y7)</f>
        <v>0</v>
      </c>
      <c r="AC7" s="121">
        <f>IF($X7&lt;3,IF(SUM(AC$6,AC$12:AC$29)&lt;1,IF(SUM(AC$6,AC$12:AC$29)+SUM((Y$7-AA$7)*IF($X$7&lt;3,1,0),(Y$8-AA$8)*IF($X$8&lt;3,1,0),(Y$9-AA$9)*IF($X$9&lt;3,1,0),(Y$10-AA$10)*IF($X$10&lt;3,1,0),(Y$11-AA$11)*IF($X$11&lt;3,1,0))&lt;1,Y7-AA7,IF((1-SUM(AC$6,AC$12:AC$29))*$M7/SUM($M$7*IF($X$7&lt;3,1,0),$M$8*IF($X$8&lt;3,1,0),$M$9*IF($X$9&lt;3,1,0),$M$10*IF($X$10&lt;3,1,0),$M$11*IF($X$11&lt;3,1,0))&lt;Y7-AA7,(1-SUM(AC$6,AC$12:AC$29))*$M7/SUM($M$7*IF($X$7&lt;3,1,0),$M$8*IF($X$8&lt;3,1,0),$M$9*IF($X$9&lt;3,1,0),$M$10*IF($X$10&lt;3,1,0),$M$11*IF($X$11&lt;3,1,0)),Y7-AA7)),0),0)</f>
        <v>0</v>
      </c>
      <c r="AD7" s="125">
        <f>IF($Y7=0,0,AE7/$Y7)</f>
        <v>0</v>
      </c>
      <c r="AE7" s="121">
        <f>IF($X7&lt;4,IF(SUM(AE$6:AE$6,AE$12:AE$29)&lt;1,IF(SUM(AE$6:AE$6,AE$12:AE$29)+SUM((Y$7-AA$7-AC$7)*IF($X$7&lt;3,1,0),(Y$8-AA$8-AC$8)*IF($X$8&lt;3,1,0),(Y$9-AA$9-AC$9)*IF($X$9&lt;3,1,0),(Y$10-AA$10-AC$10)*IF($X$10&lt;3,1,0),(Y$11-AA$11-AC$11)*IF($X$11&lt;3,1,0))&lt;1,Y7-AA7-AC7,IF((1-SUM(AE$6:AE$6,AE$12:AE$29))*$M7/SUM($M$7*IF($X$7&lt;4,1,0),$M$8*IF($X$8&lt;4,1,0),$M$9*IF($X$9&lt;4,1,0),$M$10*IF($X$10&lt;4,1,0),$M$11*IF($X$11&lt;4,1,0))&lt;Y7-AA7-AC7,(1-SUM(AE$6:AE$6,AE$12:AE$29))*$M7/SUM($M$7*IF($X$7&lt;4,1,0),$M$8*IF($X$8&lt;4,1,0),$M$9*IF($X$9&lt;4,1,0),$M$10*IF($X$10&lt;4,1,0),$M$11*IF($X$11&lt;4,1,0)),Y7-AA7-AC7)),0),0)</f>
        <v>0</v>
      </c>
      <c r="AF7" s="122">
        <f t="shared" ref="AF7:AF29" si="10">1-SUM(Z7,AB7,AD7)</f>
        <v>1</v>
      </c>
      <c r="AG7" s="121">
        <f t="shared" ref="AG7:AG29" si="11">$M7*AF7*4</f>
        <v>4.2903341042519111E-2</v>
      </c>
      <c r="AH7" s="123">
        <f t="shared" ref="AH7:AH30" si="12">SUM(Z7,AB7,AD7,AF7)</f>
        <v>1</v>
      </c>
      <c r="AI7" s="183">
        <f t="shared" ref="AI7:AI30" si="13">SUM(AA7,AC7,AE7,AG7)/4</f>
        <v>1.0725835260629778E-2</v>
      </c>
      <c r="AJ7" s="120">
        <f t="shared" ref="AJ7:AJ31" si="14">(AA7+AC7)/2</f>
        <v>0</v>
      </c>
      <c r="AK7" s="119">
        <f t="shared" ref="AK7:AK31" si="15">(AE7+AG7)/2</f>
        <v>2.1451670521259555E-2</v>
      </c>
      <c r="AS7" s="25"/>
      <c r="AT7" s="25"/>
      <c r="AU7" s="25"/>
      <c r="AV7" s="25"/>
      <c r="AW7" s="25"/>
      <c r="AX7" s="25"/>
      <c r="AZ7" s="25"/>
      <c r="BA7" s="25"/>
      <c r="BB7" s="25"/>
      <c r="BC7" s="25"/>
      <c r="BD7" s="25"/>
      <c r="BE7" s="25"/>
      <c r="BF7" s="25"/>
      <c r="BI7" s="25"/>
      <c r="BJ7" s="25"/>
      <c r="BK7" s="25"/>
      <c r="BL7" s="25"/>
      <c r="BM7" s="25"/>
      <c r="BN7" s="25"/>
      <c r="BP7" s="25"/>
      <c r="BQ7" s="25"/>
      <c r="BR7" s="25"/>
      <c r="BS7" s="25"/>
      <c r="BT7" s="25"/>
      <c r="BU7" s="25"/>
      <c r="BV7" s="25"/>
      <c r="BX7" s="25"/>
      <c r="BY7" s="25"/>
      <c r="BZ7" s="25"/>
      <c r="CA7" s="25"/>
      <c r="CB7" s="25"/>
      <c r="CC7" s="25"/>
      <c r="CE7" s="25"/>
      <c r="CF7" s="25"/>
      <c r="CG7" s="25"/>
      <c r="CH7" s="25"/>
      <c r="CI7" s="25"/>
      <c r="CJ7" s="25"/>
      <c r="CK7" s="25"/>
    </row>
    <row r="8" spans="1:91" ht="14" customHeight="1">
      <c r="A8" s="85" t="str">
        <f>IF(Poor!A8=0,"",Poor!A8)</f>
        <v>Own meat</v>
      </c>
      <c r="B8" s="101">
        <v>4.9989068374547828E-2</v>
      </c>
      <c r="C8" s="102">
        <v>0</v>
      </c>
      <c r="D8" s="24">
        <f t="shared" si="0"/>
        <v>4.9989068374547828E-2</v>
      </c>
      <c r="E8" s="75">
        <f>Middle!E8</f>
        <v>0.5</v>
      </c>
      <c r="F8" s="22" t="s">
        <v>23</v>
      </c>
      <c r="H8" s="24">
        <f t="shared" si="1"/>
        <v>0.5</v>
      </c>
      <c r="I8" s="22">
        <f t="shared" si="2"/>
        <v>2.4994534187273914E-2</v>
      </c>
      <c r="J8" s="24">
        <f t="shared" si="3"/>
        <v>2.4994534187273914E-2</v>
      </c>
      <c r="K8" s="22">
        <f t="shared" si="4"/>
        <v>4.9989068374547828E-2</v>
      </c>
      <c r="L8" s="22">
        <f t="shared" si="5"/>
        <v>2.4994534187273914E-2</v>
      </c>
      <c r="M8" s="224">
        <f t="shared" si="6"/>
        <v>2.4994534187273914E-2</v>
      </c>
      <c r="N8" s="229">
        <v>3</v>
      </c>
      <c r="O8" s="2"/>
      <c r="P8" s="22"/>
      <c r="Q8" s="59" t="s">
        <v>72</v>
      </c>
      <c r="R8" s="222">
        <f>IF($B$81=0,0,(SUMIF($N$6:$N$28,$U8,K$6:K$28)+SUMIF($N$91:$N$118,$U8,K$91:K$118))*$B$83*$H$84*Poor!$B$81/$B$81)</f>
        <v>36140.364759779412</v>
      </c>
      <c r="S8" s="222">
        <f>IF($B$81=0,0,(SUMIF($N$6:$N$28,$U8,L$6:L$28)+SUMIF($N$91:$N$118,$U8,L$91:L$118))*$I$83*Poor!$B$81/$B$81)</f>
        <v>35094.400000000001</v>
      </c>
      <c r="T8" s="222">
        <f>IF($B$81=0,0,(SUMIF($N$6:$N$28,$U8,M$6:M$28)+SUMIF($N$91:$N$118,$U8,M$91:M$118))*$I$83*Poor!$B$81/$B$81)</f>
        <v>35466.534148872699</v>
      </c>
      <c r="U8" s="223">
        <v>2</v>
      </c>
      <c r="V8" s="56"/>
      <c r="W8" s="115"/>
      <c r="X8" s="118">
        <f>Poor!X8</f>
        <v>1</v>
      </c>
      <c r="Y8" s="183">
        <f t="shared" si="9"/>
        <v>9.9978136749095656E-2</v>
      </c>
      <c r="Z8" s="125">
        <f>IF($Y8=0,0,AA8/$Y8)</f>
        <v>0.44816530449254921</v>
      </c>
      <c r="AA8" s="121">
        <f>IF($X8=1,IF(SUM(AA$6,AA$12:AA$29)&lt;1,IF((1-SUM(AA$6,AA$12:AA$29))*$M8/SUM($M$7*IF($X$7=1,1,0),$M$8*IF($X$8=1,1,0),$M$9*IF($X$9=1,1,0),$M$10*IF($X$10=1,1,0),$M$11*IF($X$11=1,1,0))&lt;Y8,(1-SUM(AA$6,AA$12:AA$29))*$M8/SUM($M$7*IF($X$7=1,1,0),$M$8*IF($X$8=1,1,0),$M$9*IF($X$9=1,1,0),$M$10*IF($X$10=1,1,0),$M$11*IF($X$11=1,1,0)),Y8),0),0)</f>
        <v>4.4806732098756179E-2</v>
      </c>
      <c r="AB8" s="125">
        <f>IF($Y8=0,0,AC8/$Y8)</f>
        <v>0.52084322783299053</v>
      </c>
      <c r="AC8" s="121">
        <f>IF($X8&lt;3,IF(SUM(AC$6,AC$12:AC$29)&lt;1,IF(SUM(AC$6,AC$12:AC$29)+SUM((Y$7-AA$7)*IF($X$7&lt;3,1,0),(Y$8-AA$8)*IF($X$8&lt;3,1,0),(Y$9-AA$9)*IF($X$9&lt;3,1,0),(Y$10-AA$10)*IF($X$10&lt;3,1,0),(Y$11-AA$11)*IF($X$11&lt;3,1,0))&lt;1,Y8-AA8,IF((1-SUM(AC$6,AC$12:AC$29))*$M8/SUM($M$7*IF($X$7&lt;3,1,0),$M$8*IF($X$8&lt;3,1,0),$M$9*IF($X$9&lt;3,1,0),$M$10*IF($X$10&lt;3,1,0),$M$11*IF($X$11&lt;3,1,0))&lt;Y8-AA8,(1-SUM(AC$6,AC$12:AC$29))*$M8/SUM($M$7*IF($X$7&lt;3,1,0),$M$8*IF($X$8&lt;3,1,0),$M$9*IF($X$9&lt;3,1,0),$M$10*IF($X$10&lt;3,1,0),$M$11*IF($X$11&lt;3,1,0)),Y8-AA8)),0),0)</f>
        <v>5.2072935457127108E-2</v>
      </c>
      <c r="AD8" s="125">
        <f>IF($Y8=0,0,AE8/$Y8)</f>
        <v>3.0991467674460298E-2</v>
      </c>
      <c r="AE8" s="121">
        <f>IF($X8&lt;4,IF(SUM(AE$6:AE$6,AE$12:AE$29)&lt;1,IF(SUM(AE$6:AE$6,AE$12:AE$29)+SUM((Y$7-AA$7-AC$7)*IF($X$7&lt;3,1,0),(Y$8-AA$8-AC$8)*IF($X$8&lt;3,1,0),(Y$9-AA$9-AC$9)*IF($X$9&lt;3,1,0),(Y$10-AA$10-AC$10)*IF($X$10&lt;3,1,0),(Y$11-AA$11-AC$11)*IF($X$11&lt;3,1,0))&lt;1,Y8-AA8-AC8,IF((1-SUM(AE$6:AE$6,AE$12:AE$29))*$M8/SUM($M$7*IF($X$7&lt;4,1,0),$M$8*IF($X$8&lt;4,1,0),$M$9*IF($X$9&lt;4,1,0),$M$10*IF($X$10&lt;4,1,0),$M$11*IF($X$11&lt;4,1,0))&lt;Y8-AA8-AC8,(1-SUM(AE$6:AE$6,AE$12:AE$29))*$M8/SUM($M$7*IF($X$7&lt;4,1,0),$M$8*IF($X$8&lt;4,1,0),$M$9*IF($X$9&lt;4,1,0),$M$10*IF($X$10&lt;4,1,0),$M$11*IF($X$11&lt;4,1,0)),Y8-AA8-AC8)),0),0)</f>
        <v>3.0984691932123692E-3</v>
      </c>
      <c r="AF8" s="122">
        <f t="shared" si="10"/>
        <v>0</v>
      </c>
      <c r="AG8" s="121">
        <f t="shared" si="11"/>
        <v>0</v>
      </c>
      <c r="AH8" s="123">
        <f t="shared" si="12"/>
        <v>1</v>
      </c>
      <c r="AI8" s="183">
        <f t="shared" si="13"/>
        <v>2.4994534187273914E-2</v>
      </c>
      <c r="AJ8" s="120">
        <f t="shared" si="14"/>
        <v>4.8439833777941643E-2</v>
      </c>
      <c r="AK8" s="119">
        <f t="shared" si="15"/>
        <v>1.5492345966061846E-3</v>
      </c>
      <c r="AS8" s="25"/>
      <c r="AT8" s="25"/>
      <c r="AU8" s="25"/>
      <c r="AV8" s="25"/>
      <c r="AW8" s="25"/>
      <c r="AX8" s="25"/>
      <c r="AZ8" s="25"/>
      <c r="BA8" s="25"/>
      <c r="BB8" s="25"/>
      <c r="BC8" s="25"/>
      <c r="BD8" s="25"/>
      <c r="BE8" s="25"/>
      <c r="BF8" s="25"/>
      <c r="BI8" s="25"/>
      <c r="BJ8" s="25"/>
      <c r="BK8" s="25"/>
      <c r="BL8" s="25"/>
      <c r="BM8" s="25"/>
      <c r="BN8" s="25"/>
      <c r="BP8" s="25"/>
      <c r="BQ8" s="25"/>
      <c r="BR8" s="25"/>
      <c r="BS8" s="25"/>
      <c r="BT8" s="25"/>
      <c r="BU8" s="25"/>
      <c r="BV8" s="25"/>
      <c r="BX8" s="25"/>
      <c r="BY8" s="25"/>
      <c r="BZ8" s="25"/>
      <c r="CA8" s="25"/>
      <c r="CB8" s="25"/>
      <c r="CC8" s="25"/>
      <c r="CE8" s="25"/>
      <c r="CF8" s="25"/>
      <c r="CG8" s="25"/>
      <c r="CH8" s="25"/>
      <c r="CI8" s="25"/>
      <c r="CJ8" s="25"/>
      <c r="CK8" s="25"/>
    </row>
    <row r="9" spans="1:91" ht="14" customHeight="1">
      <c r="A9" s="85" t="str">
        <f>IF(Poor!A9=0,"",Poor!A9)</f>
        <v>Green cons - Season 1: no of months</v>
      </c>
      <c r="B9" s="101">
        <v>3.8888888888888892E-3</v>
      </c>
      <c r="C9" s="102">
        <v>0</v>
      </c>
      <c r="D9" s="24">
        <f t="shared" si="0"/>
        <v>3.8888888888888892E-3</v>
      </c>
      <c r="E9" s="75">
        <f>Middle!E9</f>
        <v>1</v>
      </c>
      <c r="F9" s="76">
        <f>Poor!F9</f>
        <v>8800</v>
      </c>
      <c r="H9" s="24">
        <f t="shared" si="1"/>
        <v>1</v>
      </c>
      <c r="I9" s="22">
        <f t="shared" si="2"/>
        <v>3.8888888888888892E-3</v>
      </c>
      <c r="J9" s="24">
        <f t="shared" si="3"/>
        <v>3.8888888888888892E-3</v>
      </c>
      <c r="K9" s="22">
        <f t="shared" si="4"/>
        <v>3.8888888888888892E-3</v>
      </c>
      <c r="L9" s="22">
        <f t="shared" si="5"/>
        <v>3.8888888888888892E-3</v>
      </c>
      <c r="M9" s="224">
        <f t="shared" si="6"/>
        <v>3.8888888888888892E-3</v>
      </c>
      <c r="N9" s="229">
        <v>1</v>
      </c>
      <c r="O9" s="2"/>
      <c r="P9" s="22"/>
      <c r="Q9" s="59" t="s">
        <v>73</v>
      </c>
      <c r="R9" s="222">
        <f>IF($B$81=0,0,(SUMIF($N$6:$N$28,$U9,K$6:K$28)+SUMIF($N$91:$N$118,$U9,K$91:K$118))*$B$83*$H$84*Poor!$B$81/$B$81)</f>
        <v>2403.4795915096111</v>
      </c>
      <c r="S9" s="222">
        <f>IF($B$81=0,0,(SUMIF($N$6:$N$28,$U9,L$6:L$28)+SUMIF($N$91:$N$118,$U9,L$91:L$118))*$I$83*Poor!$B$81/$B$81)</f>
        <v>1346.563924800749</v>
      </c>
      <c r="T9" s="222">
        <f>IF($B$81=0,0,(SUMIF($N$6:$N$28,$U9,M$6:M$28)+SUMIF($N$91:$N$118,$U9,M$91:M$118))*$I$83*Poor!$B$81/$B$81)</f>
        <v>1346.563924800749</v>
      </c>
      <c r="U9" s="223">
        <v>3</v>
      </c>
      <c r="V9" s="56"/>
      <c r="W9" s="115"/>
      <c r="X9" s="118">
        <f>Poor!X9</f>
        <v>1</v>
      </c>
      <c r="Y9" s="183">
        <f t="shared" si="9"/>
        <v>1.5555555555555557E-2</v>
      </c>
      <c r="Z9" s="125">
        <f>IF($Y9=0,0,AA9/$Y9)</f>
        <v>0.44816530449254932</v>
      </c>
      <c r="AA9" s="121">
        <f>IF($X9=1,IF(SUM(AA$6,AA$12:AA$29)&lt;1,IF((1-SUM(AA$6,AA$12:AA$29))*$M9/SUM($M$7*IF($X$7=1,1,0),$M$8*IF($X$8=1,1,0),$M$9*IF($X$9=1,1,0),$M$10*IF($X$10=1,1,0),$M$11*IF($X$11=1,1,0))&lt;Y9,(1-SUM(AA$6,AA$12:AA$29))*$M9/SUM($M$7*IF($X$7=1,1,0),$M$8*IF($X$8=1,1,0),$M$9*IF($X$9=1,1,0),$M$10*IF($X$10=1,1,0),$M$11*IF($X$11=1,1,0)),Y9),0),0)</f>
        <v>6.9714602921063231E-3</v>
      </c>
      <c r="AB9" s="125">
        <f>IF($Y9=0,0,AC9/$Y9)</f>
        <v>0.52084322783299053</v>
      </c>
      <c r="AC9" s="121">
        <f>IF($X9&lt;3,IF(SUM(AC$6,AC$12:AC$29)&lt;1,IF(SUM(AC$6,AC$12:AC$29)+SUM((Y$7-AA$7)*IF($X$7&lt;3,1,0),(Y$8-AA$8)*IF($X$8&lt;3,1,0),(Y$9-AA$9)*IF($X$9&lt;3,1,0),(Y$10-AA$10)*IF($X$10&lt;3,1,0),(Y$11-AA$11)*IF($X$11&lt;3,1,0))&lt;1,Y9-AA9,IF((1-SUM(AC$6,AC$12:AC$29))*$M9/SUM($M$7*IF($X$7&lt;3,1,0),$M$8*IF($X$8&lt;3,1,0),$M$9*IF($X$9&lt;3,1,0),$M$10*IF($X$10&lt;3,1,0),$M$11*IF($X$11&lt;3,1,0))&lt;Y9-AA9,(1-SUM(AC$6,AC$12:AC$29))*$M9/SUM($M$7*IF($X$7&lt;3,1,0),$M$8*IF($X$8&lt;3,1,0),$M$9*IF($X$9&lt;3,1,0),$M$10*IF($X$10&lt;3,1,0),$M$11*IF($X$11&lt;3,1,0)),Y9-AA9)),0),0)</f>
        <v>8.1020057662909636E-3</v>
      </c>
      <c r="AD9" s="125">
        <f>IF($Y9=0,0,AE9/$Y9)</f>
        <v>3.0991467674460271E-2</v>
      </c>
      <c r="AE9" s="121">
        <f>IF($X9&lt;4,IF(SUM(AE$6:AE$6,AE$12:AE$29)&lt;1,IF(SUM(AE$6:AE$6,AE$12:AE$29)+SUM((Y$7-AA$7-AC$7)*IF($X$7&lt;3,1,0),(Y$8-AA$8-AC$8)*IF($X$8&lt;3,1,0),(Y$9-AA$9-AC$9)*IF($X$9&lt;3,1,0),(Y$10-AA$10-AC$10)*IF($X$10&lt;3,1,0),(Y$11-AA$11-AC$11)*IF($X$11&lt;3,1,0))&lt;1,Y9-AA9-AC9,IF((1-SUM(AE$6:AE$6,AE$12:AE$29))*$M9/SUM($M$7*IF($X$7&lt;4,1,0),$M$8*IF($X$8&lt;4,1,0),$M$9*IF($X$9&lt;4,1,0),$M$10*IF($X$10&lt;4,1,0),$M$11*IF($X$11&lt;4,1,0))&lt;Y9-AA9-AC9,(1-SUM(AE$6:AE$6,AE$12:AE$29))*$M9/SUM($M$7*IF($X$7&lt;4,1,0),$M$8*IF($X$8&lt;4,1,0),$M$9*IF($X$9&lt;4,1,0),$M$10*IF($X$10&lt;4,1,0),$M$11*IF($X$11&lt;4,1,0)),Y9-AA9-AC9)),0),0)</f>
        <v>4.8208949715827093E-4</v>
      </c>
      <c r="AF9" s="122">
        <f t="shared" si="10"/>
        <v>0</v>
      </c>
      <c r="AG9" s="121">
        <f t="shared" si="11"/>
        <v>0</v>
      </c>
      <c r="AH9" s="123">
        <f t="shared" si="12"/>
        <v>1.0000000000000002</v>
      </c>
      <c r="AI9" s="183">
        <f t="shared" si="13"/>
        <v>3.8888888888888896E-3</v>
      </c>
      <c r="AJ9" s="120">
        <f t="shared" si="14"/>
        <v>7.5367330291986438E-3</v>
      </c>
      <c r="AK9" s="119">
        <f t="shared" si="15"/>
        <v>2.4104474857913546E-4</v>
      </c>
      <c r="AS9" s="25"/>
      <c r="AT9" s="25"/>
      <c r="AU9" s="25"/>
      <c r="AV9" s="25"/>
      <c r="AW9" s="25"/>
      <c r="AX9" s="25"/>
      <c r="AZ9" s="25"/>
      <c r="BA9" s="25"/>
      <c r="BB9" s="25"/>
      <c r="BC9" s="25"/>
      <c r="BD9" s="25"/>
      <c r="BE9" s="25"/>
      <c r="BF9" s="25"/>
      <c r="BI9" s="25"/>
      <c r="BJ9" s="25"/>
      <c r="BK9" s="25"/>
      <c r="BL9" s="25"/>
      <c r="BM9" s="25"/>
      <c r="BN9" s="25"/>
      <c r="BP9" s="25"/>
      <c r="BQ9" s="25"/>
      <c r="BR9" s="25"/>
      <c r="BS9" s="25"/>
      <c r="BT9" s="25"/>
      <c r="BU9" s="25"/>
      <c r="BV9" s="25"/>
      <c r="BX9" s="25"/>
      <c r="BY9" s="25"/>
      <c r="BZ9" s="25"/>
      <c r="CA9" s="25"/>
      <c r="CB9" s="25"/>
      <c r="CC9" s="25"/>
      <c r="CE9" s="25"/>
      <c r="CF9" s="25"/>
      <c r="CG9" s="25"/>
      <c r="CH9" s="25"/>
      <c r="CI9" s="25"/>
      <c r="CJ9" s="25"/>
      <c r="CK9" s="25"/>
    </row>
    <row r="10" spans="1:91" ht="14" customHeight="1">
      <c r="A10" s="85" t="str">
        <f>IF(Poor!A10=0,"",Poor!A10)</f>
        <v xml:space="preserve">Green beans </v>
      </c>
      <c r="B10" s="101">
        <v>9.4444444444444445E-3</v>
      </c>
      <c r="C10" s="102">
        <v>0</v>
      </c>
      <c r="D10" s="24">
        <f t="shared" si="0"/>
        <v>9.4444444444444445E-3</v>
      </c>
      <c r="E10" s="75">
        <f>Middle!E10</f>
        <v>1</v>
      </c>
      <c r="H10" s="24">
        <f t="shared" si="1"/>
        <v>1</v>
      </c>
      <c r="I10" s="22">
        <f t="shared" si="2"/>
        <v>9.4444444444444445E-3</v>
      </c>
      <c r="J10" s="24">
        <f t="shared" si="3"/>
        <v>9.4444444444444445E-3</v>
      </c>
      <c r="K10" s="22">
        <f t="shared" si="4"/>
        <v>9.4444444444444445E-3</v>
      </c>
      <c r="L10" s="22">
        <f t="shared" si="5"/>
        <v>9.4444444444444445E-3</v>
      </c>
      <c r="M10" s="224">
        <f t="shared" si="6"/>
        <v>9.4444444444444445E-3</v>
      </c>
      <c r="N10" s="229">
        <v>1</v>
      </c>
      <c r="O10" s="2"/>
      <c r="P10" s="22"/>
      <c r="Q10" s="59" t="s">
        <v>74</v>
      </c>
      <c r="R10" s="222">
        <f>IF($B$81=0,0,(SUMIF($N$6:$N$28,$U10,K$6:K$28)+SUMIF($N$91:$N$118,$U10,K$91:K$118))*$B$83*$H$84*Poor!$B$81/$B$81)</f>
        <v>0</v>
      </c>
      <c r="S10" s="222">
        <f>IF($B$81=0,0,(SUMIF($N$6:$N$28,$U10,L$6:L$28)+SUMIF($N$91:$N$118,$U10,L$91:L$118))*$I$83*Poor!$B$81/$B$81)</f>
        <v>0</v>
      </c>
      <c r="T10" s="222">
        <f>IF($B$81=0,0,(SUMIF($N$6:$N$28,$U10,M$6:M$28)+SUMIF($N$91:$N$118,$U10,M$91:M$118))*$I$83*Poor!$B$81/$B$81)</f>
        <v>0</v>
      </c>
      <c r="U10" s="223">
        <v>4</v>
      </c>
      <c r="V10" s="56"/>
      <c r="W10" s="115"/>
      <c r="X10" s="118">
        <f>Poor!X10</f>
        <v>1</v>
      </c>
      <c r="Y10" s="183">
        <f t="shared" si="9"/>
        <v>3.7777777777777778E-2</v>
      </c>
      <c r="Z10" s="125">
        <f>IF($Y10=0,0,AA10/$Y10)</f>
        <v>0.44816530449254927</v>
      </c>
      <c r="AA10" s="121">
        <f>IF($X10=1,IF(SUM(AA$6,AA$12:AA$29)&lt;1,IF((1-SUM(AA$6,AA$12:AA$29))*$M10/SUM($M$7*IF($X$7=1,1,0),$M$8*IF($X$8=1,1,0),$M$9*IF($X$9=1,1,0),$M$10*IF($X$10=1,1,0),$M$11*IF($X$11=1,1,0))&lt;Y10,(1-SUM(AA$6,AA$12:AA$29))*$M10/SUM($M$7*IF($X$7=1,1,0),$M$8*IF($X$8=1,1,0),$M$9*IF($X$9=1,1,0),$M$10*IF($X$10=1,1,0),$M$11*IF($X$11=1,1,0)),Y10),0),0)</f>
        <v>1.693068928082964E-2</v>
      </c>
      <c r="AB10" s="125">
        <f>IF($Y10=0,0,AC10/$Y10)</f>
        <v>0.52084322783299042</v>
      </c>
      <c r="AC10" s="121">
        <f>IF($X10&lt;3,IF(SUM(AC$6,AC$12:AC$29)&lt;1,IF(SUM(AC$6,AC$12:AC$29)+SUM((Y$7-AA$7)*IF($X$7&lt;3,1,0),(Y$8-AA$8)*IF($X$8&lt;3,1,0),(Y$9-AA$9)*IF($X$9&lt;3,1,0),(Y$10-AA$10)*IF($X$10&lt;3,1,0),(Y$11-AA$11)*IF($X$11&lt;3,1,0))&lt;1,Y10-AA10,IF((1-SUM(AC$6,AC$12:AC$29))*$M10/SUM($M$7*IF($X$7&lt;3,1,0),$M$8*IF($X$8&lt;3,1,0),$M$9*IF($X$9&lt;3,1,0),$M$10*IF($X$10&lt;3,1,0),$M$11*IF($X$11&lt;3,1,0))&lt;Y10-AA10,(1-SUM(AC$6,AC$12:AC$29))*$M10/SUM($M$7*IF($X$7&lt;3,1,0),$M$8*IF($X$8&lt;3,1,0),$M$9*IF($X$9&lt;3,1,0),$M$10*IF($X$10&lt;3,1,0),$M$11*IF($X$11&lt;3,1,0)),Y10-AA10)),0),0)</f>
        <v>1.9676299718135195E-2</v>
      </c>
      <c r="AD10" s="125">
        <f>IF($Y10=0,0,AE10/$Y10)</f>
        <v>3.0991467674460274E-2</v>
      </c>
      <c r="AE10" s="121">
        <f>IF($X10&lt;4,IF(SUM(AE$6:AE$6,AE$12:AE$29)&lt;1,IF(SUM(AE$6:AE$6,AE$12:AE$29)+SUM((Y$7-AA$7-AC$7)*IF($X$7&lt;3,1,0),(Y$8-AA$8-AC$8)*IF($X$8&lt;3,1,0),(Y$9-AA$9-AC$9)*IF($X$9&lt;3,1,0),(Y$10-AA$10-AC$10)*IF($X$10&lt;3,1,0),(Y$11-AA$11-AC$11)*IF($X$11&lt;3,1,0))&lt;1,Y10-AA10-AC10,IF((1-SUM(AE$6:AE$6,AE$12:AE$29))*$M10/SUM($M$7*IF($X$7&lt;4,1,0),$M$8*IF($X$8&lt;4,1,0),$M$9*IF($X$9&lt;4,1,0),$M$10*IF($X$10&lt;4,1,0),$M$11*IF($X$11&lt;4,1,0))&lt;Y10-AA10-AC10,(1-SUM(AE$6:AE$6,AE$12:AE$29))*$M10/SUM($M$7*IF($X$7&lt;4,1,0),$M$8*IF($X$8&lt;4,1,0),$M$9*IF($X$9&lt;4,1,0),$M$10*IF($X$10&lt;4,1,0),$M$11*IF($X$11&lt;4,1,0)),Y10-AA10-AC10)),0),0)</f>
        <v>1.1707887788129437E-3</v>
      </c>
      <c r="AF10" s="122">
        <f t="shared" si="10"/>
        <v>0</v>
      </c>
      <c r="AG10" s="121">
        <f t="shared" si="11"/>
        <v>0</v>
      </c>
      <c r="AH10" s="123">
        <f t="shared" si="12"/>
        <v>1</v>
      </c>
      <c r="AI10" s="183">
        <f t="shared" si="13"/>
        <v>9.4444444444444445E-3</v>
      </c>
      <c r="AJ10" s="120">
        <f t="shared" si="14"/>
        <v>1.8303494499482417E-2</v>
      </c>
      <c r="AK10" s="119">
        <f t="shared" si="15"/>
        <v>5.8539438940647184E-4</v>
      </c>
      <c r="AS10" s="25"/>
      <c r="AT10" s="25"/>
      <c r="AU10" s="25"/>
      <c r="AV10" s="25"/>
      <c r="AW10" s="25"/>
      <c r="AX10" s="25"/>
      <c r="AZ10" s="25"/>
      <c r="BA10" s="25"/>
      <c r="BB10" s="25"/>
      <c r="BC10" s="25"/>
      <c r="BD10" s="25"/>
      <c r="BE10" s="25"/>
      <c r="BF10" s="25"/>
      <c r="BI10" s="25"/>
      <c r="BJ10" s="25"/>
      <c r="BK10" s="25"/>
      <c r="BL10" s="25"/>
      <c r="BM10" s="25"/>
      <c r="BN10" s="25"/>
      <c r="BP10" s="25"/>
      <c r="BQ10" s="25"/>
      <c r="BR10" s="25"/>
      <c r="BS10" s="25"/>
      <c r="BT10" s="25"/>
      <c r="BU10" s="25"/>
      <c r="BV10" s="25"/>
      <c r="BX10" s="25"/>
      <c r="BY10" s="25"/>
      <c r="BZ10" s="25"/>
      <c r="CA10" s="25"/>
      <c r="CB10" s="25"/>
      <c r="CC10" s="25"/>
      <c r="CE10" s="25"/>
      <c r="CF10" s="25"/>
      <c r="CG10" s="25"/>
      <c r="CH10" s="25"/>
      <c r="CI10" s="25"/>
      <c r="CJ10" s="25"/>
      <c r="CK10" s="25"/>
    </row>
    <row r="11" spans="1:91" ht="14" customHeight="1">
      <c r="A11" s="85" t="str">
        <f>IF(Poor!A11=0,"",Poor!A11)</f>
        <v>Maize: kg produced</v>
      </c>
      <c r="B11" s="101">
        <v>0.25475845009784731</v>
      </c>
      <c r="C11" s="102">
        <v>1.1370999217221134</v>
      </c>
      <c r="D11" s="24">
        <f t="shared" si="0"/>
        <v>1.3918583718199606</v>
      </c>
      <c r="E11" s="75">
        <f>Middle!E11</f>
        <v>1.0900000000000001</v>
      </c>
      <c r="H11" s="24">
        <f t="shared" si="1"/>
        <v>1.0900000000000001</v>
      </c>
      <c r="I11" s="22">
        <f t="shared" si="2"/>
        <v>1.5171256252837573</v>
      </c>
      <c r="J11" s="24">
        <f t="shared" si="3"/>
        <v>0.2504928109152193</v>
      </c>
      <c r="K11" s="22">
        <f t="shared" si="4"/>
        <v>0.25475845009784731</v>
      </c>
      <c r="L11" s="22">
        <f t="shared" si="5"/>
        <v>0.27768671060665356</v>
      </c>
      <c r="M11" s="224">
        <f t="shared" si="6"/>
        <v>0.2504928109152193</v>
      </c>
      <c r="N11" s="229">
        <v>1</v>
      </c>
      <c r="O11" s="2"/>
      <c r="P11" s="22"/>
      <c r="Q11" s="59" t="s">
        <v>75</v>
      </c>
      <c r="R11" s="222">
        <f>IF($B$81=0,0,(SUMIF($N$6:$N$28,$U11,K$6:K$28)+SUMIF($N$91:$N$118,$U11,K$91:K$118))*$B$83*$H$84*Poor!$B$81/$B$81)</f>
        <v>31091.652569821865</v>
      </c>
      <c r="S11" s="222">
        <f>IF($B$81=0,0,(SUMIF($N$6:$N$28,$U11,L$6:L$28)+SUMIF($N$91:$N$118,$U11,L$91:L$118))*$I$83*Poor!$B$81/$B$81)</f>
        <v>20154.399999999994</v>
      </c>
      <c r="T11" s="222">
        <f>IF($B$81=0,0,(SUMIF($N$6:$N$28,$U11,M$6:M$28)+SUMIF($N$91:$N$118,$U11,M$91:M$118))*$I$83*Poor!$B$81/$B$81)</f>
        <v>20149.271357736969</v>
      </c>
      <c r="U11" s="223">
        <v>5</v>
      </c>
      <c r="V11" s="56"/>
      <c r="W11" s="115"/>
      <c r="X11" s="118">
        <f>Poor!X11</f>
        <v>1</v>
      </c>
      <c r="Y11" s="183">
        <f t="shared" si="9"/>
        <v>1.0019712436608772</v>
      </c>
      <c r="Z11" s="125">
        <f>IF($Y11=0,0,AA11/$Y11)</f>
        <v>0.44816530449254927</v>
      </c>
      <c r="AA11" s="121">
        <f>IF($X11=1,IF(SUM(AA$6,AA$12:AA$29)&lt;1,IF((1-SUM(AA$6,AA$12:AA$29))*$M11/SUM($M$7*IF($X$7=1,1,0),$M$8*IF($X$8=1,1,0),$M$9*IF($X$9=1,1,0),$M$10*IF($X$10=1,1,0),$M$11*IF($X$11=1,1,0))&lt;Y11,(1-SUM(AA$6,AA$12:AA$29))*$M11/SUM($M$7*IF($X$7=1,1,0),$M$8*IF($X$8=1,1,0),$M$9*IF($X$9=1,1,0),$M$10*IF($X$10=1,1,0),$M$11*IF($X$11=1,1,0)),Y11),0),0)</f>
        <v>0.44904874750805529</v>
      </c>
      <c r="AB11" s="125">
        <f>IF($Y11=0,0,AC11/$Y11)</f>
        <v>0.52084322783299042</v>
      </c>
      <c r="AC11" s="121">
        <f>IF($X11&lt;3,IF(SUM(AC$6,AC$12:AC$29)&lt;1,IF(SUM(AC$6,AC$12:AC$29)+SUM((Y$7-AA$7)*IF($X$7&lt;3,1,0),(Y$8-AA$8)*IF($X$8&lt;3,1,0),(Y$9-AA$9)*IF($X$9&lt;3,1,0),(Y$10-AA$10)*IF($X$10&lt;3,1,0),(Y$11-AA$11)*IF($X$11&lt;3,1,0))&lt;1,Y11-AA11,IF((1-SUM(AC$6,AC$12:AC$29))*$M11/SUM($M$7*IF($X$7&lt;3,1,0),$M$8*IF($X$8&lt;3,1,0),$M$9*IF($X$9&lt;3,1,0),$M$10*IF($X$10&lt;3,1,0),$M$11*IF($X$11&lt;3,1,0))&lt;Y11-AA11,(1-SUM(AC$6,AC$12:AC$29))*$M11/SUM($M$7*IF($X$7&lt;3,1,0),$M$8*IF($X$8&lt;3,1,0),$M$9*IF($X$9&lt;3,1,0),$M$10*IF($X$10&lt;3,1,0),$M$11*IF($X$11&lt;3,1,0)),Y11-AA11)),0),0)</f>
        <v>0.52186993674416704</v>
      </c>
      <c r="AD11" s="125">
        <f>IF($Y11=0,0,AE11/$Y11)</f>
        <v>3.099146767446025E-2</v>
      </c>
      <c r="AE11" s="121">
        <f>IF($X11&lt;4,IF(SUM(AE$6:AE$6,AE$12:AE$29)&lt;1,IF(SUM(AE$6:AE$6,AE$12:AE$29)+SUM((Y$7-AA$7-AC$7)*IF($X$7&lt;3,1,0),(Y$8-AA$8-AC$8)*IF($X$8&lt;3,1,0),(Y$9-AA$9-AC$9)*IF($X$9&lt;3,1,0),(Y$10-AA$10-AC$10)*IF($X$10&lt;3,1,0),(Y$11-AA$11-AC$11)*IF($X$11&lt;3,1,0))&lt;1,Y11-AA11-AC11,IF((1-SUM(AE$6:AE$6,AE$12:AE$29))*$M11/SUM($M$7*IF($X$7&lt;4,1,0),$M$8*IF($X$8&lt;4,1,0),$M$9*IF($X$9&lt;4,1,0),$M$10*IF($X$10&lt;4,1,0),$M$11*IF($X$11&lt;4,1,0))&lt;Y11-AA11-AC11,(1-SUM(AE$6:AE$6,AE$12:AE$29))*$M11/SUM($M$7*IF($X$7&lt;4,1,0),$M$8*IF($X$8&lt;4,1,0),$M$9*IF($X$9&lt;4,1,0),$M$10*IF($X$10&lt;4,1,0),$M$11*IF($X$11&lt;4,1,0)),Y11-AA11-AC11)),0),0)</f>
        <v>3.1052559408654812E-2</v>
      </c>
      <c r="AF11" s="122">
        <f t="shared" si="10"/>
        <v>0</v>
      </c>
      <c r="AG11" s="121">
        <f t="shared" si="11"/>
        <v>0</v>
      </c>
      <c r="AH11" s="123">
        <f t="shared" si="12"/>
        <v>1</v>
      </c>
      <c r="AI11" s="183">
        <f t="shared" si="13"/>
        <v>0.2504928109152193</v>
      </c>
      <c r="AJ11" s="120">
        <f t="shared" si="14"/>
        <v>0.48545934212611119</v>
      </c>
      <c r="AK11" s="119">
        <f t="shared" si="15"/>
        <v>1.5526279704327406E-2</v>
      </c>
      <c r="AS11" s="25"/>
      <c r="AT11" s="25"/>
      <c r="AU11" s="25"/>
      <c r="AV11" s="25"/>
      <c r="AW11" s="25"/>
      <c r="AX11" s="25"/>
      <c r="AZ11" s="25"/>
      <c r="BA11" s="25"/>
      <c r="BB11" s="25"/>
      <c r="BC11" s="25"/>
      <c r="BD11" s="25"/>
      <c r="BE11" s="25"/>
      <c r="BF11" s="25"/>
      <c r="BI11" s="25"/>
      <c r="BJ11" s="25"/>
      <c r="BK11" s="25"/>
      <c r="BL11" s="25"/>
      <c r="BM11" s="25"/>
      <c r="BN11" s="25"/>
      <c r="BP11" s="25"/>
      <c r="BQ11" s="25"/>
      <c r="BR11" s="25"/>
      <c r="BS11" s="25"/>
      <c r="BT11" s="25"/>
      <c r="BU11" s="25"/>
      <c r="BV11" s="25"/>
      <c r="BX11" s="25"/>
      <c r="BY11" s="25"/>
      <c r="BZ11" s="25"/>
      <c r="CA11" s="25"/>
      <c r="CB11" s="25"/>
      <c r="CC11" s="25"/>
      <c r="CE11" s="25"/>
      <c r="CF11" s="25"/>
      <c r="CG11" s="25"/>
      <c r="CH11" s="25"/>
      <c r="CI11" s="25"/>
      <c r="CJ11" s="25"/>
      <c r="CK11" s="25"/>
    </row>
    <row r="12" spans="1:91" ht="14" customHeight="1">
      <c r="A12" s="85" t="str">
        <f>IF(Poor!A12=0,"",Poor!A12)</f>
        <v>Maize (irrigated): kg produced</v>
      </c>
      <c r="B12" s="101">
        <v>1.689877690802348E-2</v>
      </c>
      <c r="C12" s="102">
        <v>1.8025362035225052E-2</v>
      </c>
      <c r="D12" s="24">
        <f t="shared" si="0"/>
        <v>3.4924138943248528E-2</v>
      </c>
      <c r="E12" s="75">
        <f>Middle!E12</f>
        <v>1.0900000000000001</v>
      </c>
      <c r="H12" s="24">
        <f t="shared" si="1"/>
        <v>1.0900000000000001</v>
      </c>
      <c r="I12" s="22">
        <f t="shared" si="2"/>
        <v>3.8067311448140899E-2</v>
      </c>
      <c r="J12" s="24">
        <f t="shared" si="3"/>
        <v>1.7988587838600006E-2</v>
      </c>
      <c r="K12" s="22">
        <f t="shared" si="4"/>
        <v>1.689877690802348E-2</v>
      </c>
      <c r="L12" s="22">
        <f t="shared" si="5"/>
        <v>1.8419666829745596E-2</v>
      </c>
      <c r="M12" s="224">
        <f t="shared" si="6"/>
        <v>1.7988587838600006E-2</v>
      </c>
      <c r="N12" s="229">
        <v>1</v>
      </c>
      <c r="O12" s="2"/>
      <c r="P12" s="22"/>
      <c r="Q12" s="126" t="s">
        <v>124</v>
      </c>
      <c r="R12" s="222">
        <f>IF($B$81=0,0,(SUMIF($N$6:$N$28,$U12,K$6:K$28)+SUMIF($N$91:$N$118,$U12,K$91:K$118))*$B$83*$H$84*Poor!$B$81/$B$81)</f>
        <v>0</v>
      </c>
      <c r="S12" s="222">
        <f>IF($B$81=0,0,(SUMIF($N$6:$N$28,$U12,L$6:L$28)+SUMIF($N$91:$N$118,$U12,L$91:L$118))*$I$83*Poor!$B$81/$B$81)</f>
        <v>0</v>
      </c>
      <c r="T12" s="222">
        <f>IF($B$81=0,0,(SUMIF($N$6:$N$28,$U12,M$6:M$28)+SUMIF($N$91:$N$118,$U12,M$91:M$118))*$I$83*Poor!$B$81/$B$81)</f>
        <v>0</v>
      </c>
      <c r="U12" s="223">
        <v>6</v>
      </c>
      <c r="V12" s="56"/>
      <c r="W12" s="117"/>
      <c r="X12" s="118"/>
      <c r="Y12" s="183">
        <f t="shared" si="9"/>
        <v>7.1954351354400023E-2</v>
      </c>
      <c r="Z12" s="156">
        <f>Poor!Z12</f>
        <v>0</v>
      </c>
      <c r="AA12" s="121">
        <f>$M12*Z12*4</f>
        <v>0</v>
      </c>
      <c r="AB12" s="156">
        <f>Poor!AB12</f>
        <v>0</v>
      </c>
      <c r="AC12" s="121">
        <f>$M12*AB12*4</f>
        <v>0</v>
      </c>
      <c r="AD12" s="156">
        <f>Poor!AD12</f>
        <v>0.67</v>
      </c>
      <c r="AE12" s="121">
        <f>$M12*AD12*4</f>
        <v>4.8209415407448018E-2</v>
      </c>
      <c r="AF12" s="122">
        <f>1-SUM(Z12,AB12,AD12)</f>
        <v>0.32999999999999996</v>
      </c>
      <c r="AG12" s="121">
        <f>$M12*AF12*4</f>
        <v>2.3744935946952005E-2</v>
      </c>
      <c r="AH12" s="123">
        <f t="shared" si="12"/>
        <v>1</v>
      </c>
      <c r="AI12" s="183">
        <f t="shared" si="13"/>
        <v>1.7988587838600006E-2</v>
      </c>
      <c r="AJ12" s="120">
        <f t="shared" si="14"/>
        <v>0</v>
      </c>
      <c r="AK12" s="119">
        <f t="shared" si="15"/>
        <v>3.5977175677200011E-2</v>
      </c>
      <c r="AS12" s="25"/>
      <c r="AT12" s="25"/>
      <c r="AU12" s="25"/>
      <c r="AV12" s="25"/>
      <c r="AW12" s="25"/>
      <c r="AX12" s="25"/>
      <c r="AZ12" s="25"/>
      <c r="BA12" s="25"/>
      <c r="BB12" s="25"/>
      <c r="BC12" s="25"/>
      <c r="BD12" s="25"/>
      <c r="BE12" s="25"/>
      <c r="BF12" s="25"/>
      <c r="BI12" s="25"/>
      <c r="BJ12" s="25"/>
      <c r="BK12" s="25"/>
      <c r="BL12" s="25"/>
      <c r="BM12" s="25"/>
      <c r="BN12" s="25"/>
      <c r="BP12" s="25"/>
      <c r="BQ12" s="25"/>
      <c r="BR12" s="25"/>
      <c r="BS12" s="25"/>
      <c r="BT12" s="25"/>
      <c r="BU12" s="25"/>
      <c r="BV12" s="25"/>
      <c r="BX12" s="25"/>
      <c r="BY12" s="25"/>
      <c r="BZ12" s="25"/>
      <c r="CA12" s="25"/>
      <c r="CB12" s="25"/>
      <c r="CC12" s="25"/>
      <c r="CE12" s="25"/>
      <c r="CF12" s="25"/>
      <c r="CG12" s="25"/>
      <c r="CH12" s="25"/>
      <c r="CI12" s="25"/>
      <c r="CJ12" s="25"/>
      <c r="CK12" s="25"/>
    </row>
    <row r="13" spans="1:91" ht="14" customHeight="1">
      <c r="A13" s="85" t="str">
        <f>IF(Poor!A13=0,"",Poor!A13)</f>
        <v>Beans: kg produced</v>
      </c>
      <c r="B13" s="101">
        <v>3.1095404732254046E-2</v>
      </c>
      <c r="C13" s="102">
        <v>5.0500807685465221E-2</v>
      </c>
      <c r="D13" s="24">
        <f t="shared" si="0"/>
        <v>8.1596212417719263E-2</v>
      </c>
      <c r="E13" s="75">
        <f>Middle!E13</f>
        <v>1</v>
      </c>
      <c r="H13" s="24">
        <f t="shared" si="1"/>
        <v>1</v>
      </c>
      <c r="I13" s="22">
        <f t="shared" si="2"/>
        <v>8.1596212417719263E-2</v>
      </c>
      <c r="J13" s="24">
        <f t="shared" si="3"/>
        <v>2.9987392161184557E-2</v>
      </c>
      <c r="K13" s="22">
        <f t="shared" si="4"/>
        <v>3.1095404732254046E-2</v>
      </c>
      <c r="L13" s="22">
        <f t="shared" si="5"/>
        <v>3.1095404732254046E-2</v>
      </c>
      <c r="M13" s="225">
        <f t="shared" si="6"/>
        <v>2.9987392161184557E-2</v>
      </c>
      <c r="N13" s="229">
        <v>1</v>
      </c>
      <c r="O13" s="2"/>
      <c r="P13" s="22"/>
      <c r="Q13" s="59" t="s">
        <v>76</v>
      </c>
      <c r="R13" s="222">
        <f>IF($B$81=0,0,(SUMIF($N$6:$N$28,$U13,K$6:K$28)+SUMIF($N$91:$N$118,$U13,K$91:K$118))*$B$83*$H$84*Poor!$B$81/$B$81)</f>
        <v>0</v>
      </c>
      <c r="S13" s="222">
        <f>IF($B$81=0,0,(SUMIF($N$6:$N$28,$U13,L$6:L$28)+SUMIF($N$91:$N$118,$U13,L$91:L$118))*$I$83*Poor!$B$81/$B$81)</f>
        <v>0</v>
      </c>
      <c r="T13" s="222">
        <f>IF($B$81=0,0,(SUMIF($N$6:$N$28,$U13,M$6:M$28)+SUMIF($N$91:$N$118,$U13,M$91:M$118))*$I$83*Poor!$B$81/$B$81)</f>
        <v>0</v>
      </c>
      <c r="U13" s="223">
        <v>7</v>
      </c>
      <c r="V13" s="56"/>
      <c r="W13" s="110"/>
      <c r="X13" s="118"/>
      <c r="Y13" s="183">
        <f t="shared" si="9"/>
        <v>0.11994956864473823</v>
      </c>
      <c r="Z13" s="156">
        <f>Poor!Z13</f>
        <v>1</v>
      </c>
      <c r="AA13" s="121">
        <f>$M13*Z13*4</f>
        <v>0.11994956864473823</v>
      </c>
      <c r="AB13" s="156">
        <f>Poor!AB13</f>
        <v>0</v>
      </c>
      <c r="AC13" s="121">
        <f>$M13*AB13*4</f>
        <v>0</v>
      </c>
      <c r="AD13" s="156">
        <f>Poor!AD13</f>
        <v>0</v>
      </c>
      <c r="AE13" s="121">
        <f>$M13*AD13*4</f>
        <v>0</v>
      </c>
      <c r="AF13" s="122">
        <f>1-SUM(Z13,AB13,AD13)</f>
        <v>0</v>
      </c>
      <c r="AG13" s="121">
        <f>$M13*AF13*4</f>
        <v>0</v>
      </c>
      <c r="AH13" s="123">
        <f t="shared" si="12"/>
        <v>1</v>
      </c>
      <c r="AI13" s="183">
        <f t="shared" si="13"/>
        <v>2.9987392161184557E-2</v>
      </c>
      <c r="AJ13" s="120">
        <f t="shared" si="14"/>
        <v>5.9974784322369114E-2</v>
      </c>
      <c r="AK13" s="119">
        <f t="shared" si="15"/>
        <v>0</v>
      </c>
      <c r="AS13" s="25"/>
      <c r="AT13" s="25"/>
      <c r="AU13" s="25"/>
      <c r="AV13" s="25"/>
      <c r="AW13" s="25"/>
      <c r="AX13" s="25"/>
      <c r="AZ13" s="25"/>
      <c r="BA13" s="25"/>
      <c r="BB13" s="25"/>
      <c r="BC13" s="25"/>
      <c r="BD13" s="25"/>
      <c r="BE13" s="25"/>
      <c r="BF13" s="25"/>
      <c r="BI13" s="25"/>
      <c r="BJ13" s="25"/>
      <c r="BK13" s="25"/>
      <c r="BL13" s="25"/>
      <c r="BM13" s="25"/>
      <c r="BN13" s="25"/>
      <c r="BP13" s="25"/>
      <c r="BQ13" s="25"/>
      <c r="BR13" s="25"/>
      <c r="BS13" s="25"/>
      <c r="BT13" s="25"/>
      <c r="BU13" s="25"/>
      <c r="BV13" s="25"/>
      <c r="BX13" s="25"/>
      <c r="BY13" s="25"/>
      <c r="BZ13" s="25"/>
      <c r="CA13" s="25"/>
      <c r="CB13" s="25"/>
      <c r="CC13" s="25"/>
      <c r="CE13" s="25"/>
      <c r="CF13" s="25"/>
      <c r="CG13" s="25"/>
      <c r="CH13" s="25"/>
      <c r="CI13" s="25"/>
      <c r="CJ13" s="25"/>
      <c r="CK13" s="25"/>
    </row>
    <row r="14" spans="1:91" ht="14" customHeight="1">
      <c r="A14" s="85" t="str">
        <f>IF(Poor!A14=0,"",Poor!A14)</f>
        <v>Cowpeas: kg produced</v>
      </c>
      <c r="B14" s="101">
        <v>9.4968333036826186E-3</v>
      </c>
      <c r="C14" s="102">
        <v>0</v>
      </c>
      <c r="D14" s="24">
        <f t="shared" si="0"/>
        <v>9.4968333036826186E-3</v>
      </c>
      <c r="E14" s="75">
        <f>Middle!E14</f>
        <v>1</v>
      </c>
      <c r="F14" s="22"/>
      <c r="H14" s="24">
        <f t="shared" si="1"/>
        <v>1</v>
      </c>
      <c r="I14" s="22">
        <f t="shared" si="2"/>
        <v>9.4968333036826186E-3</v>
      </c>
      <c r="J14" s="24">
        <f>IF(I$32&lt;=1+I131,I14,B14*H14+J$33*(I14-B14*H14))</f>
        <v>9.4968333036826186E-3</v>
      </c>
      <c r="K14" s="22">
        <f t="shared" si="4"/>
        <v>9.4968333036826186E-3</v>
      </c>
      <c r="L14" s="22">
        <f t="shared" si="5"/>
        <v>9.4968333036826186E-3</v>
      </c>
      <c r="M14" s="225">
        <f t="shared" si="6"/>
        <v>9.4968333036826186E-3</v>
      </c>
      <c r="N14" s="229">
        <v>1</v>
      </c>
      <c r="O14" s="2"/>
      <c r="P14" s="22"/>
      <c r="Q14" s="126" t="s">
        <v>77</v>
      </c>
      <c r="R14" s="222">
        <f>IF($B$81=0,0,(SUMIF($N$6:$N$28,$U14,K$6:K$28)+SUMIF($N$91:$N$118,$U14,K$91:K$118))*$B$83*$H$84*Poor!$B$81/$B$81)</f>
        <v>212045.91197821681</v>
      </c>
      <c r="S14" s="222">
        <f>IF($B$81=0,0,(SUMIF($N$6:$N$28,$U14,L$6:L$28)+SUMIF($N$91:$N$118,$U14,L$91:L$118))*$I$83*Poor!$B$81/$B$81)</f>
        <v>135936</v>
      </c>
      <c r="T14" s="222">
        <f>IF($B$81=0,0,(SUMIF($N$6:$N$28,$U14,M$6:M$28)+SUMIF($N$91:$N$118,$U14,M$91:M$118))*$I$83*Poor!$B$81/$B$81)</f>
        <v>135936</v>
      </c>
      <c r="U14" s="223">
        <v>8</v>
      </c>
      <c r="V14" s="56"/>
      <c r="W14" s="110"/>
      <c r="X14" s="118"/>
      <c r="Y14" s="183">
        <f>M14*4</f>
        <v>3.7987333214730475E-2</v>
      </c>
      <c r="Z14" s="156">
        <f>Poor!Z14</f>
        <v>0</v>
      </c>
      <c r="AA14" s="121">
        <f t="shared" ref="AA14:AA29" si="16">$M14*Z14*4</f>
        <v>0</v>
      </c>
      <c r="AB14" s="156">
        <f>Poor!AB14</f>
        <v>1</v>
      </c>
      <c r="AC14" s="121">
        <f t="shared" si="7"/>
        <v>3.7987333214730475E-2</v>
      </c>
      <c r="AD14" s="156">
        <f>Poor!AD14</f>
        <v>0</v>
      </c>
      <c r="AE14" s="121">
        <f t="shared" si="8"/>
        <v>0</v>
      </c>
      <c r="AF14" s="122">
        <f t="shared" si="10"/>
        <v>0</v>
      </c>
      <c r="AG14" s="121">
        <f t="shared" si="11"/>
        <v>0</v>
      </c>
      <c r="AH14" s="128">
        <f>SUM(Z14,AB14,AD14,AF14)</f>
        <v>1</v>
      </c>
      <c r="AI14" s="183">
        <f>SUM(AA14,AC14,AE14,AG14)/4</f>
        <v>9.4968333036826186E-3</v>
      </c>
      <c r="AJ14" s="120">
        <f t="shared" si="14"/>
        <v>1.8993666607365237E-2</v>
      </c>
      <c r="AK14" s="119">
        <f t="shared" si="15"/>
        <v>0</v>
      </c>
      <c r="AS14" s="25"/>
      <c r="AT14" s="25"/>
      <c r="AU14" s="25"/>
      <c r="AV14" s="25"/>
      <c r="AW14" s="25"/>
      <c r="AX14" s="25"/>
      <c r="AZ14" s="25"/>
      <c r="BA14" s="25"/>
      <c r="BB14" s="25"/>
      <c r="BC14" s="25"/>
      <c r="BD14" s="25"/>
      <c r="BE14" s="25"/>
      <c r="BF14" s="25"/>
      <c r="BI14" s="25"/>
      <c r="BJ14" s="25"/>
      <c r="BK14" s="25"/>
      <c r="BL14" s="25"/>
      <c r="BM14" s="25"/>
      <c r="BN14" s="25"/>
      <c r="BP14" s="25"/>
      <c r="BQ14" s="25"/>
      <c r="BR14" s="25"/>
      <c r="BS14" s="25"/>
      <c r="BT14" s="25"/>
      <c r="BU14" s="25"/>
      <c r="BV14" s="25"/>
      <c r="BX14" s="25"/>
      <c r="BY14" s="25"/>
      <c r="BZ14" s="25"/>
      <c r="CA14" s="25"/>
      <c r="CB14" s="25"/>
      <c r="CC14" s="25"/>
      <c r="CE14" s="25"/>
      <c r="CF14" s="25"/>
      <c r="CG14" s="25"/>
      <c r="CH14" s="25"/>
      <c r="CI14" s="25"/>
      <c r="CJ14" s="25"/>
      <c r="CK14" s="25"/>
    </row>
    <row r="15" spans="1:91" ht="14" customHeight="1">
      <c r="A15" s="85" t="str">
        <f>IF(Poor!A15=0,"",Poor!A15)</f>
        <v>Potato: kg produced</v>
      </c>
      <c r="B15" s="101">
        <v>3.6206817028734835E-3</v>
      </c>
      <c r="C15" s="102">
        <v>1.4482726811493934E-2</v>
      </c>
      <c r="D15" s="24">
        <f t="shared" si="0"/>
        <v>1.8103408514367418E-2</v>
      </c>
      <c r="E15" s="75">
        <f>Middle!E15</f>
        <v>1</v>
      </c>
      <c r="F15" s="22"/>
      <c r="H15" s="24">
        <f t="shared" si="1"/>
        <v>1</v>
      </c>
      <c r="I15" s="22">
        <f t="shared" si="2"/>
        <v>1.8103408514367418E-2</v>
      </c>
      <c r="J15" s="24">
        <f>IF(I$32&lt;=1+I131,I15,B15*H15+J$33*(I15-B15*H15))</f>
        <v>3.3029235499653872E-3</v>
      </c>
      <c r="K15" s="22">
        <f t="shared" si="4"/>
        <v>3.6206817028734835E-3</v>
      </c>
      <c r="L15" s="22">
        <f t="shared" si="5"/>
        <v>3.6206817028734835E-3</v>
      </c>
      <c r="M15" s="226">
        <f t="shared" si="6"/>
        <v>3.3029235499653872E-3</v>
      </c>
      <c r="N15" s="229">
        <v>1</v>
      </c>
      <c r="O15" s="2"/>
      <c r="P15" s="22"/>
      <c r="Q15" s="59" t="s">
        <v>126</v>
      </c>
      <c r="R15" s="222">
        <f>IF($B$81=0,0,(SUMIF($N$6:$N$28,$U15,K$6:K$28)+SUMIF($N$91:$N$118,$U15,K$91:K$118))*$B$83*$H$84*Poor!$B$81/$B$81)</f>
        <v>0</v>
      </c>
      <c r="S15" s="222">
        <f>IF($B$81=0,0,(SUMIF($N$6:$N$28,$U15,L$6:L$28)+SUMIF($N$91:$N$118,$U15,L$91:L$118))*$I$83*Poor!$B$81/$B$81)</f>
        <v>0</v>
      </c>
      <c r="T15" s="222">
        <f>IF($B$81=0,0,(SUMIF($N$6:$N$28,$U15,M$6:M$28)+SUMIF($N$91:$N$118,$U15,M$91:M$118))*$I$83*Poor!$B$81/$B$81)</f>
        <v>0</v>
      </c>
      <c r="U15" s="223">
        <v>9</v>
      </c>
      <c r="V15" s="56"/>
      <c r="W15" s="110"/>
      <c r="X15" s="118"/>
      <c r="Y15" s="183">
        <f t="shared" si="9"/>
        <v>1.3211694199861549E-2</v>
      </c>
      <c r="Z15" s="156">
        <f>Poor!Z15</f>
        <v>0.25</v>
      </c>
      <c r="AA15" s="121">
        <f t="shared" si="16"/>
        <v>3.3029235499653872E-3</v>
      </c>
      <c r="AB15" s="156">
        <f>Poor!AB15</f>
        <v>0.25</v>
      </c>
      <c r="AC15" s="121">
        <f t="shared" si="7"/>
        <v>3.3029235499653872E-3</v>
      </c>
      <c r="AD15" s="156">
        <f>Poor!AD15</f>
        <v>0.25</v>
      </c>
      <c r="AE15" s="121">
        <f t="shared" si="8"/>
        <v>3.3029235499653872E-3</v>
      </c>
      <c r="AF15" s="122">
        <f t="shared" si="10"/>
        <v>0.25</v>
      </c>
      <c r="AG15" s="121">
        <f t="shared" si="11"/>
        <v>3.3029235499653872E-3</v>
      </c>
      <c r="AH15" s="123">
        <f t="shared" si="12"/>
        <v>1</v>
      </c>
      <c r="AI15" s="183">
        <f t="shared" si="13"/>
        <v>3.3029235499653872E-3</v>
      </c>
      <c r="AJ15" s="120">
        <f t="shared" si="14"/>
        <v>3.3029235499653872E-3</v>
      </c>
      <c r="AK15" s="119">
        <f t="shared" si="15"/>
        <v>3.3029235499653872E-3</v>
      </c>
      <c r="AS15" s="25"/>
      <c r="AT15" s="25"/>
      <c r="AU15" s="25"/>
      <c r="AV15" s="25"/>
      <c r="AW15" s="25"/>
      <c r="AX15" s="25"/>
      <c r="AZ15" s="25"/>
      <c r="BA15" s="25"/>
      <c r="BB15" s="25"/>
      <c r="BC15" s="25"/>
      <c r="BD15" s="25"/>
      <c r="BE15" s="25"/>
      <c r="BF15" s="25"/>
      <c r="BI15" s="25"/>
      <c r="BJ15" s="25"/>
      <c r="BK15" s="25"/>
      <c r="BL15" s="25"/>
      <c r="BM15" s="25"/>
      <c r="BN15" s="25"/>
      <c r="BP15" s="25"/>
      <c r="BQ15" s="25"/>
      <c r="BR15" s="25"/>
      <c r="BS15" s="25"/>
      <c r="BT15" s="25"/>
      <c r="BU15" s="25"/>
      <c r="BV15" s="25"/>
      <c r="BX15" s="25"/>
      <c r="BY15" s="25"/>
      <c r="BZ15" s="25"/>
      <c r="CA15" s="25"/>
      <c r="CB15" s="25"/>
      <c r="CC15" s="25"/>
      <c r="CE15" s="25"/>
      <c r="CF15" s="25"/>
      <c r="CG15" s="25"/>
      <c r="CH15" s="25"/>
      <c r="CI15" s="25"/>
      <c r="CJ15" s="25"/>
      <c r="CK15" s="25"/>
    </row>
    <row r="16" spans="1:91" ht="14" customHeight="1">
      <c r="A16" s="85" t="str">
        <f>IF(Poor!A16=0,"",Poor!A16)</f>
        <v>Sweet potato: no. local meas</v>
      </c>
      <c r="B16" s="101">
        <v>2.7902662634169489E-2</v>
      </c>
      <c r="C16" s="102">
        <v>9.8261756508331854E-2</v>
      </c>
      <c r="D16" s="24">
        <f t="shared" si="0"/>
        <v>0.12616441914250134</v>
      </c>
      <c r="E16" s="75">
        <f>Middle!E16</f>
        <v>1</v>
      </c>
      <c r="F16" s="22"/>
      <c r="H16" s="24">
        <f t="shared" si="1"/>
        <v>1</v>
      </c>
      <c r="I16" s="22">
        <f t="shared" si="2"/>
        <v>0.12616441914250134</v>
      </c>
      <c r="J16" s="24">
        <f>IF(I$32&lt;=1+I131,I16,B16*H16+J$33*(I16-B16*H16))</f>
        <v>2.5746751343706374E-2</v>
      </c>
      <c r="K16" s="22">
        <f t="shared" si="4"/>
        <v>2.7902662634169489E-2</v>
      </c>
      <c r="L16" s="22">
        <f t="shared" si="5"/>
        <v>2.7902662634169489E-2</v>
      </c>
      <c r="M16" s="224">
        <f t="shared" si="6"/>
        <v>2.5746751343706374E-2</v>
      </c>
      <c r="N16" s="229">
        <v>1</v>
      </c>
      <c r="O16" s="2"/>
      <c r="P16" s="22"/>
      <c r="Q16" s="126" t="s">
        <v>78</v>
      </c>
      <c r="R16" s="222">
        <f>IF($B$81=0,0,(SUMIF($N$6:$N$28,$U16,K$6:K$28)+SUMIF($N$91:$N$118,$U16,K$91:K$118))*$B$83*$H$84*Poor!$B$81/$B$81)</f>
        <v>0</v>
      </c>
      <c r="S16" s="222">
        <f>IF($B$81=0,0,(SUMIF($N$6:$N$28,$U16,L$6:L$28)+SUMIF($N$91:$N$118,$U16,L$91:L$118))*$I$83*Poor!$B$81/$B$81)</f>
        <v>0</v>
      </c>
      <c r="T16" s="222">
        <f>IF($B$81=0,0,(SUMIF($N$6:$N$28,$U16,M$6:M$28)+SUMIF($N$91:$N$118,$U16,M$91:M$118))*$I$83*Poor!$B$81/$B$81)</f>
        <v>0</v>
      </c>
      <c r="U16" s="223">
        <v>10</v>
      </c>
      <c r="V16" s="56"/>
      <c r="W16" s="110"/>
      <c r="X16" s="118"/>
      <c r="Y16" s="183">
        <f t="shared" si="9"/>
        <v>0.1029870053748255</v>
      </c>
      <c r="Z16" s="156">
        <f>Poor!Z16</f>
        <v>0</v>
      </c>
      <c r="AA16" s="121">
        <f t="shared" si="16"/>
        <v>0</v>
      </c>
      <c r="AB16" s="156">
        <f>Poor!AB16</f>
        <v>0</v>
      </c>
      <c r="AC16" s="121">
        <f t="shared" si="7"/>
        <v>0</v>
      </c>
      <c r="AD16" s="156">
        <f>Poor!AD16</f>
        <v>0</v>
      </c>
      <c r="AE16" s="121">
        <f t="shared" si="8"/>
        <v>0</v>
      </c>
      <c r="AF16" s="122">
        <f t="shared" si="10"/>
        <v>1</v>
      </c>
      <c r="AG16" s="121">
        <f t="shared" si="11"/>
        <v>0.1029870053748255</v>
      </c>
      <c r="AH16" s="123">
        <f t="shared" si="12"/>
        <v>1</v>
      </c>
      <c r="AI16" s="183">
        <f t="shared" si="13"/>
        <v>2.5746751343706374E-2</v>
      </c>
      <c r="AJ16" s="120">
        <f t="shared" si="14"/>
        <v>0</v>
      </c>
      <c r="AK16" s="119">
        <f t="shared" si="15"/>
        <v>5.1493502687412748E-2</v>
      </c>
      <c r="AS16" s="25"/>
      <c r="AT16" s="25"/>
      <c r="AU16" s="25"/>
      <c r="AV16" s="25"/>
      <c r="AW16" s="25"/>
      <c r="AX16" s="25"/>
      <c r="AZ16" s="25"/>
      <c r="BA16" s="25"/>
      <c r="BB16" s="25"/>
      <c r="BC16" s="25"/>
      <c r="BD16" s="25"/>
      <c r="BE16" s="25"/>
      <c r="BF16" s="25"/>
      <c r="BI16" s="25"/>
      <c r="BJ16" s="25"/>
      <c r="BK16" s="25"/>
      <c r="BL16" s="25"/>
      <c r="BM16" s="25"/>
      <c r="BN16" s="25"/>
      <c r="BP16" s="25"/>
      <c r="BQ16" s="25"/>
      <c r="BR16" s="25"/>
      <c r="BS16" s="25"/>
      <c r="BT16" s="25"/>
      <c r="BU16" s="25"/>
      <c r="BV16" s="25"/>
      <c r="BX16" s="25"/>
      <c r="BY16" s="25"/>
      <c r="BZ16" s="25"/>
      <c r="CA16" s="25"/>
      <c r="CB16" s="25"/>
      <c r="CC16" s="25"/>
      <c r="CE16" s="25"/>
      <c r="CF16" s="25"/>
      <c r="CG16" s="25"/>
      <c r="CH16" s="25"/>
      <c r="CI16" s="25"/>
      <c r="CJ16" s="25"/>
      <c r="CK16" s="25"/>
    </row>
    <row r="17" spans="1:89" ht="14" customHeight="1">
      <c r="A17" s="85" t="str">
        <f>IF(Poor!A17=0,"",Poor!A17)</f>
        <v>Water melon: no. local meas</v>
      </c>
      <c r="B17" s="101">
        <v>4.2544920832592072E-3</v>
      </c>
      <c r="C17" s="102">
        <v>0</v>
      </c>
      <c r="D17" s="24">
        <f t="shared" si="0"/>
        <v>4.2544920832592072E-3</v>
      </c>
      <c r="E17" s="75">
        <f>Middle!E17</f>
        <v>1</v>
      </c>
      <c r="F17" s="22"/>
      <c r="H17" s="24">
        <f t="shared" si="1"/>
        <v>1</v>
      </c>
      <c r="I17" s="22">
        <f t="shared" si="2"/>
        <v>4.2544920832592072E-3</v>
      </c>
      <c r="J17" s="24">
        <f t="shared" ref="J17:J25" si="17">IF(I$32&lt;=1+I131,I17,B17*H17+J$33*(I17-B17*H17))</f>
        <v>4.2544920832592072E-3</v>
      </c>
      <c r="K17" s="22">
        <f t="shared" si="4"/>
        <v>4.2544920832592072E-3</v>
      </c>
      <c r="L17" s="22">
        <f t="shared" si="5"/>
        <v>4.2544920832592072E-3</v>
      </c>
      <c r="M17" s="225">
        <f t="shared" si="6"/>
        <v>4.2544920832592072E-3</v>
      </c>
      <c r="N17" s="229">
        <v>1</v>
      </c>
      <c r="O17" s="2"/>
      <c r="P17" s="22"/>
      <c r="Q17" s="126" t="s">
        <v>125</v>
      </c>
      <c r="R17" s="222">
        <f>IF($B$81=0,0,(SUMIF($N$6:$N$28,$U17,K$6:K$28)+SUMIF($N$91:$N$118,$U17,K$91:K$118))*$B$83*$H$84*Poor!$B$81/$B$81)</f>
        <v>56619.624306310536</v>
      </c>
      <c r="S17" s="222">
        <f>IF($B$81=0,0,(SUMIF($N$6:$N$28,$U17,L$6:L$28)+SUMIF($N$91:$N$118,$U17,L$91:L$118))*$I$83*Poor!$B$81/$B$81)</f>
        <v>36297.069714285717</v>
      </c>
      <c r="T17" s="222">
        <f>IF($B$81=0,0,(SUMIF($N$6:$N$28,$U17,M$6:M$28)+SUMIF($N$91:$N$118,$U17,M$91:M$118))*$I$83*Poor!$B$81/$B$81)</f>
        <v>36297.069714285717</v>
      </c>
      <c r="U17" s="223">
        <v>11</v>
      </c>
      <c r="V17" s="56"/>
      <c r="W17" s="110"/>
      <c r="X17" s="118"/>
      <c r="Y17" s="183">
        <f t="shared" si="9"/>
        <v>1.7017968333036829E-2</v>
      </c>
      <c r="Z17" s="156">
        <f>Poor!Z17</f>
        <v>0.29409999999999997</v>
      </c>
      <c r="AA17" s="121">
        <f t="shared" si="16"/>
        <v>5.0049844867461309E-3</v>
      </c>
      <c r="AB17" s="156">
        <f>Poor!AB17</f>
        <v>0.17649999999999999</v>
      </c>
      <c r="AC17" s="121">
        <f t="shared" si="7"/>
        <v>3.0036714107810002E-3</v>
      </c>
      <c r="AD17" s="156">
        <f>Poor!AD17</f>
        <v>0.23530000000000001</v>
      </c>
      <c r="AE17" s="121">
        <f t="shared" si="8"/>
        <v>4.0043279487635662E-3</v>
      </c>
      <c r="AF17" s="122">
        <f t="shared" si="10"/>
        <v>0.29410000000000003</v>
      </c>
      <c r="AG17" s="121">
        <f t="shared" si="11"/>
        <v>5.0049844867461318E-3</v>
      </c>
      <c r="AH17" s="123">
        <f t="shared" si="12"/>
        <v>1</v>
      </c>
      <c r="AI17" s="183">
        <f t="shared" si="13"/>
        <v>4.2544920832592072E-3</v>
      </c>
      <c r="AJ17" s="120">
        <f t="shared" si="14"/>
        <v>4.0043279487635653E-3</v>
      </c>
      <c r="AK17" s="119">
        <f t="shared" si="15"/>
        <v>4.504656217754849E-3</v>
      </c>
      <c r="AS17" s="25"/>
      <c r="AT17" s="25"/>
      <c r="AU17" s="25"/>
      <c r="AV17" s="25"/>
      <c r="AW17" s="25"/>
      <c r="AX17" s="25"/>
      <c r="AZ17" s="25"/>
      <c r="BA17" s="25"/>
      <c r="BB17" s="25"/>
      <c r="BC17" s="25"/>
      <c r="BD17" s="25"/>
      <c r="BE17" s="25"/>
      <c r="BF17" s="25"/>
      <c r="BI17" s="25"/>
      <c r="BJ17" s="25"/>
      <c r="BK17" s="25"/>
      <c r="BL17" s="25"/>
      <c r="BM17" s="25"/>
      <c r="BN17" s="25"/>
      <c r="BP17" s="25"/>
      <c r="BQ17" s="25"/>
      <c r="BR17" s="25"/>
      <c r="BS17" s="25"/>
      <c r="BT17" s="25"/>
      <c r="BU17" s="25"/>
      <c r="BV17" s="25"/>
      <c r="BX17" s="25"/>
      <c r="BY17" s="25"/>
      <c r="BZ17" s="25"/>
      <c r="CA17" s="25"/>
      <c r="CB17" s="25"/>
      <c r="CC17" s="25"/>
      <c r="CE17" s="25"/>
      <c r="CF17" s="25"/>
      <c r="CG17" s="25"/>
      <c r="CH17" s="25"/>
      <c r="CI17" s="25"/>
      <c r="CJ17" s="25"/>
      <c r="CK17" s="25"/>
    </row>
    <row r="18" spans="1:89" ht="14" customHeight="1">
      <c r="A18" s="85" t="str">
        <f>IF(Poor!A18=0,"",Poor!A18)</f>
        <v>Groundnuts (dry): no. local meas</v>
      </c>
      <c r="B18" s="101">
        <v>1.7167763743106208E-2</v>
      </c>
      <c r="C18" s="102">
        <v>1.7167763743106208E-2</v>
      </c>
      <c r="D18" s="24">
        <f t="shared" ref="D18:D25" si="18">(B18+C18)</f>
        <v>3.4335527486212415E-2</v>
      </c>
      <c r="E18" s="75">
        <f>Middle!E18</f>
        <v>1</v>
      </c>
      <c r="F18" s="22"/>
      <c r="H18" s="24">
        <f t="shared" ref="H18:H25" si="19">(E18*F$7/F$9)</f>
        <v>1</v>
      </c>
      <c r="I18" s="22">
        <f t="shared" ref="I18:I25" si="20">(D18*H18)</f>
        <v>3.4335527486212415E-2</v>
      </c>
      <c r="J18" s="24">
        <f t="shared" si="17"/>
        <v>1.6791094558664878E-2</v>
      </c>
      <c r="K18" s="22">
        <f t="shared" ref="K18:K25" si="21">B18</f>
        <v>1.7167763743106208E-2</v>
      </c>
      <c r="L18" s="22">
        <f t="shared" ref="L18:L25" si="22">IF(K18="","",K18*H18)</f>
        <v>1.7167763743106208E-2</v>
      </c>
      <c r="M18" s="225">
        <f t="shared" ref="M18:M25" si="23">J18</f>
        <v>1.6791094558664878E-2</v>
      </c>
      <c r="N18" s="229">
        <v>1</v>
      </c>
      <c r="O18" s="2"/>
      <c r="P18" s="22"/>
      <c r="Q18" s="59" t="s">
        <v>79</v>
      </c>
      <c r="R18" s="222">
        <f>IF($B$81=0,0,(SUMIF($N$6:$N$28,$U18,K$6:K$28)+SUMIF($N$91:$N$118,$U18,K$91:K$118))*$B$83*$H$84*Poor!$B$81/$B$81)</f>
        <v>667.85464453449299</v>
      </c>
      <c r="S18" s="222">
        <f>IF($B$81=0,0,(SUMIF($N$6:$N$28,$U18,L$6:L$28)+SUMIF($N$91:$N$118,$U18,L$91:L$118))*$I$83*Poor!$B$81/$B$81)</f>
        <v>748.33917834594592</v>
      </c>
      <c r="T18" s="222">
        <f>IF($B$81=0,0,(SUMIF($N$6:$N$28,$U18,M$6:M$28)+SUMIF($N$91:$N$118,$U18,M$91:M$118))*$I$83*Poor!$B$81/$B$81)</f>
        <v>748.33917834594592</v>
      </c>
      <c r="U18" s="223">
        <v>12</v>
      </c>
      <c r="V18" s="56"/>
      <c r="W18" s="110"/>
      <c r="X18" s="118"/>
      <c r="Y18" s="183"/>
      <c r="Z18" s="156"/>
      <c r="AA18" s="121"/>
      <c r="AB18" s="156"/>
      <c r="AC18" s="121"/>
      <c r="AD18" s="156"/>
      <c r="AE18" s="121"/>
      <c r="AF18" s="122"/>
      <c r="AG18" s="121"/>
      <c r="AH18" s="123"/>
      <c r="AI18" s="183"/>
      <c r="AJ18" s="120"/>
      <c r="AK18" s="119"/>
      <c r="AS18" s="25"/>
      <c r="AT18" s="25"/>
      <c r="AU18" s="25"/>
      <c r="AV18" s="25"/>
      <c r="AW18" s="25"/>
      <c r="AX18" s="25"/>
      <c r="AZ18" s="25"/>
      <c r="BA18" s="25"/>
      <c r="BB18" s="25"/>
      <c r="BC18" s="25"/>
      <c r="BD18" s="25"/>
      <c r="BE18" s="25"/>
      <c r="BF18" s="25"/>
      <c r="BI18" s="25"/>
      <c r="BJ18" s="25"/>
      <c r="BK18" s="25"/>
      <c r="BL18" s="25"/>
      <c r="BM18" s="25"/>
      <c r="BN18" s="25"/>
      <c r="BP18" s="25"/>
      <c r="BQ18" s="25"/>
      <c r="BR18" s="25"/>
      <c r="BS18" s="25"/>
      <c r="BT18" s="25"/>
      <c r="BU18" s="25"/>
      <c r="BV18" s="25"/>
      <c r="BX18" s="25"/>
      <c r="BY18" s="25"/>
      <c r="BZ18" s="25"/>
      <c r="CA18" s="25"/>
      <c r="CB18" s="25"/>
      <c r="CC18" s="25"/>
      <c r="CE18" s="25"/>
      <c r="CF18" s="25"/>
      <c r="CG18" s="25"/>
      <c r="CH18" s="25"/>
      <c r="CI18" s="25"/>
      <c r="CJ18" s="25"/>
      <c r="CK18" s="25"/>
    </row>
    <row r="19" spans="1:89" ht="14" customHeight="1">
      <c r="A19" s="85" t="str">
        <f>IF(Poor!A19=0,"",Poor!A19)</f>
        <v>Other crop: Rape</v>
      </c>
      <c r="B19" s="101">
        <v>7.8967265611101234E-3</v>
      </c>
      <c r="C19" s="102">
        <v>1.0429638854296379E-3</v>
      </c>
      <c r="D19" s="24">
        <f t="shared" si="18"/>
        <v>8.9396904465397619E-3</v>
      </c>
      <c r="E19" s="75">
        <f>Middle!E19</f>
        <v>1</v>
      </c>
      <c r="F19" s="22"/>
      <c r="H19" s="24">
        <f t="shared" si="19"/>
        <v>1</v>
      </c>
      <c r="I19" s="22">
        <f t="shared" si="20"/>
        <v>8.9396904465397619E-3</v>
      </c>
      <c r="J19" s="24">
        <f t="shared" si="17"/>
        <v>7.8738434202418606E-3</v>
      </c>
      <c r="K19" s="22">
        <f t="shared" si="21"/>
        <v>7.8967265611101234E-3</v>
      </c>
      <c r="L19" s="22">
        <f t="shared" si="22"/>
        <v>7.8967265611101234E-3</v>
      </c>
      <c r="M19" s="225">
        <f t="shared" si="23"/>
        <v>7.8738434202418606E-3</v>
      </c>
      <c r="N19" s="229">
        <v>1</v>
      </c>
      <c r="O19" s="2"/>
      <c r="P19" s="22"/>
      <c r="Q19" s="59" t="s">
        <v>80</v>
      </c>
      <c r="R19" s="222">
        <f>IF($B$81=0,0,(SUMIF($N$6:$N$28,$U19,K$6:K$28)+SUMIF($N$91:$N$118,$U19,K$91:K$118))*$B$83*$H$84*Poor!$B$81/$B$81)</f>
        <v>0</v>
      </c>
      <c r="S19" s="222">
        <f>IF($B$81=0,0,(SUMIF($N$6:$N$28,$U19,L$6:L$28)+SUMIF($N$91:$N$118,$U19,L$91:L$118))*$I$83*Poor!$B$81/$B$81)</f>
        <v>0</v>
      </c>
      <c r="T19" s="222">
        <f>IF($B$81=0,0,(SUMIF($N$6:$N$28,$U19,M$6:M$28)+SUMIF($N$91:$N$118,$U19,M$91:M$118))*$I$83*Poor!$B$81/$B$81)</f>
        <v>0</v>
      </c>
      <c r="U19" s="223">
        <v>13</v>
      </c>
      <c r="V19" s="56"/>
      <c r="W19" s="110"/>
      <c r="X19" s="118"/>
      <c r="Y19" s="183"/>
      <c r="Z19" s="156"/>
      <c r="AA19" s="121"/>
      <c r="AB19" s="156"/>
      <c r="AC19" s="121"/>
      <c r="AD19" s="156"/>
      <c r="AE19" s="121"/>
      <c r="AF19" s="122"/>
      <c r="AG19" s="121"/>
      <c r="AH19" s="123"/>
      <c r="AI19" s="183"/>
      <c r="AJ19" s="120"/>
      <c r="AK19" s="119"/>
      <c r="AS19" s="25"/>
      <c r="AT19" s="25"/>
      <c r="AU19" s="25"/>
      <c r="AV19" s="25"/>
      <c r="AW19" s="25"/>
      <c r="AX19" s="25"/>
      <c r="AZ19" s="25"/>
      <c r="BA19" s="25"/>
      <c r="BB19" s="25"/>
      <c r="BC19" s="25"/>
      <c r="BD19" s="25"/>
      <c r="BE19" s="25"/>
      <c r="BF19" s="25"/>
      <c r="BI19" s="25"/>
      <c r="BJ19" s="25"/>
      <c r="BK19" s="25"/>
      <c r="BL19" s="25"/>
      <c r="BM19" s="25"/>
      <c r="BN19" s="25"/>
      <c r="BP19" s="25"/>
      <c r="BQ19" s="25"/>
      <c r="BR19" s="25"/>
      <c r="BS19" s="25"/>
      <c r="BT19" s="25"/>
      <c r="BU19" s="25"/>
      <c r="BV19" s="25"/>
      <c r="BX19" s="25"/>
      <c r="BY19" s="25"/>
      <c r="BZ19" s="25"/>
      <c r="CA19" s="25"/>
      <c r="CB19" s="25"/>
      <c r="CC19" s="25"/>
      <c r="CE19" s="25"/>
      <c r="CF19" s="25"/>
      <c r="CG19" s="25"/>
      <c r="CH19" s="25"/>
      <c r="CI19" s="25"/>
      <c r="CJ19" s="25"/>
      <c r="CK19" s="25"/>
    </row>
    <row r="20" spans="1:89" ht="14" customHeight="1">
      <c r="A20" s="85" t="str">
        <f>IF(Poor!A20=0,"",Poor!A20)</f>
        <v>Other crop: pumpkin</v>
      </c>
      <c r="B20" s="101">
        <v>0</v>
      </c>
      <c r="C20" s="102">
        <v>0</v>
      </c>
      <c r="D20" s="24">
        <f t="shared" si="18"/>
        <v>0</v>
      </c>
      <c r="E20" s="75">
        <f>Middle!E20</f>
        <v>1</v>
      </c>
      <c r="F20" s="22"/>
      <c r="H20" s="24">
        <f t="shared" si="19"/>
        <v>1</v>
      </c>
      <c r="I20" s="22">
        <f t="shared" si="20"/>
        <v>0</v>
      </c>
      <c r="J20" s="24">
        <f t="shared" si="17"/>
        <v>0</v>
      </c>
      <c r="K20" s="22">
        <f t="shared" si="21"/>
        <v>0</v>
      </c>
      <c r="L20" s="22">
        <f t="shared" si="22"/>
        <v>0</v>
      </c>
      <c r="M20" s="225">
        <f t="shared" si="23"/>
        <v>0</v>
      </c>
      <c r="N20" s="229">
        <v>1</v>
      </c>
      <c r="O20" s="2"/>
      <c r="P20" s="22"/>
      <c r="Q20" s="59" t="s">
        <v>81</v>
      </c>
      <c r="R20" s="222">
        <f>IF($B$81=0,0,(SUMIF($N$6:$N$28,$U20,K$6:K$28)+SUMIF($N$91:$N$118,$U20,K$91:K$118))*$B$83*$H$84*Poor!$B$81/$B$81)</f>
        <v>13328.600181487915</v>
      </c>
      <c r="S20" s="222">
        <f>IF($B$81=0,0,(SUMIF($N$6:$N$28,$U20,L$6:L$28)+SUMIF($N$91:$N$118,$U20,L$91:L$118))*$I$83*Poor!$B$81/$B$81)</f>
        <v>0</v>
      </c>
      <c r="T20" s="222">
        <f>IF($B$81=0,0,(SUMIF($N$6:$N$28,$U20,M$6:M$28)+SUMIF($N$91:$N$118,$U20,M$91:M$118))*$I$83*Poor!$B$81/$B$81)</f>
        <v>0</v>
      </c>
      <c r="U20" s="223">
        <v>14</v>
      </c>
      <c r="V20" s="56"/>
      <c r="W20" s="110"/>
      <c r="X20" s="118"/>
      <c r="Y20" s="183"/>
      <c r="Z20" s="156"/>
      <c r="AA20" s="121"/>
      <c r="AB20" s="156"/>
      <c r="AC20" s="121"/>
      <c r="AD20" s="156"/>
      <c r="AE20" s="121"/>
      <c r="AF20" s="122"/>
      <c r="AG20" s="121"/>
      <c r="AH20" s="123"/>
      <c r="AI20" s="183"/>
      <c r="AJ20" s="120"/>
      <c r="AK20" s="119"/>
      <c r="AS20" s="25"/>
      <c r="AT20" s="25"/>
      <c r="AU20" s="25"/>
      <c r="AV20" s="25"/>
      <c r="AW20" s="25"/>
      <c r="AX20" s="25"/>
      <c r="AZ20" s="25"/>
      <c r="BA20" s="25"/>
      <c r="BB20" s="25"/>
      <c r="BC20" s="25"/>
      <c r="BD20" s="25"/>
      <c r="BE20" s="25"/>
      <c r="BF20" s="25"/>
      <c r="BI20" s="25"/>
      <c r="BJ20" s="25"/>
      <c r="BK20" s="25"/>
      <c r="BL20" s="25"/>
      <c r="BM20" s="25"/>
      <c r="BN20" s="25"/>
      <c r="BP20" s="25"/>
      <c r="BQ20" s="25"/>
      <c r="BR20" s="25"/>
      <c r="BS20" s="25"/>
      <c r="BT20" s="25"/>
      <c r="BU20" s="25"/>
      <c r="BV20" s="25"/>
      <c r="BX20" s="25"/>
      <c r="BY20" s="25"/>
      <c r="BZ20" s="25"/>
      <c r="CA20" s="25"/>
      <c r="CB20" s="25"/>
      <c r="CC20" s="25"/>
      <c r="CE20" s="25"/>
      <c r="CF20" s="25"/>
      <c r="CG20" s="25"/>
      <c r="CH20" s="25"/>
      <c r="CI20" s="25"/>
      <c r="CJ20" s="25"/>
      <c r="CK20" s="25"/>
    </row>
    <row r="21" spans="1:89" ht="14" customHeight="1">
      <c r="A21" s="85" t="str">
        <f>IF(Poor!A21=0,"",Poor!A21)</f>
        <v>WILD FOODS -- see worksheet Data 3</v>
      </c>
      <c r="B21" s="101">
        <v>0</v>
      </c>
      <c r="C21" s="102">
        <v>0</v>
      </c>
      <c r="D21" s="24">
        <f t="shared" si="18"/>
        <v>0</v>
      </c>
      <c r="E21" s="75">
        <f>Middle!E21</f>
        <v>1</v>
      </c>
      <c r="F21" s="22"/>
      <c r="H21" s="24">
        <f t="shared" si="19"/>
        <v>1</v>
      </c>
      <c r="I21" s="22">
        <f t="shared" si="20"/>
        <v>0</v>
      </c>
      <c r="J21" s="24">
        <f t="shared" si="17"/>
        <v>0</v>
      </c>
      <c r="K21" s="22">
        <f t="shared" si="21"/>
        <v>0</v>
      </c>
      <c r="L21" s="22">
        <f t="shared" si="22"/>
        <v>0</v>
      </c>
      <c r="M21" s="225">
        <f t="shared" si="23"/>
        <v>0</v>
      </c>
      <c r="N21" s="229">
        <v>1</v>
      </c>
      <c r="O21" s="2"/>
      <c r="P21" s="22"/>
      <c r="Q21" s="59" t="s">
        <v>82</v>
      </c>
      <c r="R21" s="222">
        <f>IF($B$81=0,0,(SUMIF($N$6:$N$28,$U21,K$6:K$28)+SUMIF($N$91:$N$118,$U21,K$91:K$118))*$B$83*$H$84*Poor!$B$81/$B$81)</f>
        <v>6731.6162532767248</v>
      </c>
      <c r="S21" s="222">
        <f>IF($B$81=0,0,(SUMIF($N$6:$N$28,$U21,L$6:L$28)+SUMIF($N$91:$N$118,$U21,L$91:L$118))*$I$83*Poor!$B$81/$B$81)</f>
        <v>5074.2857142857156</v>
      </c>
      <c r="T21" s="222">
        <f>IF($B$81=0,0,(SUMIF($N$6:$N$28,$U21,M$6:M$28)+SUMIF($N$91:$N$118,$U21,M$91:M$118))*$I$83*Poor!$B$81/$B$81)</f>
        <v>5074.2857142857156</v>
      </c>
      <c r="U21" s="223">
        <v>15</v>
      </c>
      <c r="V21" s="56"/>
      <c r="W21" s="110"/>
      <c r="X21" s="118"/>
      <c r="Y21" s="183"/>
      <c r="Z21" s="156"/>
      <c r="AA21" s="121"/>
      <c r="AB21" s="156"/>
      <c r="AC21" s="121"/>
      <c r="AD21" s="156"/>
      <c r="AE21" s="121"/>
      <c r="AF21" s="122"/>
      <c r="AG21" s="121"/>
      <c r="AH21" s="123"/>
      <c r="AI21" s="183"/>
      <c r="AJ21" s="120"/>
      <c r="AK21" s="119"/>
      <c r="AS21" s="25"/>
      <c r="AT21" s="25"/>
      <c r="AU21" s="25"/>
      <c r="AV21" s="25"/>
      <c r="AW21" s="25"/>
      <c r="AX21" s="25"/>
      <c r="AZ21" s="25"/>
      <c r="BA21" s="25"/>
      <c r="BB21" s="25"/>
      <c r="BC21" s="25"/>
      <c r="BD21" s="25"/>
      <c r="BE21" s="25"/>
      <c r="BF21" s="25"/>
      <c r="BI21" s="25"/>
      <c r="BJ21" s="25"/>
      <c r="BK21" s="25"/>
      <c r="BL21" s="25"/>
      <c r="BM21" s="25"/>
      <c r="BN21" s="25"/>
      <c r="BP21" s="25"/>
      <c r="BQ21" s="25"/>
      <c r="BR21" s="25"/>
      <c r="BS21" s="25"/>
      <c r="BT21" s="25"/>
      <c r="BU21" s="25"/>
      <c r="BV21" s="25"/>
      <c r="BX21" s="25"/>
      <c r="BY21" s="25"/>
      <c r="BZ21" s="25"/>
      <c r="CA21" s="25"/>
      <c r="CB21" s="25"/>
      <c r="CC21" s="25"/>
      <c r="CE21" s="25"/>
      <c r="CF21" s="25"/>
      <c r="CG21" s="25"/>
      <c r="CH21" s="25"/>
      <c r="CI21" s="25"/>
      <c r="CJ21" s="25"/>
      <c r="CK21" s="25"/>
    </row>
    <row r="22" spans="1:89" ht="14" customHeight="1">
      <c r="A22" s="85" t="str">
        <f>IF(Poor!A22=0,"",Poor!A22)</f>
        <v>Labour: Weeding, ploughing</v>
      </c>
      <c r="B22" s="101">
        <v>0</v>
      </c>
      <c r="C22" s="102">
        <v>0</v>
      </c>
      <c r="D22" s="24">
        <f t="shared" si="18"/>
        <v>0</v>
      </c>
      <c r="E22" s="75">
        <f>Middle!E22</f>
        <v>1</v>
      </c>
      <c r="F22" s="22"/>
      <c r="H22" s="24">
        <f t="shared" si="19"/>
        <v>1</v>
      </c>
      <c r="I22" s="22">
        <f t="shared" si="20"/>
        <v>0</v>
      </c>
      <c r="J22" s="24">
        <f t="shared" si="17"/>
        <v>0</v>
      </c>
      <c r="K22" s="22">
        <f t="shared" si="21"/>
        <v>0</v>
      </c>
      <c r="L22" s="22">
        <f t="shared" si="22"/>
        <v>0</v>
      </c>
      <c r="M22" s="225">
        <f t="shared" si="23"/>
        <v>0</v>
      </c>
      <c r="N22" s="229">
        <v>7</v>
      </c>
      <c r="O22" s="2"/>
      <c r="P22" s="22"/>
      <c r="Q22" s="59" t="s">
        <v>83</v>
      </c>
      <c r="R22" s="222">
        <f>IF($B$81=0,0,(SUMIF($N$6:$N$28,$U22,K$6:K$28)+SUMIF($N$91:$N$118,$U22,K$91:K$118))*$B$83*$H$84*Poor!$B$81/$B$81)</f>
        <v>3635.0727767694311</v>
      </c>
      <c r="S22" s="222">
        <f>IF($B$81=0,0,(SUMIF($N$6:$N$28,$U22,L$6:L$28)+SUMIF($N$91:$N$118,$U22,L$91:L$118))*$I$83*Poor!$B$81/$B$81)</f>
        <v>2468.5714285714284</v>
      </c>
      <c r="T22" s="222">
        <f>IF($B$81=0,0,(SUMIF($N$6:$N$28,$U22,M$6:M$28)+SUMIF($N$91:$N$118,$U22,M$91:M$118))*$I$83*Poor!$B$81/$B$81)</f>
        <v>2468.5714285714284</v>
      </c>
      <c r="U22" s="223">
        <v>16</v>
      </c>
      <c r="V22" s="56"/>
      <c r="W22" s="110"/>
      <c r="X22" s="118"/>
      <c r="Y22" s="183"/>
      <c r="Z22" s="156"/>
      <c r="AA22" s="121"/>
      <c r="AB22" s="156"/>
      <c r="AC22" s="121"/>
      <c r="AD22" s="156"/>
      <c r="AE22" s="121"/>
      <c r="AF22" s="122"/>
      <c r="AG22" s="121"/>
      <c r="AH22" s="123"/>
      <c r="AI22" s="183"/>
      <c r="AJ22" s="120"/>
      <c r="AK22" s="119"/>
      <c r="AS22" s="25"/>
      <c r="AT22" s="25"/>
      <c r="AU22" s="25"/>
      <c r="AV22" s="25"/>
      <c r="AW22" s="25"/>
      <c r="AX22" s="25"/>
      <c r="AZ22" s="25"/>
      <c r="BA22" s="25"/>
      <c r="BB22" s="25"/>
      <c r="BC22" s="25"/>
      <c r="BD22" s="25"/>
      <c r="BE22" s="25"/>
      <c r="BF22" s="25"/>
      <c r="BI22" s="25"/>
      <c r="BJ22" s="25"/>
      <c r="BK22" s="25"/>
      <c r="BL22" s="25"/>
      <c r="BM22" s="25"/>
      <c r="BN22" s="25"/>
      <c r="BP22" s="25"/>
      <c r="BQ22" s="25"/>
      <c r="BR22" s="25"/>
      <c r="BS22" s="25"/>
      <c r="BT22" s="25"/>
      <c r="BU22" s="25"/>
      <c r="BV22" s="25"/>
      <c r="BX22" s="25"/>
      <c r="BY22" s="25"/>
      <c r="BZ22" s="25"/>
      <c r="CA22" s="25"/>
      <c r="CB22" s="25"/>
      <c r="CC22" s="25"/>
      <c r="CE22" s="25"/>
      <c r="CF22" s="25"/>
      <c r="CG22" s="25"/>
      <c r="CH22" s="25"/>
      <c r="CI22" s="25"/>
      <c r="CJ22" s="25"/>
      <c r="CK22" s="25"/>
    </row>
    <row r="23" spans="1:89" ht="14" customHeight="1" thickBot="1">
      <c r="A23" s="85" t="str">
        <f>IF(Poor!A23=0,"",Poor!A23)</f>
        <v>Labour: Weeding</v>
      </c>
      <c r="B23" s="101">
        <v>0</v>
      </c>
      <c r="C23" s="102">
        <v>0</v>
      </c>
      <c r="D23" s="24">
        <f t="shared" si="18"/>
        <v>0</v>
      </c>
      <c r="E23" s="75">
        <f>Middle!E23</f>
        <v>1</v>
      </c>
      <c r="F23" s="22"/>
      <c r="H23" s="24">
        <f t="shared" si="19"/>
        <v>1</v>
      </c>
      <c r="I23" s="22">
        <f t="shared" si="20"/>
        <v>0</v>
      </c>
      <c r="J23" s="24">
        <f t="shared" si="17"/>
        <v>0</v>
      </c>
      <c r="K23" s="22">
        <f t="shared" si="21"/>
        <v>0</v>
      </c>
      <c r="L23" s="22">
        <f t="shared" si="22"/>
        <v>0</v>
      </c>
      <c r="M23" s="225">
        <f t="shared" si="23"/>
        <v>0</v>
      </c>
      <c r="N23" s="229">
        <v>7</v>
      </c>
      <c r="O23" s="2"/>
      <c r="P23" s="22"/>
      <c r="Q23" s="171" t="s">
        <v>100</v>
      </c>
      <c r="R23" s="179">
        <f>SUM(R7:R22)</f>
        <v>368517.33653598721</v>
      </c>
      <c r="S23" s="179">
        <f>SUM(S7:S22)</f>
        <v>244093.12480694451</v>
      </c>
      <c r="T23" s="179">
        <f>SUM(T7:T22)</f>
        <v>243923.69915502256</v>
      </c>
      <c r="U23" s="56"/>
      <c r="V23" s="56"/>
      <c r="W23" s="110"/>
      <c r="X23" s="118"/>
      <c r="Y23" s="183"/>
      <c r="Z23" s="156"/>
      <c r="AA23" s="121"/>
      <c r="AB23" s="156"/>
      <c r="AC23" s="121"/>
      <c r="AD23" s="156"/>
      <c r="AE23" s="121"/>
      <c r="AF23" s="122"/>
      <c r="AG23" s="121"/>
      <c r="AH23" s="123"/>
      <c r="AI23" s="183"/>
      <c r="AJ23" s="120"/>
      <c r="AK23" s="119"/>
      <c r="AS23" s="25"/>
      <c r="AT23" s="25"/>
      <c r="AU23" s="25"/>
      <c r="AV23" s="25"/>
      <c r="AW23" s="25"/>
      <c r="AX23" s="25"/>
      <c r="AZ23" s="25"/>
      <c r="BA23" s="25"/>
      <c r="BB23" s="25"/>
      <c r="BC23" s="25"/>
      <c r="BD23" s="25"/>
      <c r="BE23" s="25"/>
      <c r="BF23" s="25"/>
      <c r="BI23" s="25"/>
      <c r="BJ23" s="25"/>
      <c r="BK23" s="25"/>
      <c r="BL23" s="25"/>
      <c r="BM23" s="25"/>
      <c r="BN23" s="25"/>
      <c r="BP23" s="25"/>
      <c r="BQ23" s="25"/>
      <c r="BR23" s="25"/>
      <c r="BS23" s="25"/>
      <c r="BT23" s="25"/>
      <c r="BU23" s="25"/>
      <c r="BV23" s="25"/>
      <c r="BX23" s="25"/>
      <c r="BY23" s="25"/>
      <c r="BZ23" s="25"/>
      <c r="CA23" s="25"/>
      <c r="CB23" s="25"/>
      <c r="CC23" s="25"/>
      <c r="CE23" s="25"/>
      <c r="CF23" s="25"/>
      <c r="CG23" s="25"/>
      <c r="CH23" s="25"/>
      <c r="CI23" s="25"/>
      <c r="CJ23" s="25"/>
      <c r="CK23" s="25"/>
    </row>
    <row r="24" spans="1:89" ht="14" customHeight="1" thickTop="1">
      <c r="A24" s="85" t="str">
        <f>IF(Poor!A24=0,"",Poor!A24)</f>
        <v>Gifts/remittances: cereal</v>
      </c>
      <c r="B24" s="101">
        <v>0</v>
      </c>
      <c r="C24" s="102">
        <v>0</v>
      </c>
      <c r="D24" s="24">
        <f t="shared" si="18"/>
        <v>0</v>
      </c>
      <c r="E24" s="75">
        <f>Middle!E24</f>
        <v>1</v>
      </c>
      <c r="F24" s="22"/>
      <c r="H24" s="24">
        <f t="shared" si="19"/>
        <v>1</v>
      </c>
      <c r="I24" s="22">
        <f t="shared" si="20"/>
        <v>0</v>
      </c>
      <c r="J24" s="24">
        <f t="shared" si="17"/>
        <v>0</v>
      </c>
      <c r="K24" s="22">
        <f t="shared" si="21"/>
        <v>0</v>
      </c>
      <c r="L24" s="22">
        <f t="shared" si="22"/>
        <v>0</v>
      </c>
      <c r="M24" s="225">
        <f t="shared" si="23"/>
        <v>0</v>
      </c>
      <c r="N24" s="229">
        <v>13</v>
      </c>
      <c r="O24" s="2"/>
      <c r="P24" s="22"/>
      <c r="Q24" s="59" t="s">
        <v>137</v>
      </c>
      <c r="R24" s="41">
        <f>IF($B$81=0,0,(SUM(($B$70*$H$70))+((1-$D$29)*$I$83))*Poor!$B$81/$B$81)</f>
        <v>40474.951687871129</v>
      </c>
      <c r="S24" s="41">
        <f>IF($B$81=0,0,(SUM(($B$70*$H$70))+((1-$D$29)*$I$83))*Poor!$B$81/$B$81)</f>
        <v>40474.951687871129</v>
      </c>
      <c r="T24" s="41">
        <f>IF($B$81=0,0,(SUM(($B$70*$H$70))+((1-$D$29)*$I$83))*Poor!$B$81/$B$81)</f>
        <v>40474.951687871129</v>
      </c>
      <c r="U24" s="56"/>
      <c r="V24" s="56"/>
      <c r="W24" s="110"/>
      <c r="X24" s="118"/>
      <c r="Y24" s="183"/>
      <c r="Z24" s="156"/>
      <c r="AA24" s="121"/>
      <c r="AB24" s="156"/>
      <c r="AC24" s="121"/>
      <c r="AD24" s="156"/>
      <c r="AE24" s="121"/>
      <c r="AF24" s="122"/>
      <c r="AG24" s="121"/>
      <c r="AH24" s="123"/>
      <c r="AI24" s="183"/>
      <c r="AJ24" s="120"/>
      <c r="AK24" s="119"/>
      <c r="AS24" s="25"/>
      <c r="AT24" s="25"/>
      <c r="AU24" s="25"/>
      <c r="AV24" s="25"/>
      <c r="AW24" s="25"/>
      <c r="AX24" s="25"/>
      <c r="AZ24" s="25"/>
      <c r="BA24" s="25"/>
      <c r="BB24" s="25"/>
      <c r="BC24" s="25"/>
      <c r="BD24" s="25"/>
      <c r="BE24" s="25"/>
      <c r="BF24" s="25"/>
      <c r="BI24" s="25"/>
      <c r="BJ24" s="25"/>
      <c r="BK24" s="25"/>
      <c r="BL24" s="25"/>
      <c r="BM24" s="25"/>
      <c r="BN24" s="25"/>
      <c r="BP24" s="25"/>
      <c r="BQ24" s="25"/>
      <c r="BR24" s="25"/>
      <c r="BS24" s="25"/>
      <c r="BT24" s="25"/>
      <c r="BU24" s="25"/>
      <c r="BV24" s="25"/>
      <c r="BX24" s="25"/>
      <c r="BY24" s="25"/>
      <c r="BZ24" s="25"/>
      <c r="CA24" s="25"/>
      <c r="CB24" s="25"/>
      <c r="CC24" s="25"/>
      <c r="CE24" s="25"/>
      <c r="CF24" s="25"/>
      <c r="CG24" s="25"/>
      <c r="CH24" s="25"/>
      <c r="CI24" s="25"/>
      <c r="CJ24" s="25"/>
      <c r="CK24" s="25"/>
    </row>
    <row r="25" spans="1:89" ht="14" customHeight="1">
      <c r="A25" s="85" t="str">
        <f>IF(Poor!A25=0,"",Poor!A25)</f>
        <v>Gifts/remittances: sugar</v>
      </c>
      <c r="B25" s="101">
        <v>0</v>
      </c>
      <c r="C25" s="102">
        <v>0</v>
      </c>
      <c r="D25" s="24">
        <f t="shared" si="18"/>
        <v>0</v>
      </c>
      <c r="E25" s="75">
        <f>Middle!E25</f>
        <v>1</v>
      </c>
      <c r="F25" s="22"/>
      <c r="H25" s="24">
        <f t="shared" si="19"/>
        <v>1</v>
      </c>
      <c r="I25" s="22">
        <f t="shared" si="20"/>
        <v>0</v>
      </c>
      <c r="J25" s="24">
        <f t="shared" si="17"/>
        <v>0</v>
      </c>
      <c r="K25" s="22">
        <f t="shared" si="21"/>
        <v>0</v>
      </c>
      <c r="L25" s="22">
        <f t="shared" si="22"/>
        <v>0</v>
      </c>
      <c r="M25" s="225">
        <f t="shared" si="23"/>
        <v>0</v>
      </c>
      <c r="N25" s="229">
        <v>13</v>
      </c>
      <c r="O25" s="2"/>
      <c r="P25" s="22"/>
      <c r="Q25" s="142" t="s">
        <v>138</v>
      </c>
      <c r="R25" s="41">
        <f>IF($B$81=0,0,(SUM(($B$70*$H$70),($B$71*$H$71))+((1-$D$29)*$I$83))*Poor!$B$81/$B$81)</f>
        <v>59912.960576760015</v>
      </c>
      <c r="S25" s="41">
        <f>IF($B$81=0,0,(SUM(($B$70*$H$70),($B$71*$H$71))+((1-$D$29)*$I$83))*Poor!$B$81/$B$81)</f>
        <v>59912.960576760015</v>
      </c>
      <c r="T25" s="41">
        <f>IF($B$81=0,0,(SUM(($B$70*$H$70),($B$71*$H$71))+((1-$D$29)*$I$83))*Poor!$B$81/$B$81)</f>
        <v>59912.960576760015</v>
      </c>
      <c r="U25" s="56"/>
      <c r="V25" s="56"/>
      <c r="W25" s="110"/>
      <c r="X25" s="118"/>
      <c r="Y25" s="183"/>
      <c r="Z25" s="156"/>
      <c r="AA25" s="121"/>
      <c r="AB25" s="156"/>
      <c r="AC25" s="121"/>
      <c r="AD25" s="156"/>
      <c r="AE25" s="121"/>
      <c r="AF25" s="122"/>
      <c r="AG25" s="121"/>
      <c r="AH25" s="123"/>
      <c r="AI25" s="183"/>
      <c r="AJ25" s="120"/>
      <c r="AK25" s="119"/>
      <c r="AS25" s="25"/>
      <c r="AT25" s="25"/>
      <c r="AU25" s="25"/>
      <c r="AV25" s="25"/>
      <c r="AW25" s="25"/>
      <c r="AX25" s="25"/>
      <c r="AZ25" s="25"/>
      <c r="BA25" s="25"/>
      <c r="BB25" s="25"/>
      <c r="BC25" s="25"/>
      <c r="BD25" s="25"/>
      <c r="BE25" s="25"/>
      <c r="BF25" s="25"/>
      <c r="BI25" s="25"/>
      <c r="BJ25" s="25"/>
      <c r="BK25" s="25"/>
      <c r="BL25" s="25"/>
      <c r="BM25" s="25"/>
      <c r="BN25" s="25"/>
      <c r="BP25" s="25"/>
      <c r="BQ25" s="25"/>
      <c r="BR25" s="25"/>
      <c r="BS25" s="25"/>
      <c r="BT25" s="25"/>
      <c r="BU25" s="25"/>
      <c r="BV25" s="25"/>
      <c r="BX25" s="25"/>
      <c r="BY25" s="25"/>
      <c r="BZ25" s="25"/>
      <c r="CA25" s="25"/>
      <c r="CB25" s="25"/>
      <c r="CC25" s="25"/>
      <c r="CE25" s="25"/>
      <c r="CF25" s="25"/>
      <c r="CG25" s="25"/>
      <c r="CH25" s="25"/>
      <c r="CI25" s="25"/>
      <c r="CJ25" s="25"/>
      <c r="CK25" s="25"/>
    </row>
    <row r="26" spans="1:89" ht="14" customHeight="1">
      <c r="A26" s="85" t="str">
        <f>IF(Poor!A26=0,"",Poor!A26)</f>
        <v>Food aid</v>
      </c>
      <c r="B26" s="101">
        <v>4.409171075837743E-2</v>
      </c>
      <c r="C26" s="102">
        <v>0</v>
      </c>
      <c r="D26" s="24">
        <f t="shared" si="0"/>
        <v>4.409171075837743E-2</v>
      </c>
      <c r="E26" s="75">
        <f>Middle!E26</f>
        <v>1</v>
      </c>
      <c r="F26" s="22"/>
      <c r="H26" s="24">
        <f t="shared" si="1"/>
        <v>1</v>
      </c>
      <c r="I26" s="22">
        <f t="shared" si="2"/>
        <v>4.409171075837743E-2</v>
      </c>
      <c r="J26" s="24">
        <f>IF(I$32&lt;=1+I131,I26,B26*H26+J$33*(I26-B26*H26))</f>
        <v>4.409171075837743E-2</v>
      </c>
      <c r="K26" s="22">
        <f t="shared" si="4"/>
        <v>4.409171075837743E-2</v>
      </c>
      <c r="L26" s="22">
        <f t="shared" si="5"/>
        <v>4.409171075837743E-2</v>
      </c>
      <c r="M26" s="224">
        <f t="shared" si="6"/>
        <v>4.409171075837743E-2</v>
      </c>
      <c r="N26" s="229">
        <v>12</v>
      </c>
      <c r="O26" s="2"/>
      <c r="P26" s="22"/>
      <c r="Q26" s="59" t="s">
        <v>139</v>
      </c>
      <c r="R26" s="41">
        <f>IF($B$81=0,0,(SUM(($B$70*$H$70),($B$71*$H$71),($B$72*$H$72))+((1-$D$29)*$I$83))*Poor!$B$81/$B$81)</f>
        <v>94209.829148188597</v>
      </c>
      <c r="S26" s="41">
        <f>IF($B$81=0,0,(SUM(($B$70*$H$70),($B$71*$H$71),($B$72*$H$72))+((1-$D$29)*$I$83))*Poor!$B$81/$B$81)</f>
        <v>94209.829148188597</v>
      </c>
      <c r="T26" s="41">
        <f>IF($B$81=0,0,(SUM(($B$70*$H$70),($B$71*$H$71),($B$72*$H$72))+((1-$D$29)*$I$83))*Poor!$B$81/$B$81)</f>
        <v>94209.829148188597</v>
      </c>
      <c r="U26" s="56"/>
      <c r="V26" s="56"/>
      <c r="W26" s="110"/>
      <c r="X26" s="118"/>
      <c r="Y26" s="183">
        <f t="shared" si="9"/>
        <v>0.17636684303350972</v>
      </c>
      <c r="Z26" s="156">
        <f>Poor!Z26</f>
        <v>0.25</v>
      </c>
      <c r="AA26" s="121">
        <f t="shared" si="16"/>
        <v>4.409171075837743E-2</v>
      </c>
      <c r="AB26" s="156">
        <f>Poor!AB26</f>
        <v>0.25</v>
      </c>
      <c r="AC26" s="121">
        <f t="shared" si="7"/>
        <v>4.409171075837743E-2</v>
      </c>
      <c r="AD26" s="156">
        <f>Poor!AD26</f>
        <v>0.25</v>
      </c>
      <c r="AE26" s="121">
        <f t="shared" si="8"/>
        <v>4.409171075837743E-2</v>
      </c>
      <c r="AF26" s="122">
        <f t="shared" si="10"/>
        <v>0.25</v>
      </c>
      <c r="AG26" s="121">
        <f t="shared" si="11"/>
        <v>4.409171075837743E-2</v>
      </c>
      <c r="AH26" s="123">
        <f t="shared" si="12"/>
        <v>1</v>
      </c>
      <c r="AI26" s="183">
        <f t="shared" si="13"/>
        <v>4.409171075837743E-2</v>
      </c>
      <c r="AJ26" s="120">
        <f t="shared" si="14"/>
        <v>4.409171075837743E-2</v>
      </c>
      <c r="AK26" s="119">
        <f t="shared" si="15"/>
        <v>4.409171075837743E-2</v>
      </c>
      <c r="AS26" s="25"/>
      <c r="AT26" s="25"/>
      <c r="AU26" s="25"/>
      <c r="AV26" s="25"/>
      <c r="AW26" s="25"/>
      <c r="AX26" s="25"/>
      <c r="AZ26" s="25"/>
      <c r="BA26" s="25"/>
      <c r="BB26" s="25"/>
      <c r="BC26" s="25"/>
      <c r="BD26" s="25"/>
      <c r="BE26" s="25"/>
      <c r="BF26" s="25"/>
      <c r="BI26" s="25"/>
      <c r="BJ26" s="25"/>
      <c r="BK26" s="25"/>
      <c r="BL26" s="25"/>
      <c r="BM26" s="25"/>
      <c r="BN26" s="25"/>
      <c r="BP26" s="25"/>
      <c r="BQ26" s="25"/>
      <c r="BR26" s="25"/>
      <c r="BS26" s="25"/>
      <c r="BT26" s="25"/>
      <c r="BU26" s="25"/>
      <c r="BV26" s="25"/>
      <c r="BX26" s="25"/>
      <c r="BY26" s="25"/>
      <c r="BZ26" s="25"/>
      <c r="CA26" s="25"/>
      <c r="CB26" s="25"/>
      <c r="CC26" s="25"/>
      <c r="CE26" s="25"/>
      <c r="CF26" s="25"/>
      <c r="CG26" s="25"/>
      <c r="CH26" s="25"/>
      <c r="CI26" s="25"/>
      <c r="CJ26" s="25"/>
      <c r="CK26" s="25"/>
    </row>
    <row r="27" spans="1:89" ht="14" customHeight="1">
      <c r="A27" s="85" t="str">
        <f>IF(Poor!A27=0,"",Poor!A27)</f>
        <v>Purchase - other</v>
      </c>
      <c r="B27" s="101">
        <v>1.148905888631916E-2</v>
      </c>
      <c r="C27" s="102">
        <v>-1.148905888631916E-2</v>
      </c>
      <c r="D27" s="24">
        <f t="shared" si="0"/>
        <v>0</v>
      </c>
      <c r="E27" s="75">
        <f>Middle!E27</f>
        <v>1</v>
      </c>
      <c r="F27" s="22"/>
      <c r="H27" s="24">
        <f t="shared" si="1"/>
        <v>1</v>
      </c>
      <c r="I27" s="22">
        <f t="shared" si="2"/>
        <v>0</v>
      </c>
      <c r="J27" s="24">
        <f>IF(I$32&lt;=1+I131,I27,B27*H27+J$33*(I27-B27*H27))</f>
        <v>1.1741134491824042E-2</v>
      </c>
      <c r="K27" s="22">
        <f t="shared" si="4"/>
        <v>1.148905888631916E-2</v>
      </c>
      <c r="L27" s="22">
        <f t="shared" si="5"/>
        <v>1.148905888631916E-2</v>
      </c>
      <c r="M27" s="226">
        <f t="shared" si="6"/>
        <v>1.1741134491824042E-2</v>
      </c>
      <c r="N27" s="229"/>
      <c r="O27" s="2"/>
      <c r="P27" s="22"/>
      <c r="Q27" s="126" t="s">
        <v>140</v>
      </c>
      <c r="R27" s="41"/>
      <c r="S27" s="41"/>
      <c r="T27" s="41"/>
      <c r="U27" s="56"/>
      <c r="V27" s="56"/>
      <c r="W27" s="110"/>
      <c r="X27" s="118"/>
      <c r="Y27" s="183">
        <f t="shared" si="9"/>
        <v>4.6964537967296167E-2</v>
      </c>
      <c r="Z27" s="156">
        <f>Poor!Z27</f>
        <v>0.25</v>
      </c>
      <c r="AA27" s="121">
        <f t="shared" si="16"/>
        <v>1.1741134491824042E-2</v>
      </c>
      <c r="AB27" s="156">
        <f>Poor!AB27</f>
        <v>0.25</v>
      </c>
      <c r="AC27" s="121">
        <f t="shared" si="7"/>
        <v>1.1741134491824042E-2</v>
      </c>
      <c r="AD27" s="156">
        <f>Poor!AD27</f>
        <v>0.25</v>
      </c>
      <c r="AE27" s="121">
        <f t="shared" si="8"/>
        <v>1.1741134491824042E-2</v>
      </c>
      <c r="AF27" s="122">
        <f t="shared" si="10"/>
        <v>0.25</v>
      </c>
      <c r="AG27" s="121">
        <f t="shared" si="11"/>
        <v>1.1741134491824042E-2</v>
      </c>
      <c r="AH27" s="123">
        <f t="shared" si="12"/>
        <v>1</v>
      </c>
      <c r="AI27" s="183">
        <f t="shared" si="13"/>
        <v>1.1741134491824042E-2</v>
      </c>
      <c r="AJ27" s="120">
        <f t="shared" si="14"/>
        <v>1.1741134491824042E-2</v>
      </c>
      <c r="AK27" s="119">
        <f t="shared" si="15"/>
        <v>1.1741134491824042E-2</v>
      </c>
      <c r="AS27" s="25"/>
      <c r="AT27" s="25"/>
      <c r="AU27" s="25"/>
      <c r="AV27" s="25"/>
      <c r="AW27" s="25"/>
      <c r="AX27" s="25"/>
      <c r="AZ27" s="25"/>
      <c r="BA27" s="25"/>
      <c r="BB27" s="25"/>
      <c r="BC27" s="25"/>
      <c r="BD27" s="25"/>
      <c r="BE27" s="25"/>
      <c r="BF27" s="25"/>
      <c r="BI27" s="25"/>
      <c r="BJ27" s="25"/>
      <c r="BK27" s="25"/>
      <c r="BL27" s="25"/>
      <c r="BM27" s="25"/>
      <c r="BN27" s="25"/>
      <c r="BP27" s="25"/>
      <c r="BQ27" s="25"/>
      <c r="BR27" s="25"/>
      <c r="BS27" s="25"/>
      <c r="BT27" s="25"/>
      <c r="BU27" s="25"/>
      <c r="BV27" s="25"/>
      <c r="BX27" s="25"/>
      <c r="BY27" s="25"/>
      <c r="BZ27" s="25"/>
      <c r="CA27" s="25"/>
      <c r="CB27" s="25"/>
      <c r="CC27" s="25"/>
      <c r="CE27" s="25"/>
      <c r="CF27" s="25"/>
      <c r="CG27" s="25"/>
      <c r="CH27" s="25"/>
      <c r="CI27" s="25"/>
      <c r="CJ27" s="25"/>
      <c r="CK27" s="25"/>
    </row>
    <row r="28" spans="1:89" ht="14" customHeight="1">
      <c r="A28" s="85" t="str">
        <f>IF(Poor!A28=0,"",Poor!A28)</f>
        <v>Purchase - desirable</v>
      </c>
      <c r="B28" s="101">
        <v>6.88241095890411E-3</v>
      </c>
      <c r="C28" s="102">
        <v>-6.88241095890411E-3</v>
      </c>
      <c r="D28" s="24">
        <f t="shared" si="0"/>
        <v>0</v>
      </c>
      <c r="E28" s="75">
        <f>Middle!E28</f>
        <v>1</v>
      </c>
      <c r="F28" s="22"/>
      <c r="H28" s="24">
        <f t="shared" si="1"/>
        <v>1</v>
      </c>
      <c r="I28" s="22">
        <f t="shared" si="2"/>
        <v>0</v>
      </c>
      <c r="J28" s="24">
        <f>IF(I$32&lt;=1+I131,I28,B28*H28+J$33*(I28-B28*H28))</f>
        <v>7.033414442041014E-3</v>
      </c>
      <c r="K28" s="22">
        <f t="shared" si="4"/>
        <v>6.88241095890411E-3</v>
      </c>
      <c r="L28" s="22">
        <f t="shared" si="5"/>
        <v>6.88241095890411E-3</v>
      </c>
      <c r="M28" s="224">
        <f t="shared" si="6"/>
        <v>7.033414442041014E-3</v>
      </c>
      <c r="N28" s="229"/>
      <c r="O28" s="2"/>
      <c r="P28" s="22"/>
      <c r="V28" s="56"/>
      <c r="W28" s="110"/>
      <c r="X28" s="118"/>
      <c r="Y28" s="183">
        <f t="shared" si="9"/>
        <v>2.8133657768164056E-2</v>
      </c>
      <c r="Z28" s="156">
        <f>Poor!Z28</f>
        <v>0</v>
      </c>
      <c r="AA28" s="121">
        <f t="shared" si="16"/>
        <v>0</v>
      </c>
      <c r="AB28" s="156">
        <f>Poor!AB28</f>
        <v>0</v>
      </c>
      <c r="AC28" s="121">
        <f t="shared" si="7"/>
        <v>0</v>
      </c>
      <c r="AD28" s="156">
        <f>Poor!AD28</f>
        <v>0.5</v>
      </c>
      <c r="AE28" s="121">
        <f t="shared" si="8"/>
        <v>1.4066828884082028E-2</v>
      </c>
      <c r="AF28" s="122">
        <f t="shared" si="10"/>
        <v>0.5</v>
      </c>
      <c r="AG28" s="121">
        <f t="shared" si="11"/>
        <v>1.4066828884082028E-2</v>
      </c>
      <c r="AH28" s="123">
        <f t="shared" si="12"/>
        <v>1</v>
      </c>
      <c r="AI28" s="183">
        <f t="shared" si="13"/>
        <v>7.033414442041014E-3</v>
      </c>
      <c r="AJ28" s="120">
        <f t="shared" si="14"/>
        <v>0</v>
      </c>
      <c r="AK28" s="119">
        <f t="shared" si="15"/>
        <v>1.4066828884082028E-2</v>
      </c>
      <c r="AS28" s="25"/>
      <c r="AT28" s="25"/>
      <c r="AU28" s="25"/>
      <c r="AV28" s="25"/>
      <c r="AW28" s="25"/>
      <c r="AX28" s="25"/>
      <c r="AZ28" s="25"/>
      <c r="BA28" s="25"/>
      <c r="BB28" s="25"/>
      <c r="BC28" s="25"/>
      <c r="BD28" s="25"/>
      <c r="BE28" s="25"/>
      <c r="BF28" s="25"/>
      <c r="BI28" s="25"/>
      <c r="BJ28" s="25"/>
      <c r="BK28" s="25"/>
      <c r="BL28" s="25"/>
      <c r="BM28" s="25"/>
      <c r="BN28" s="25"/>
      <c r="BP28" s="25"/>
      <c r="BQ28" s="25"/>
      <c r="BR28" s="25"/>
      <c r="BS28" s="25"/>
      <c r="BT28" s="25"/>
      <c r="BU28" s="25"/>
      <c r="BV28" s="25"/>
      <c r="BX28" s="25"/>
      <c r="BY28" s="25"/>
      <c r="BZ28" s="25"/>
      <c r="CA28" s="25"/>
      <c r="CB28" s="25"/>
      <c r="CC28" s="25"/>
      <c r="CE28" s="25"/>
      <c r="CF28" s="25"/>
      <c r="CG28" s="25"/>
      <c r="CH28" s="25"/>
      <c r="CI28" s="25"/>
      <c r="CJ28" s="25"/>
      <c r="CK28" s="25"/>
    </row>
    <row r="29" spans="1:89" ht="14" customHeight="1">
      <c r="A29" s="85" t="str">
        <f>IF(Poor!A29=0,"",Poor!A29)</f>
        <v>Purchase - fpl non staple</v>
      </c>
      <c r="B29" s="101">
        <v>0.26755000177904287</v>
      </c>
      <c r="C29" s="102">
        <v>-4.2913227837045792E-2</v>
      </c>
      <c r="D29" s="24">
        <f t="shared" si="0"/>
        <v>0.22463677394199708</v>
      </c>
      <c r="E29" s="75">
        <f>Middle!E29</f>
        <v>1</v>
      </c>
      <c r="F29" s="22"/>
      <c r="H29" s="24">
        <f t="shared" si="1"/>
        <v>1</v>
      </c>
      <c r="I29" s="22">
        <f t="shared" si="2"/>
        <v>0.22463677394199708</v>
      </c>
      <c r="J29" s="24">
        <f>IF(I$32&lt;=1+I131,I29,B29*H29+J$33*(I29-B29*H29))</f>
        <v>0.26849153911453982</v>
      </c>
      <c r="K29" s="22">
        <f t="shared" si="4"/>
        <v>0.26755000177904287</v>
      </c>
      <c r="L29" s="22">
        <f t="shared" si="5"/>
        <v>0.26755000177904287</v>
      </c>
      <c r="M29" s="175">
        <f t="shared" si="6"/>
        <v>0.26849153911453982</v>
      </c>
      <c r="N29" s="229"/>
      <c r="P29" s="22"/>
      <c r="V29" s="56"/>
      <c r="W29" s="110"/>
      <c r="X29" s="118"/>
      <c r="Y29" s="183">
        <f t="shared" si="9"/>
        <v>1.0739661564581593</v>
      </c>
      <c r="Z29" s="156">
        <f>Poor!Z29</f>
        <v>0.25</v>
      </c>
      <c r="AA29" s="121">
        <f t="shared" si="16"/>
        <v>0.26849153911453982</v>
      </c>
      <c r="AB29" s="156">
        <f>Poor!AB29</f>
        <v>0.25</v>
      </c>
      <c r="AC29" s="121">
        <f t="shared" si="7"/>
        <v>0.26849153911453982</v>
      </c>
      <c r="AD29" s="156">
        <f>Poor!AD29</f>
        <v>0.25</v>
      </c>
      <c r="AE29" s="121">
        <f t="shared" si="8"/>
        <v>0.26849153911453982</v>
      </c>
      <c r="AF29" s="122">
        <f t="shared" si="10"/>
        <v>0.25</v>
      </c>
      <c r="AG29" s="121">
        <f t="shared" si="11"/>
        <v>0.26849153911453982</v>
      </c>
      <c r="AH29" s="123">
        <f t="shared" si="12"/>
        <v>1</v>
      </c>
      <c r="AI29" s="183">
        <f t="shared" si="13"/>
        <v>0.26849153911453982</v>
      </c>
      <c r="AJ29" s="120">
        <f t="shared" si="14"/>
        <v>0.26849153911453982</v>
      </c>
      <c r="AK29" s="119">
        <f t="shared" si="15"/>
        <v>0.26849153911453982</v>
      </c>
      <c r="AS29" s="25"/>
      <c r="AT29" s="25"/>
      <c r="AU29" s="25"/>
      <c r="AV29" s="25"/>
      <c r="AW29" s="25"/>
      <c r="AX29" s="25"/>
      <c r="AZ29" s="25"/>
      <c r="BA29" s="25"/>
      <c r="BB29" s="25"/>
      <c r="BC29" s="25"/>
      <c r="BD29" s="25"/>
      <c r="BE29" s="25"/>
      <c r="BF29" s="25"/>
      <c r="BI29" s="25"/>
      <c r="BJ29" s="25"/>
      <c r="BK29" s="25"/>
      <c r="BL29" s="25"/>
      <c r="BM29" s="25"/>
      <c r="BN29" s="25"/>
      <c r="BP29" s="25"/>
      <c r="BQ29" s="25"/>
      <c r="BR29" s="25"/>
      <c r="BS29" s="25"/>
      <c r="BT29" s="25"/>
      <c r="BU29" s="25"/>
      <c r="BV29" s="25"/>
      <c r="BX29" s="25"/>
      <c r="BY29" s="25"/>
      <c r="BZ29" s="25"/>
      <c r="CA29" s="25"/>
      <c r="CB29" s="25"/>
      <c r="CC29" s="25"/>
      <c r="CE29" s="25"/>
      <c r="CF29" s="25"/>
      <c r="CG29" s="25"/>
      <c r="CH29" s="25"/>
      <c r="CI29" s="25"/>
      <c r="CJ29" s="25"/>
      <c r="CK29" s="25"/>
    </row>
    <row r="30" spans="1:89" ht="14" customHeight="1" thickBot="1">
      <c r="A30" s="93" t="s">
        <v>56</v>
      </c>
      <c r="B30" s="101">
        <v>0.65368818174702015</v>
      </c>
      <c r="C30" s="65"/>
      <c r="D30" s="24">
        <f>(D119-B124)</f>
        <v>20.740782093759062</v>
      </c>
      <c r="E30" s="75">
        <f>Middle!E30</f>
        <v>1</v>
      </c>
      <c r="H30" s="96">
        <f>(E30*F$7/F$9)</f>
        <v>1</v>
      </c>
      <c r="I30" s="29">
        <f>IF(E30&gt;=1,I119-I124,MIN(I119-I124,B30*H30))</f>
        <v>11.252559580992337</v>
      </c>
      <c r="J30" s="231">
        <f>IF(I$32&lt;=1,I30,1-SUM(J6:J29))</f>
        <v>0.21003537251089532</v>
      </c>
      <c r="K30" s="22">
        <f t="shared" si="4"/>
        <v>0.65368818174702015</v>
      </c>
      <c r="L30" s="22">
        <f>IF(L124=L119,0,IF(K30="",0,(L119-L124)/(B119-B124)*K30))</f>
        <v>0.36623783354946621</v>
      </c>
      <c r="M30" s="175">
        <f t="shared" si="6"/>
        <v>0.21003537251089532</v>
      </c>
      <c r="N30" s="166" t="s">
        <v>86</v>
      </c>
      <c r="O30" s="2"/>
      <c r="P30" s="22"/>
      <c r="Q30" s="234" t="s">
        <v>141</v>
      </c>
      <c r="R30" s="234">
        <f t="shared" ref="R30:T32" si="24">IF(R24&gt;R$23,R24-R$23,0)</f>
        <v>0</v>
      </c>
      <c r="S30" s="234">
        <f t="shared" si="24"/>
        <v>0</v>
      </c>
      <c r="T30" s="234">
        <f t="shared" si="24"/>
        <v>0</v>
      </c>
      <c r="V30" s="56"/>
      <c r="W30" s="110"/>
      <c r="X30" s="118"/>
      <c r="Y30" s="183">
        <f>M30*4</f>
        <v>0.8401414900435813</v>
      </c>
      <c r="Z30" s="122">
        <f>IF($Y30=0,0,AA30/($Y$30))</f>
        <v>0</v>
      </c>
      <c r="AA30" s="187">
        <f>IF(AA79*4/$I$83+SUM(AA6:AA29)&lt;1,AA79*4/$I$83,1-SUM(AA6:AA29))</f>
        <v>0</v>
      </c>
      <c r="AB30" s="122">
        <f>IF($Y30=0,0,AC30/($Y$30))</f>
        <v>0</v>
      </c>
      <c r="AC30" s="187">
        <f>IF(AC79*4/$I$83+SUM(AC6:AC29)&lt;1,AC79*4/$I$83,1-SUM(AC6:AC29))</f>
        <v>0</v>
      </c>
      <c r="AD30" s="122">
        <f>IF($Y30=0,0,AE30/($Y$30))</f>
        <v>0.61026855043369455</v>
      </c>
      <c r="AE30" s="187">
        <f>IF(AE79*4/$I$83+SUM(AE6:AE29)&lt;1,AE79*4/$I$83,1-SUM(AE6:AE29))</f>
        <v>0.51271192928810061</v>
      </c>
      <c r="AF30" s="122">
        <f>IF($Y30=0,0,AG30/($Y$30))</f>
        <v>0.50716375482063736</v>
      </c>
      <c r="AG30" s="187">
        <f>IF(AG79*4/$I$83+SUM(AG6:AG29)&lt;1,AG79*4/$I$83,1-SUM(AG6:AG29))</f>
        <v>0.42608931267110783</v>
      </c>
      <c r="AH30" s="123">
        <f t="shared" si="12"/>
        <v>1.117432305254332</v>
      </c>
      <c r="AI30" s="183">
        <f t="shared" si="13"/>
        <v>0.23470031048980211</v>
      </c>
      <c r="AJ30" s="120">
        <f t="shared" si="14"/>
        <v>0</v>
      </c>
      <c r="AK30" s="119">
        <f t="shared" si="15"/>
        <v>0.46940062097960422</v>
      </c>
      <c r="AS30" s="25"/>
      <c r="AT30" s="25"/>
      <c r="AU30" s="25"/>
      <c r="AV30" s="25"/>
      <c r="AW30" s="25"/>
      <c r="AX30" s="25"/>
      <c r="AZ30" s="25"/>
      <c r="BA30" s="25"/>
      <c r="BB30" s="25"/>
      <c r="BC30" s="25"/>
      <c r="BD30" s="25"/>
      <c r="BE30" s="25"/>
      <c r="BF30" s="25"/>
      <c r="BI30" s="25"/>
      <c r="BJ30" s="25"/>
      <c r="BK30" s="25"/>
      <c r="BL30" s="25"/>
      <c r="BM30" s="25"/>
      <c r="BN30" s="25"/>
      <c r="BP30" s="25"/>
      <c r="BQ30" s="25"/>
      <c r="BR30" s="25"/>
      <c r="BS30" s="25"/>
      <c r="BT30" s="25"/>
      <c r="BU30" s="25"/>
      <c r="BV30" s="25"/>
      <c r="BX30" s="25"/>
      <c r="BY30" s="25"/>
      <c r="BZ30" s="25"/>
      <c r="CA30" s="25"/>
      <c r="CB30" s="25"/>
      <c r="CC30" s="25"/>
      <c r="CE30" s="25"/>
      <c r="CF30" s="25"/>
      <c r="CG30" s="25"/>
      <c r="CH30" s="25"/>
      <c r="CI30" s="25"/>
      <c r="CJ30" s="25"/>
      <c r="CK30" s="25"/>
    </row>
    <row r="31" spans="1:89" ht="14" customHeight="1" thickBot="1">
      <c r="A31" s="94" t="s">
        <v>57</v>
      </c>
      <c r="B31" s="102" t="str">
        <f>IF(1-$B$32&gt;0,1-$B$32,"")</f>
        <v/>
      </c>
      <c r="C31" s="29"/>
      <c r="D31" s="24"/>
      <c r="E31" s="22"/>
      <c r="F31" s="22"/>
      <c r="H31" s="24"/>
      <c r="I31" s="22"/>
      <c r="J31" s="232">
        <f>(1-SUM(J6:J30))</f>
        <v>0</v>
      </c>
      <c r="K31" s="22" t="str">
        <f t="shared" si="4"/>
        <v/>
      </c>
      <c r="L31" s="22">
        <f>(1-SUM(L6:L30))</f>
        <v>-0.18646405763676221</v>
      </c>
      <c r="M31" s="178">
        <f t="shared" si="6"/>
        <v>0</v>
      </c>
      <c r="N31" s="167">
        <f>M31*I83</f>
        <v>0</v>
      </c>
      <c r="P31" s="22"/>
      <c r="Q31" s="238" t="s">
        <v>142</v>
      </c>
      <c r="R31" s="234">
        <f t="shared" si="24"/>
        <v>0</v>
      </c>
      <c r="S31" s="234">
        <f t="shared" si="24"/>
        <v>0</v>
      </c>
      <c r="T31" s="234">
        <f>IF(T25&gt;T$23,T25-T$23,0)</f>
        <v>0</v>
      </c>
      <c r="V31" s="56"/>
      <c r="W31" s="129" t="s">
        <v>84</v>
      </c>
      <c r="X31" s="130"/>
      <c r="Y31" s="121">
        <f>M31*4</f>
        <v>0</v>
      </c>
      <c r="Z31" s="131"/>
      <c r="AA31" s="132">
        <f>1-AA32+IF($Y32&lt;0,$Y32/4,0)</f>
        <v>0</v>
      </c>
      <c r="AB31" s="131"/>
      <c r="AC31" s="133">
        <f>1-AC32+IF($Y32&lt;0,$Y32/4,0)</f>
        <v>0</v>
      </c>
      <c r="AD31" s="134"/>
      <c r="AE31" s="133">
        <f>1-AE32+IF($Y32&lt;0,$Y32/4,0)</f>
        <v>0</v>
      </c>
      <c r="AF31" s="134"/>
      <c r="AG31" s="133">
        <f>1-AG32+IF($Y32&lt;0,$Y32/4,0)</f>
        <v>0</v>
      </c>
      <c r="AH31" s="123"/>
      <c r="AI31" s="182">
        <f>SUM(AA31,AC31,AE31,AG31)/4</f>
        <v>0</v>
      </c>
      <c r="AJ31" s="135">
        <f t="shared" si="14"/>
        <v>0</v>
      </c>
      <c r="AK31" s="136">
        <f t="shared" si="15"/>
        <v>0</v>
      </c>
      <c r="AS31" s="25"/>
      <c r="AT31" s="25"/>
      <c r="AU31" s="25"/>
      <c r="AV31" s="25"/>
      <c r="AW31" s="25"/>
      <c r="AX31" s="25"/>
      <c r="AZ31" s="25"/>
      <c r="BA31" s="25"/>
      <c r="BB31" s="25"/>
      <c r="BC31" s="25"/>
      <c r="BD31" s="25"/>
      <c r="BE31" s="25"/>
      <c r="BF31" s="25"/>
      <c r="BI31" s="25"/>
      <c r="BJ31" s="25"/>
      <c r="BK31" s="25"/>
      <c r="BL31" s="25"/>
      <c r="BM31" s="25"/>
      <c r="BN31" s="25"/>
      <c r="BP31" s="25"/>
      <c r="BQ31" s="25"/>
      <c r="BR31" s="25"/>
      <c r="BS31" s="25"/>
      <c r="BT31" s="25"/>
      <c r="BU31" s="25"/>
      <c r="BV31" s="25"/>
      <c r="BX31" s="25"/>
      <c r="BY31" s="25"/>
      <c r="BZ31" s="25"/>
      <c r="CA31" s="25"/>
      <c r="CB31" s="25"/>
      <c r="CC31" s="25"/>
      <c r="CE31" s="25"/>
      <c r="CF31" s="25"/>
      <c r="CG31" s="25"/>
      <c r="CH31" s="25"/>
      <c r="CI31" s="25"/>
      <c r="CJ31" s="25"/>
      <c r="CK31" s="25"/>
    </row>
    <row r="32" spans="1:89" ht="14" customHeight="1">
      <c r="A32" s="22" t="s">
        <v>24</v>
      </c>
      <c r="B32" s="29">
        <f>SUM(B6:B30)</f>
        <v>1.5288040215782526</v>
      </c>
      <c r="C32" s="29">
        <f>SUM(C6:C31)</f>
        <v>1.2752966047088963</v>
      </c>
      <c r="D32" s="24">
        <f>SUM(D6:D30)</f>
        <v>22.891194538299192</v>
      </c>
      <c r="E32" s="2"/>
      <c r="F32" s="2"/>
      <c r="H32" s="17"/>
      <c r="I32" s="22">
        <f>SUM(I6:I30)</f>
        <v>13.452043685326689</v>
      </c>
      <c r="J32" s="17"/>
      <c r="L32" s="22">
        <f>SUM(L6:L30)</f>
        <v>1.1864640576367622</v>
      </c>
      <c r="M32" s="23"/>
      <c r="N32" s="56"/>
      <c r="O32" s="2"/>
      <c r="P32" s="22"/>
      <c r="Q32" s="234" t="s">
        <v>143</v>
      </c>
      <c r="R32" s="234">
        <f t="shared" si="24"/>
        <v>0</v>
      </c>
      <c r="S32" s="234">
        <f t="shared" si="24"/>
        <v>0</v>
      </c>
      <c r="T32" s="234">
        <f t="shared" si="24"/>
        <v>0</v>
      </c>
      <c r="V32" s="56"/>
      <c r="W32" s="110"/>
      <c r="X32" s="118"/>
      <c r="Y32" s="115">
        <f>SUM(Y6:Y31)</f>
        <v>3.9013402480843733</v>
      </c>
      <c r="Z32" s="137"/>
      <c r="AA32" s="138">
        <f>SUM(AA6:AA30)</f>
        <v>1</v>
      </c>
      <c r="AB32" s="137"/>
      <c r="AC32" s="139">
        <f>SUM(AC6:AC30)</f>
        <v>1</v>
      </c>
      <c r="AD32" s="137"/>
      <c r="AE32" s="139">
        <f>SUM(AE6:AE30)</f>
        <v>1</v>
      </c>
      <c r="AF32" s="137"/>
      <c r="AG32" s="139">
        <f>SUM(AG6:AG30)</f>
        <v>1</v>
      </c>
      <c r="AH32" s="127"/>
      <c r="AI32" s="110"/>
      <c r="AJ32" s="140">
        <f>SUM(AJ6:AJ31)</f>
        <v>1.0000000000000002</v>
      </c>
      <c r="AK32" s="141">
        <f>SUM(AK6:AK31)</f>
        <v>1</v>
      </c>
      <c r="AS32" s="25"/>
      <c r="AT32" s="25"/>
      <c r="AU32" s="25"/>
      <c r="AV32" s="25"/>
      <c r="AW32" s="25"/>
      <c r="AX32" s="25"/>
      <c r="AZ32" s="25"/>
      <c r="BA32" s="25"/>
      <c r="BB32" s="25"/>
      <c r="BC32" s="25"/>
      <c r="BD32" s="25"/>
      <c r="BE32" s="25"/>
      <c r="BI32" s="25"/>
      <c r="BJ32" s="25"/>
      <c r="BK32" s="25"/>
      <c r="BL32" s="25"/>
      <c r="BM32" s="25"/>
      <c r="BN32" s="25"/>
      <c r="BP32" s="25"/>
      <c r="BQ32" s="25"/>
      <c r="BR32" s="25"/>
      <c r="BS32" s="25"/>
      <c r="BT32" s="25"/>
      <c r="BU32" s="25"/>
      <c r="BX32" s="25"/>
      <c r="BY32" s="25"/>
      <c r="BZ32" s="25"/>
      <c r="CA32" s="25"/>
      <c r="CB32" s="25"/>
      <c r="CC32" s="25"/>
      <c r="CE32" s="25"/>
      <c r="CF32" s="25"/>
      <c r="CG32" s="25"/>
      <c r="CH32" s="25"/>
      <c r="CI32" s="25"/>
      <c r="CJ32" s="25"/>
    </row>
    <row r="33" spans="1:88" ht="14" customHeight="1" thickBot="1">
      <c r="A33" s="11"/>
      <c r="B33" s="11"/>
      <c r="C33" s="11"/>
      <c r="D33" s="10"/>
      <c r="E33" s="11"/>
      <c r="F33" s="11"/>
      <c r="G33" s="11"/>
      <c r="H33" s="10"/>
      <c r="I33" s="97" t="s">
        <v>25</v>
      </c>
      <c r="J33" s="98">
        <f>(1+K127*H127-L32-L127)/(I32-L32-L127)</f>
        <v>-2.1940492080256162E-2</v>
      </c>
      <c r="K33" s="14"/>
      <c r="L33" s="11"/>
      <c r="M33" s="30"/>
      <c r="N33" s="168" t="s">
        <v>87</v>
      </c>
      <c r="O33" s="2"/>
      <c r="P33" s="2"/>
      <c r="Q33" s="238"/>
      <c r="R33" s="234"/>
      <c r="S33" s="234"/>
      <c r="T33" s="234"/>
      <c r="V33" s="56"/>
      <c r="W33" s="110"/>
      <c r="X33" s="118"/>
      <c r="Y33" s="110"/>
      <c r="Z33" s="143"/>
      <c r="AA33" s="144"/>
      <c r="AB33" s="143"/>
      <c r="AC33" s="144"/>
      <c r="AD33" s="143"/>
      <c r="AE33" s="144"/>
      <c r="AF33" s="143"/>
      <c r="AG33" s="144"/>
      <c r="AH33" s="110"/>
      <c r="AI33" s="110"/>
      <c r="AJ33" s="143"/>
      <c r="AK33" s="144"/>
      <c r="AS33" s="25"/>
      <c r="AT33" s="25"/>
      <c r="AU33" s="25"/>
      <c r="AV33" s="25"/>
      <c r="AW33" s="25"/>
      <c r="AX33" s="25"/>
      <c r="AZ33" s="25"/>
      <c r="BA33" s="25"/>
      <c r="BB33" s="25"/>
      <c r="BC33" s="25"/>
      <c r="BD33" s="25"/>
      <c r="BE33" s="25"/>
      <c r="BI33" s="25"/>
      <c r="BJ33" s="25"/>
      <c r="BK33" s="25"/>
      <c r="BL33" s="25"/>
      <c r="BM33" s="25"/>
      <c r="BN33" s="25"/>
      <c r="BP33" s="25"/>
      <c r="BQ33" s="25"/>
      <c r="BR33" s="25"/>
      <c r="BS33" s="25"/>
      <c r="BT33" s="25"/>
      <c r="BU33" s="25"/>
      <c r="BX33" s="25"/>
      <c r="BY33" s="25"/>
      <c r="BZ33" s="25"/>
      <c r="CA33" s="25"/>
      <c r="CB33" s="25"/>
      <c r="CC33" s="25"/>
      <c r="CE33" s="25"/>
      <c r="CF33" s="25"/>
      <c r="CG33" s="25"/>
      <c r="CH33" s="25"/>
      <c r="CI33" s="25"/>
      <c r="CJ33" s="25"/>
    </row>
    <row r="34" spans="1:88" ht="15.75" customHeight="1" thickBot="1">
      <c r="A34" s="73" t="s">
        <v>50</v>
      </c>
      <c r="B34" s="2"/>
      <c r="C34" s="2"/>
      <c r="D34" s="31"/>
      <c r="E34" s="32"/>
      <c r="F34" s="32"/>
      <c r="G34" s="32"/>
      <c r="H34" s="31"/>
      <c r="I34" s="2"/>
      <c r="J34" s="33"/>
      <c r="K34" s="34" t="s">
        <v>27</v>
      </c>
      <c r="L34" s="35"/>
      <c r="M34" s="36"/>
      <c r="N34" s="169">
        <f>-(M77*B76)</f>
        <v>0</v>
      </c>
      <c r="O34" s="2"/>
      <c r="P34" s="2"/>
      <c r="V34" s="56"/>
      <c r="W34" s="110"/>
      <c r="X34" s="118"/>
      <c r="Y34" s="110"/>
      <c r="Z34" s="145"/>
      <c r="AA34" s="146"/>
      <c r="AB34" s="145"/>
      <c r="AC34" s="146"/>
      <c r="AD34" s="145"/>
      <c r="AE34" s="146"/>
      <c r="AF34" s="145"/>
      <c r="AG34" s="146"/>
      <c r="AH34" s="110"/>
      <c r="AI34" s="110"/>
      <c r="AJ34" s="145"/>
      <c r="AK34" s="146"/>
      <c r="AP34" s="25"/>
      <c r="AQ34" s="25"/>
      <c r="AR34" s="25"/>
      <c r="AS34" s="25"/>
      <c r="AT34" s="25"/>
      <c r="AU34" s="25"/>
      <c r="AW34" s="25"/>
      <c r="AX34" s="25"/>
      <c r="AY34" s="25"/>
      <c r="AZ34" s="25"/>
      <c r="BA34" s="25"/>
      <c r="BB34" s="25"/>
      <c r="BF34" s="25"/>
      <c r="BG34" s="25"/>
      <c r="BH34" s="25"/>
      <c r="BI34" s="25"/>
      <c r="BJ34" s="25"/>
      <c r="BK34" s="25"/>
      <c r="BM34" s="25"/>
      <c r="BN34" s="25"/>
      <c r="BO34" s="25"/>
      <c r="BP34" s="25"/>
      <c r="BQ34" s="25"/>
      <c r="BR34" s="25"/>
      <c r="BU34" s="25"/>
      <c r="BV34" s="25"/>
      <c r="BW34" s="25"/>
      <c r="BX34" s="25"/>
      <c r="BY34" s="25"/>
      <c r="BZ34" s="25"/>
      <c r="CB34" s="25"/>
      <c r="CC34" s="25"/>
      <c r="CD34" s="25"/>
      <c r="CE34" s="25"/>
      <c r="CF34" s="25"/>
      <c r="CG34" s="25"/>
    </row>
    <row r="35" spans="1:88" ht="14" customHeight="1">
      <c r="A35" s="2"/>
      <c r="B35" s="19" t="s">
        <v>7</v>
      </c>
      <c r="C35" s="19" t="s">
        <v>8</v>
      </c>
      <c r="D35" s="16" t="s">
        <v>9</v>
      </c>
      <c r="E35" s="19" t="s">
        <v>10</v>
      </c>
      <c r="F35" s="2" t="s">
        <v>28</v>
      </c>
      <c r="G35" s="2" t="s">
        <v>29</v>
      </c>
      <c r="H35" s="16" t="s">
        <v>12</v>
      </c>
      <c r="I35" s="19" t="s">
        <v>13</v>
      </c>
      <c r="J35" s="16" t="s">
        <v>14</v>
      </c>
      <c r="K35" s="37" t="s">
        <v>7</v>
      </c>
      <c r="L35" s="19" t="s">
        <v>15</v>
      </c>
      <c r="M35" s="16" t="s">
        <v>14</v>
      </c>
      <c r="N35" s="2"/>
      <c r="O35" s="2"/>
      <c r="P35" s="2"/>
      <c r="R35" s="41"/>
      <c r="S35" s="41"/>
      <c r="V35" s="56"/>
      <c r="W35" s="110"/>
      <c r="X35" s="118"/>
      <c r="Y35" s="110"/>
      <c r="Z35" s="145"/>
      <c r="AA35" s="146"/>
      <c r="AB35" s="145"/>
      <c r="AC35" s="146"/>
      <c r="AD35" s="145"/>
      <c r="AE35" s="146"/>
      <c r="AF35" s="145"/>
      <c r="AG35" s="146"/>
      <c r="AH35" s="110"/>
      <c r="AI35" s="110"/>
      <c r="AJ35" s="145"/>
      <c r="AK35" s="146"/>
      <c r="AP35" s="25"/>
      <c r="AQ35" s="25"/>
      <c r="AR35" s="25"/>
      <c r="AS35" s="25"/>
      <c r="AT35" s="25"/>
      <c r="AU35" s="25"/>
      <c r="AW35" s="25"/>
      <c r="AX35" s="25"/>
      <c r="AY35" s="25"/>
      <c r="AZ35" s="25"/>
      <c r="BA35" s="25"/>
      <c r="BB35" s="25"/>
      <c r="BF35" s="25"/>
      <c r="BG35" s="25"/>
      <c r="BH35" s="25"/>
      <c r="BI35" s="25"/>
      <c r="BJ35" s="25"/>
      <c r="BK35" s="25"/>
      <c r="BM35" s="25"/>
      <c r="BN35" s="25"/>
      <c r="BO35" s="25"/>
      <c r="BP35" s="25"/>
      <c r="BQ35" s="25"/>
      <c r="BR35" s="25"/>
      <c r="BU35" s="25"/>
      <c r="BV35" s="25"/>
      <c r="BW35" s="25"/>
      <c r="BX35" s="25"/>
      <c r="BY35" s="25"/>
      <c r="BZ35" s="25"/>
      <c r="CB35" s="25"/>
      <c r="CC35" s="25"/>
      <c r="CD35" s="25"/>
      <c r="CE35" s="25"/>
      <c r="CF35" s="25"/>
      <c r="CG35" s="25"/>
    </row>
    <row r="36" spans="1:88" ht="14" customHeight="1">
      <c r="A36" s="2" t="s">
        <v>30</v>
      </c>
      <c r="B36" s="19" t="s">
        <v>16</v>
      </c>
      <c r="C36" s="19" t="s">
        <v>17</v>
      </c>
      <c r="D36" s="16" t="s">
        <v>16</v>
      </c>
      <c r="E36" s="19" t="s">
        <v>18</v>
      </c>
      <c r="F36" s="2" t="s">
        <v>31</v>
      </c>
      <c r="G36" s="2" t="s">
        <v>31</v>
      </c>
      <c r="H36" s="16" t="s">
        <v>18</v>
      </c>
      <c r="I36" s="19" t="s">
        <v>16</v>
      </c>
      <c r="J36" s="16" t="s">
        <v>16</v>
      </c>
      <c r="K36" s="37" t="s">
        <v>16</v>
      </c>
      <c r="L36" s="19" t="s">
        <v>19</v>
      </c>
      <c r="M36" s="16" t="s">
        <v>16</v>
      </c>
      <c r="N36" s="2"/>
      <c r="O36" s="2"/>
      <c r="P36" s="2"/>
      <c r="Q36" s="59"/>
      <c r="R36" s="242"/>
      <c r="S36" s="242"/>
      <c r="T36" s="252"/>
      <c r="U36" s="56"/>
      <c r="V36" s="56"/>
      <c r="W36" s="110"/>
      <c r="X36" s="118"/>
      <c r="Y36" s="110"/>
      <c r="Z36" s="145"/>
      <c r="AA36" s="146"/>
      <c r="AB36" s="145"/>
      <c r="AC36" s="146"/>
      <c r="AD36" s="145"/>
      <c r="AE36" s="146"/>
      <c r="AF36" s="145"/>
      <c r="AG36" s="146"/>
      <c r="AH36" s="110"/>
      <c r="AI36" s="110"/>
      <c r="AJ36" s="145"/>
      <c r="AK36" s="146"/>
      <c r="AP36" s="25"/>
      <c r="AQ36" s="25"/>
      <c r="AR36" s="25"/>
      <c r="AS36" s="25"/>
      <c r="AT36" s="25"/>
      <c r="AU36" s="25"/>
      <c r="AW36" s="25"/>
      <c r="AX36" s="25"/>
      <c r="AY36" s="25"/>
      <c r="AZ36" s="25"/>
      <c r="BA36" s="25"/>
      <c r="BB36" s="25"/>
      <c r="BF36" s="25"/>
      <c r="BG36" s="25"/>
      <c r="BH36" s="25"/>
      <c r="BI36" s="25"/>
      <c r="BJ36" s="25"/>
      <c r="BK36" s="25"/>
      <c r="BM36" s="25"/>
      <c r="BN36" s="25"/>
      <c r="BO36" s="25"/>
      <c r="BP36" s="25"/>
      <c r="BQ36" s="25"/>
      <c r="BR36" s="25"/>
      <c r="BU36" s="25"/>
      <c r="BV36" s="25"/>
      <c r="BW36" s="25"/>
      <c r="BX36" s="25"/>
      <c r="BY36" s="25"/>
      <c r="BZ36" s="25"/>
      <c r="CB36" s="25"/>
      <c r="CC36" s="25"/>
      <c r="CD36" s="25"/>
      <c r="CE36" s="25"/>
      <c r="CF36" s="25"/>
      <c r="CG36" s="25"/>
    </row>
    <row r="37" spans="1:88" ht="14" customHeight="1">
      <c r="A37" s="85" t="str">
        <f>IF(Poor!A37=0,"",Poor!A37)</f>
        <v>Pig sales: no sold</v>
      </c>
      <c r="B37" s="104">
        <v>1633.3333333333333</v>
      </c>
      <c r="C37" s="104">
        <v>0</v>
      </c>
      <c r="D37" s="38">
        <f t="shared" ref="D37:D64" si="25">B37+C37</f>
        <v>1633.3333333333333</v>
      </c>
      <c r="E37" s="75">
        <f>Middle!E37</f>
        <v>0.8</v>
      </c>
      <c r="F37" s="75">
        <f>Middle!F37</f>
        <v>1.18</v>
      </c>
      <c r="G37" s="75">
        <f>Middle!G37</f>
        <v>1.65</v>
      </c>
      <c r="H37" s="24">
        <f t="shared" ref="H37:H52" si="26">(E37*F37)</f>
        <v>0.94399999999999995</v>
      </c>
      <c r="I37" s="39">
        <f t="shared" ref="I37:I52" si="27">D37*H37</f>
        <v>1541.8666666666666</v>
      </c>
      <c r="J37" s="38">
        <f>J91*I$83</f>
        <v>1541.8666666666668</v>
      </c>
      <c r="K37" s="40">
        <f t="shared" ref="K37:K52" si="28">(B37/B$65)</f>
        <v>7.6440434181666147E-3</v>
      </c>
      <c r="L37" s="22">
        <f t="shared" ref="L37:L52" si="29">(K37*H37)</f>
        <v>7.2159769867492837E-3</v>
      </c>
      <c r="M37" s="24">
        <f t="shared" ref="M37:M52" si="30">J37/B$65</f>
        <v>7.2159769867492854E-3</v>
      </c>
      <c r="N37" s="2"/>
      <c r="O37" s="2"/>
      <c r="P37" s="2"/>
      <c r="Q37" s="59"/>
      <c r="R37" s="252"/>
      <c r="S37" s="252"/>
      <c r="T37" s="29"/>
      <c r="U37" s="56"/>
      <c r="V37" s="56"/>
      <c r="W37" s="115"/>
      <c r="X37" s="118"/>
      <c r="Y37" s="110"/>
      <c r="Z37" s="122">
        <f>IF($J37=0,0,AA37/($J37))</f>
        <v>0</v>
      </c>
      <c r="AA37" s="147">
        <f>IF(SUM(AA$6:AA$29)+(SUM(AA$39:AA$64,-AA$70)/AA$83)&lt;1,IF(SUM(AA$6:AA$29)+(SUM(AA$39:AA$64,$J$37:$J$38,-AA$70)/AA$83)&lt;1,$J37,(AA$83-(SUM(AA$6:AA$29)*AA$83)-SUM(AA$39:AA$64,-AA$70))*($J37/SUM($J$37:$J$38))),0)</f>
        <v>0</v>
      </c>
      <c r="AB37" s="122">
        <f>IF($J37=0,0,AC37/($J37))</f>
        <v>0</v>
      </c>
      <c r="AC37" s="147">
        <f>IF(SUM(AC$6:AC$29)+(SUM(AC$39:AC$64,-AC$70)/AC$83)&lt;1,IF(SUM(AC$6:AC$29)+((SUM(AC$39:AC$64,$J$37:$J$38,-AC$70)-SUM($AA$37:$AA$38))/AC$83)&lt;1,$J37-$AA37,(AC$83-(SUM(AC$6:AC$29)*AC$83)-SUM(AC$39:AC$64,-AC$70))*($J37/SUM($J$37:$J$38))),0)</f>
        <v>0</v>
      </c>
      <c r="AD37" s="122">
        <f>IF($J37=0,0,AE37/($J37))</f>
        <v>0</v>
      </c>
      <c r="AE37" s="147">
        <f>IF(SUM(AE$6:AE$29)+(SUM(AE$39:AE$64,-AE$70)/AE$83)&lt;1,IF(SUM(AE$6:AE$29)+((SUM(AE$39:AE$64,$J$37:$J$38,-AE$70)-SUM($AA$37:$AA$38)-SUM($AC$37:$AC$38))/AE$83)&lt;1,$J37-$AA37-$AC37,(AE$83-(SUM(AE$6:AE$29)*AE$83)-SUM(AE$39:AE$64,-AE$70))*($J37/SUM($J$37:$J$38))),0)</f>
        <v>0</v>
      </c>
      <c r="AF37" s="122">
        <f t="shared" ref="AF37:AF64" si="31">1-SUM(Z37,AB37,AD37)</f>
        <v>1</v>
      </c>
      <c r="AG37" s="147">
        <f>$J37*AF37</f>
        <v>1541.8666666666668</v>
      </c>
      <c r="AH37" s="123">
        <f>SUM(Z37,AB37,AD37,AF37)</f>
        <v>1</v>
      </c>
      <c r="AI37" s="112">
        <f>SUM(AA37,AC37,AE37,AG37)</f>
        <v>1541.8666666666668</v>
      </c>
      <c r="AJ37" s="148">
        <f>(AA37+AC37)</f>
        <v>0</v>
      </c>
      <c r="AK37" s="147">
        <f>(AE37+AG37)</f>
        <v>1541.8666666666668</v>
      </c>
      <c r="AP37" s="25"/>
      <c r="AQ37" s="25"/>
      <c r="AR37" s="25"/>
      <c r="AS37" s="25"/>
      <c r="AT37" s="25"/>
      <c r="AU37" s="25"/>
      <c r="AW37" s="25"/>
      <c r="AX37" s="25"/>
      <c r="AY37" s="25"/>
      <c r="AZ37" s="25"/>
      <c r="BA37" s="25"/>
      <c r="BB37" s="25"/>
      <c r="BF37" s="25"/>
      <c r="BG37" s="25"/>
      <c r="BH37" s="25"/>
      <c r="BI37" s="25"/>
      <c r="BJ37" s="25"/>
      <c r="BK37" s="25"/>
      <c r="BM37" s="25"/>
      <c r="BN37" s="25"/>
      <c r="BO37" s="25"/>
      <c r="BP37" s="25"/>
      <c r="BQ37" s="25"/>
      <c r="BR37" s="25"/>
      <c r="BU37" s="25"/>
      <c r="BV37" s="25"/>
      <c r="BW37" s="25"/>
      <c r="BX37" s="25"/>
      <c r="BY37" s="25"/>
      <c r="BZ37" s="25"/>
      <c r="CB37" s="25"/>
      <c r="CC37" s="25"/>
      <c r="CD37" s="25"/>
      <c r="CE37" s="25"/>
      <c r="CF37" s="25"/>
      <c r="CG37" s="25"/>
    </row>
    <row r="38" spans="1:88" ht="14" customHeight="1">
      <c r="A38" s="85" t="str">
        <f>IF(Poor!A38=0,"",Poor!A38)</f>
        <v>Cattle sales - local: no. sold</v>
      </c>
      <c r="B38" s="104">
        <v>12666.666666666666</v>
      </c>
      <c r="C38" s="104">
        <v>1000</v>
      </c>
      <c r="D38" s="38">
        <f t="shared" si="25"/>
        <v>13666.666666666666</v>
      </c>
      <c r="E38" s="75">
        <f>Middle!E38</f>
        <v>0.8</v>
      </c>
      <c r="F38" s="75">
        <f>Middle!F38</f>
        <v>1.18</v>
      </c>
      <c r="G38" s="22">
        <f t="shared" ref="G38:G64" si="32">(G$37)</f>
        <v>1.65</v>
      </c>
      <c r="H38" s="24">
        <f t="shared" si="26"/>
        <v>0.94399999999999995</v>
      </c>
      <c r="I38" s="39">
        <f t="shared" si="27"/>
        <v>12901.333333333332</v>
      </c>
      <c r="J38" s="38">
        <f t="shared" ref="J38:J64" si="33">J92*I$83</f>
        <v>11936.621508809571</v>
      </c>
      <c r="K38" s="40">
        <f t="shared" si="28"/>
        <v>5.9280336712312524E-2</v>
      </c>
      <c r="L38" s="22">
        <f t="shared" si="29"/>
        <v>5.5960637856423023E-2</v>
      </c>
      <c r="M38" s="24">
        <f t="shared" si="30"/>
        <v>5.5863705967078681E-2</v>
      </c>
      <c r="N38" s="2"/>
      <c r="O38" s="2"/>
      <c r="P38" s="2"/>
      <c r="Q38" s="59"/>
      <c r="R38" s="252"/>
      <c r="S38" s="252"/>
      <c r="T38" s="29"/>
      <c r="U38" s="56"/>
      <c r="V38" s="56"/>
      <c r="W38" s="115"/>
      <c r="X38" s="118"/>
      <c r="Y38" s="110"/>
      <c r="Z38" s="122">
        <f>IF($J38=0,0,AA38/($J38))</f>
        <v>0</v>
      </c>
      <c r="AA38" s="147">
        <f>IF(SUM(AA$6:AA$29)+(SUM(AA$39:AA$64,-AA$70)/AA$83)&lt;1,IF(SUM(AA$6:AA$29)+(SUM(AA$39:AA$64,$J$37:$J$38,-AA$70)/AA$83)&lt;1,$J38,(AA$83-(SUM(AA$6:AA$29)*AA$83)-SUM(AA$39:AA$64,-AA$70))*($J38/SUM($J$37:$J$38))),0)</f>
        <v>0</v>
      </c>
      <c r="AB38" s="122">
        <f>IF($J38=0,0,AC38/($J38))</f>
        <v>0</v>
      </c>
      <c r="AC38" s="147">
        <f>IF(SUM(AC$6:AC$29)+(SUM(AC$39:AC$64,-AC$70)/AC$83)&lt;1,IF(SUM(AC$6:AC$29)+((SUM(AC$39:AC$64,$J$37:$J$38,-AC$70)-SUM($AA$37:$AA$38))/AC$83)&lt;1,$J38-$AA38,(AC$83-(SUM(AC$6:AC$29)*AC$83)-SUM(AC$39:AC$64,-AC$70))*($J38/SUM($J$37:$J$38))),0)</f>
        <v>0</v>
      </c>
      <c r="AD38" s="122">
        <f>IF($J38=0,0,AE38/($J38))</f>
        <v>0</v>
      </c>
      <c r="AE38" s="147">
        <f>IF(SUM(AE$6:AE$29)+(SUM(AE$39:AE$64,-AE$70)/AE$83)&lt;1,IF(SUM(AE$6:AE$29)+((SUM(AE$39:AE$64,$J$37:$J$38,-AE$70)-SUM($AA$37:$AA$38)-SUM($AC$37:$AC$38))/AE$83)&lt;1,$J38-$AA38-$AC38,(AE$83-(SUM(AE$6:AE$29)*AE$83)-SUM(AE$39:AE$64,-AE$70))*($J38/SUM($J$37:$J$38))),0)</f>
        <v>0</v>
      </c>
      <c r="AF38" s="122">
        <f t="shared" si="31"/>
        <v>1</v>
      </c>
      <c r="AG38" s="147">
        <f t="shared" ref="AG38:AG64" si="34">$J38*AF38</f>
        <v>11936.621508809571</v>
      </c>
      <c r="AH38" s="123">
        <f t="shared" ref="AH38:AI58" si="35">SUM(Z38,AB38,AD38,AF38)</f>
        <v>1</v>
      </c>
      <c r="AI38" s="112">
        <f t="shared" si="35"/>
        <v>11936.621508809571</v>
      </c>
      <c r="AJ38" s="148">
        <f t="shared" ref="AJ38:AJ64" si="36">(AA38+AC38)</f>
        <v>0</v>
      </c>
      <c r="AK38" s="147">
        <f t="shared" ref="AK38:AK64" si="37">(AE38+AG38)</f>
        <v>11936.621508809571</v>
      </c>
      <c r="AP38" s="25"/>
      <c r="AQ38" s="25"/>
      <c r="AR38" s="25"/>
      <c r="AS38" s="25"/>
      <c r="AT38" s="25"/>
      <c r="AU38" s="25"/>
      <c r="AW38" s="25"/>
      <c r="AX38" s="25"/>
      <c r="AY38" s="25"/>
      <c r="AZ38" s="25"/>
      <c r="BA38" s="25"/>
      <c r="BB38" s="25"/>
      <c r="BF38" s="25"/>
      <c r="BG38" s="25"/>
      <c r="BH38" s="25"/>
      <c r="BI38" s="25"/>
      <c r="BJ38" s="25"/>
      <c r="BK38" s="25"/>
      <c r="BM38" s="25"/>
      <c r="BN38" s="25"/>
      <c r="BO38" s="25"/>
      <c r="BP38" s="25"/>
      <c r="BQ38" s="25"/>
      <c r="BR38" s="25"/>
      <c r="BU38" s="25"/>
      <c r="BV38" s="25"/>
      <c r="BW38" s="25"/>
      <c r="BX38" s="25"/>
      <c r="BY38" s="25"/>
      <c r="BZ38" s="25"/>
      <c r="CB38" s="25"/>
      <c r="CC38" s="25"/>
      <c r="CD38" s="25"/>
      <c r="CE38" s="25"/>
      <c r="CF38" s="25"/>
      <c r="CG38" s="25"/>
    </row>
    <row r="39" spans="1:88" ht="14" customHeight="1">
      <c r="A39" s="85" t="str">
        <f>IF(Poor!A39=0,"",Poor!A39)</f>
        <v>Goat sales - local: no. sold</v>
      </c>
      <c r="B39" s="104">
        <v>3350</v>
      </c>
      <c r="C39" s="104">
        <v>-783.33333333333337</v>
      </c>
      <c r="D39" s="38">
        <f t="shared" si="25"/>
        <v>2566.6666666666665</v>
      </c>
      <c r="E39" s="75">
        <f>Middle!E39</f>
        <v>0.8</v>
      </c>
      <c r="F39" s="75">
        <f>Middle!F39</f>
        <v>1.18</v>
      </c>
      <c r="G39" s="22">
        <f t="shared" si="32"/>
        <v>1.65</v>
      </c>
      <c r="H39" s="24">
        <f t="shared" si="26"/>
        <v>0.94399999999999995</v>
      </c>
      <c r="I39" s="39">
        <f t="shared" si="27"/>
        <v>2422.9333333333329</v>
      </c>
      <c r="J39" s="38">
        <f t="shared" si="33"/>
        <v>3178.6242625436134</v>
      </c>
      <c r="K39" s="40">
        <f t="shared" si="28"/>
        <v>1.5678089051545812E-2</v>
      </c>
      <c r="L39" s="22">
        <f t="shared" si="29"/>
        <v>1.4800116064659245E-2</v>
      </c>
      <c r="M39" s="24">
        <f t="shared" si="30"/>
        <v>1.4876046044645645E-2</v>
      </c>
      <c r="N39" s="2"/>
      <c r="O39" s="2"/>
      <c r="P39" s="2"/>
      <c r="Q39" s="59"/>
      <c r="R39" s="252"/>
      <c r="S39" s="252"/>
      <c r="T39" s="29"/>
      <c r="U39" s="56"/>
      <c r="V39" s="56"/>
      <c r="W39" s="115"/>
      <c r="X39" s="118">
        <f>X8</f>
        <v>1</v>
      </c>
      <c r="Y39" s="110"/>
      <c r="Z39" s="122">
        <f>Z8</f>
        <v>0.44816530449254921</v>
      </c>
      <c r="AA39" s="147">
        <f>$J39*Z39</f>
        <v>1424.5491104902633</v>
      </c>
      <c r="AB39" s="122">
        <f>AB8</f>
        <v>0.52084322783299053</v>
      </c>
      <c r="AC39" s="147">
        <f>$J39*AB39</f>
        <v>1655.5649209714747</v>
      </c>
      <c r="AD39" s="122">
        <f>AD8</f>
        <v>3.0991467674460298E-2</v>
      </c>
      <c r="AE39" s="147">
        <f>$J39*AD39</f>
        <v>98.510231081875602</v>
      </c>
      <c r="AF39" s="122">
        <f t="shared" si="31"/>
        <v>0</v>
      </c>
      <c r="AG39" s="147">
        <f t="shared" si="34"/>
        <v>0</v>
      </c>
      <c r="AH39" s="123">
        <f t="shared" si="35"/>
        <v>1</v>
      </c>
      <c r="AI39" s="112">
        <f t="shared" si="35"/>
        <v>3178.6242625436134</v>
      </c>
      <c r="AJ39" s="148">
        <f t="shared" si="36"/>
        <v>3080.1140314617378</v>
      </c>
      <c r="AK39" s="147">
        <f t="shared" si="37"/>
        <v>98.510231081875602</v>
      </c>
      <c r="AP39" s="25"/>
      <c r="AQ39" s="25"/>
      <c r="AR39" s="25"/>
      <c r="AS39" s="25"/>
      <c r="AT39" s="25"/>
      <c r="AU39" s="25"/>
      <c r="AW39" s="25"/>
      <c r="AX39" s="25"/>
      <c r="AY39" s="25"/>
      <c r="AZ39" s="25"/>
      <c r="BA39" s="25"/>
      <c r="BB39" s="25"/>
      <c r="BF39" s="25"/>
      <c r="BG39" s="25"/>
      <c r="BH39" s="25"/>
      <c r="BI39" s="25"/>
      <c r="BJ39" s="25"/>
      <c r="BK39" s="25"/>
      <c r="BM39" s="25"/>
      <c r="BN39" s="25"/>
      <c r="BO39" s="25"/>
      <c r="BP39" s="25"/>
      <c r="BQ39" s="25"/>
      <c r="BR39" s="25"/>
      <c r="BU39" s="25"/>
      <c r="BV39" s="25"/>
      <c r="BW39" s="25"/>
      <c r="BX39" s="25"/>
      <c r="BY39" s="25"/>
      <c r="BZ39" s="25"/>
      <c r="CB39" s="25"/>
      <c r="CC39" s="25"/>
      <c r="CD39" s="25"/>
      <c r="CE39" s="25"/>
      <c r="CF39" s="25"/>
      <c r="CG39" s="25"/>
    </row>
    <row r="40" spans="1:88" ht="14" customHeight="1">
      <c r="A40" s="85" t="str">
        <f>IF(Poor!A40=0,"",Poor!A40)</f>
        <v>Chicken sales: no. sold</v>
      </c>
      <c r="B40" s="104">
        <v>825</v>
      </c>
      <c r="C40" s="104">
        <v>0</v>
      </c>
      <c r="D40" s="38">
        <f t="shared" si="25"/>
        <v>825</v>
      </c>
      <c r="E40" s="75">
        <f>Middle!E40</f>
        <v>1</v>
      </c>
      <c r="F40" s="75">
        <f>Middle!F40</f>
        <v>1.18</v>
      </c>
      <c r="G40" s="22">
        <f t="shared" si="32"/>
        <v>1.65</v>
      </c>
      <c r="H40" s="24">
        <f t="shared" si="26"/>
        <v>1.18</v>
      </c>
      <c r="I40" s="39">
        <f t="shared" si="27"/>
        <v>973.5</v>
      </c>
      <c r="J40" s="38">
        <f t="shared" si="33"/>
        <v>973.49999999999989</v>
      </c>
      <c r="K40" s="40">
        <f t="shared" si="28"/>
        <v>3.8610219306045657E-3</v>
      </c>
      <c r="L40" s="22">
        <f t="shared" si="29"/>
        <v>4.5560058781133877E-3</v>
      </c>
      <c r="M40" s="24">
        <f t="shared" si="30"/>
        <v>4.5560058781133868E-3</v>
      </c>
      <c r="N40" s="2"/>
      <c r="O40" s="2"/>
      <c r="P40" s="2"/>
      <c r="Q40" s="59"/>
      <c r="R40" s="252"/>
      <c r="S40" s="252"/>
      <c r="T40" s="29"/>
      <c r="U40" s="56"/>
      <c r="V40" s="56"/>
      <c r="W40" s="115"/>
      <c r="X40" s="118">
        <f>X9</f>
        <v>1</v>
      </c>
      <c r="Y40" s="110"/>
      <c r="Z40" s="122">
        <f>Z9</f>
        <v>0.44816530449254932</v>
      </c>
      <c r="AA40" s="147">
        <f>$J40*Z40</f>
        <v>436.28892392349672</v>
      </c>
      <c r="AB40" s="122">
        <f>AB9</f>
        <v>0.52084322783299053</v>
      </c>
      <c r="AC40" s="147">
        <f>$J40*AB40</f>
        <v>507.04088229541622</v>
      </c>
      <c r="AD40" s="122">
        <f>AD9</f>
        <v>3.0991467674460271E-2</v>
      </c>
      <c r="AE40" s="147">
        <f>$J40*AD40</f>
        <v>30.170193781087068</v>
      </c>
      <c r="AF40" s="122">
        <f t="shared" si="31"/>
        <v>0</v>
      </c>
      <c r="AG40" s="147">
        <f t="shared" si="34"/>
        <v>0</v>
      </c>
      <c r="AH40" s="123">
        <f t="shared" si="35"/>
        <v>1.0000000000000002</v>
      </c>
      <c r="AI40" s="112">
        <f t="shared" si="35"/>
        <v>973.5</v>
      </c>
      <c r="AJ40" s="148">
        <f t="shared" si="36"/>
        <v>943.32980621891295</v>
      </c>
      <c r="AK40" s="147">
        <f t="shared" si="37"/>
        <v>30.170193781087068</v>
      </c>
      <c r="AP40" s="25"/>
      <c r="AQ40" s="25"/>
      <c r="AR40" s="25"/>
      <c r="AS40" s="25"/>
      <c r="AT40" s="25"/>
      <c r="AU40" s="25"/>
      <c r="AW40" s="25"/>
      <c r="AX40" s="25"/>
      <c r="AY40" s="25"/>
      <c r="AZ40" s="25"/>
      <c r="BA40" s="25"/>
      <c r="BB40" s="25"/>
      <c r="BF40" s="25"/>
      <c r="BG40" s="25"/>
      <c r="BH40" s="25"/>
      <c r="BI40" s="25"/>
      <c r="BJ40" s="25"/>
      <c r="BK40" s="25"/>
      <c r="BM40" s="25"/>
      <c r="BN40" s="25"/>
      <c r="BO40" s="25"/>
      <c r="BP40" s="25"/>
      <c r="BQ40" s="25"/>
      <c r="BR40" s="25"/>
      <c r="BU40" s="25"/>
      <c r="BV40" s="25"/>
      <c r="BW40" s="25"/>
      <c r="BX40" s="25"/>
      <c r="BY40" s="25"/>
      <c r="BZ40" s="25"/>
      <c r="CB40" s="25"/>
      <c r="CC40" s="25"/>
      <c r="CD40" s="25"/>
      <c r="CE40" s="25"/>
      <c r="CF40" s="25"/>
      <c r="CG40" s="25"/>
    </row>
    <row r="41" spans="1:88" ht="14" customHeight="1">
      <c r="A41" s="85" t="str">
        <f>IF(Poor!A41=0,"",Poor!A41)</f>
        <v>Green maize sold: quantity</v>
      </c>
      <c r="B41" s="104">
        <v>10000</v>
      </c>
      <c r="C41" s="104">
        <v>0</v>
      </c>
      <c r="D41" s="38">
        <f t="shared" si="25"/>
        <v>10000</v>
      </c>
      <c r="E41" s="75">
        <f>Middle!E41</f>
        <v>1</v>
      </c>
      <c r="F41" s="75">
        <f>Middle!F41</f>
        <v>1.4</v>
      </c>
      <c r="G41" s="22">
        <f t="shared" si="32"/>
        <v>1.65</v>
      </c>
      <c r="H41" s="24">
        <f t="shared" si="26"/>
        <v>1.4</v>
      </c>
      <c r="I41" s="39">
        <f t="shared" si="27"/>
        <v>14000</v>
      </c>
      <c r="J41" s="38">
        <f t="shared" si="33"/>
        <v>14000.000000000002</v>
      </c>
      <c r="K41" s="40">
        <f t="shared" si="28"/>
        <v>4.680026582550989E-2</v>
      </c>
      <c r="L41" s="22">
        <f t="shared" si="29"/>
        <v>6.5520372155713838E-2</v>
      </c>
      <c r="M41" s="24">
        <f t="shared" si="30"/>
        <v>6.5520372155713852E-2</v>
      </c>
      <c r="N41" s="2"/>
      <c r="O41" s="2"/>
      <c r="P41" s="2"/>
      <c r="Q41" s="59"/>
      <c r="R41" s="252"/>
      <c r="S41" s="252"/>
      <c r="T41" s="253"/>
      <c r="U41" s="56"/>
      <c r="V41" s="56"/>
      <c r="W41" s="115"/>
      <c r="X41" s="118">
        <f>X11</f>
        <v>1</v>
      </c>
      <c r="Y41" s="110"/>
      <c r="Z41" s="122">
        <f>Z11</f>
        <v>0.44816530449254927</v>
      </c>
      <c r="AA41" s="147">
        <f>$J41*Z41</f>
        <v>6274.3142628956903</v>
      </c>
      <c r="AB41" s="122">
        <f>AB11</f>
        <v>0.52084322783299042</v>
      </c>
      <c r="AC41" s="147">
        <f>$J41*AB41</f>
        <v>7291.8051896618672</v>
      </c>
      <c r="AD41" s="122">
        <f>AD11</f>
        <v>3.099146767446025E-2</v>
      </c>
      <c r="AE41" s="147">
        <f>$J41*AD41</f>
        <v>433.88054744244357</v>
      </c>
      <c r="AF41" s="122">
        <f t="shared" si="31"/>
        <v>0</v>
      </c>
      <c r="AG41" s="147">
        <f t="shared" si="34"/>
        <v>0</v>
      </c>
      <c r="AH41" s="123">
        <f t="shared" si="35"/>
        <v>1</v>
      </c>
      <c r="AI41" s="112">
        <f t="shared" si="35"/>
        <v>14000.000000000002</v>
      </c>
      <c r="AJ41" s="148">
        <f t="shared" si="36"/>
        <v>13566.119452557557</v>
      </c>
      <c r="AK41" s="147">
        <f t="shared" si="37"/>
        <v>433.88054744244357</v>
      </c>
      <c r="AP41" s="25"/>
      <c r="AQ41" s="25"/>
      <c r="AR41" s="25"/>
      <c r="AS41" s="25"/>
      <c r="AT41" s="25"/>
      <c r="AU41" s="25"/>
      <c r="AW41" s="25"/>
      <c r="AX41" s="25"/>
      <c r="AY41" s="25"/>
      <c r="AZ41" s="25"/>
      <c r="BA41" s="25"/>
      <c r="BB41" s="25"/>
      <c r="BF41" s="25"/>
      <c r="BG41" s="25"/>
      <c r="BH41" s="25"/>
      <c r="BI41" s="25"/>
      <c r="BJ41" s="25"/>
      <c r="BK41" s="25"/>
      <c r="BM41" s="25"/>
      <c r="BN41" s="25"/>
      <c r="BO41" s="25"/>
      <c r="BP41" s="25"/>
      <c r="BQ41" s="25"/>
      <c r="BR41" s="25"/>
      <c r="BU41" s="25"/>
      <c r="BV41" s="25"/>
      <c r="BW41" s="25"/>
      <c r="BX41" s="25"/>
      <c r="BY41" s="25"/>
      <c r="BZ41" s="25"/>
      <c r="CB41" s="25"/>
      <c r="CC41" s="25"/>
      <c r="CD41" s="25"/>
      <c r="CE41" s="25"/>
      <c r="CF41" s="25"/>
      <c r="CG41" s="25"/>
    </row>
    <row r="42" spans="1:88" ht="14" customHeight="1">
      <c r="A42" s="85" t="str">
        <f>IF(Poor!A42=0,"",Poor!A42)</f>
        <v>Maize: kg produced</v>
      </c>
      <c r="B42" s="104">
        <v>5000</v>
      </c>
      <c r="C42" s="104">
        <v>-5000</v>
      </c>
      <c r="D42" s="38">
        <f t="shared" si="25"/>
        <v>0</v>
      </c>
      <c r="E42" s="75">
        <f>Middle!E42</f>
        <v>1.0900000000000001</v>
      </c>
      <c r="F42" s="75">
        <f>Middle!F42</f>
        <v>1.4</v>
      </c>
      <c r="G42" s="22">
        <f t="shared" si="32"/>
        <v>1.65</v>
      </c>
      <c r="H42" s="24">
        <f t="shared" si="26"/>
        <v>1.526</v>
      </c>
      <c r="I42" s="39">
        <f t="shared" si="27"/>
        <v>0</v>
      </c>
      <c r="J42" s="38">
        <f t="shared" si="33"/>
        <v>7797.4059545723539</v>
      </c>
      <c r="K42" s="40">
        <f t="shared" si="28"/>
        <v>2.3400132912754945E-2</v>
      </c>
      <c r="L42" s="22">
        <f t="shared" si="29"/>
        <v>3.5708602824864044E-2</v>
      </c>
      <c r="M42" s="24">
        <f t="shared" si="30"/>
        <v>3.6492067142339983E-2</v>
      </c>
      <c r="N42" s="2"/>
      <c r="O42" s="2"/>
      <c r="P42" s="2"/>
      <c r="Q42" s="41"/>
      <c r="R42" s="41"/>
      <c r="S42" s="254"/>
      <c r="T42" s="254"/>
      <c r="U42" s="56"/>
      <c r="V42" s="56"/>
      <c r="W42" s="115"/>
      <c r="X42" s="118"/>
      <c r="Y42" s="110"/>
      <c r="Z42" s="156">
        <f>Poor!Z42</f>
        <v>0.25</v>
      </c>
      <c r="AA42" s="147">
        <f t="shared" ref="AA42:AA64" si="38">$J42*Z42</f>
        <v>1949.3514886430885</v>
      </c>
      <c r="AB42" s="156">
        <f>Poor!AB42</f>
        <v>0</v>
      </c>
      <c r="AC42" s="147">
        <f t="shared" ref="AC42:AC64" si="39">$J42*AB42</f>
        <v>0</v>
      </c>
      <c r="AD42" s="156">
        <f>Poor!AD42</f>
        <v>0.5</v>
      </c>
      <c r="AE42" s="147">
        <f t="shared" ref="AE42:AE64" si="40">$J42*AD42</f>
        <v>3898.702977286177</v>
      </c>
      <c r="AF42" s="122">
        <f t="shared" si="31"/>
        <v>0.25</v>
      </c>
      <c r="AG42" s="147">
        <f t="shared" si="34"/>
        <v>1949.3514886430885</v>
      </c>
      <c r="AH42" s="123">
        <f t="shared" si="35"/>
        <v>1</v>
      </c>
      <c r="AI42" s="112">
        <f t="shared" si="35"/>
        <v>7797.4059545723539</v>
      </c>
      <c r="AJ42" s="148">
        <f t="shared" si="36"/>
        <v>1949.3514886430885</v>
      </c>
      <c r="AK42" s="147">
        <f t="shared" si="37"/>
        <v>5848.0544659292655</v>
      </c>
      <c r="AP42" s="25"/>
      <c r="AQ42" s="25"/>
      <c r="AR42" s="25"/>
      <c r="AS42" s="25"/>
      <c r="AT42" s="25"/>
      <c r="AU42" s="25"/>
      <c r="AW42" s="25"/>
      <c r="AX42" s="25"/>
      <c r="AY42" s="25"/>
      <c r="AZ42" s="25"/>
      <c r="BA42" s="25"/>
      <c r="BB42" s="25"/>
      <c r="BF42" s="25"/>
      <c r="BG42" s="25"/>
      <c r="BH42" s="25"/>
      <c r="BI42" s="25"/>
      <c r="BJ42" s="25"/>
      <c r="BK42" s="25"/>
      <c r="BM42" s="25"/>
      <c r="BN42" s="25"/>
      <c r="BO42" s="25"/>
      <c r="BP42" s="25"/>
      <c r="BQ42" s="25"/>
      <c r="BR42" s="25"/>
      <c r="BU42" s="25"/>
      <c r="BV42" s="25"/>
      <c r="BW42" s="25"/>
      <c r="BX42" s="25"/>
      <c r="BY42" s="25"/>
      <c r="BZ42" s="25"/>
      <c r="CB42" s="25"/>
      <c r="CC42" s="25"/>
      <c r="CD42" s="25"/>
      <c r="CE42" s="25"/>
      <c r="CF42" s="25"/>
      <c r="CG42" s="25"/>
    </row>
    <row r="43" spans="1:88" ht="14" customHeight="1">
      <c r="A43" s="85" t="str">
        <f>IF(Poor!A43=0,"",Poor!A43)</f>
        <v>Maize (irrigated): kg produced</v>
      </c>
      <c r="B43" s="104">
        <v>100</v>
      </c>
      <c r="C43" s="104">
        <v>-100</v>
      </c>
      <c r="D43" s="38">
        <f t="shared" si="25"/>
        <v>0</v>
      </c>
      <c r="E43" s="75">
        <f>Middle!E43</f>
        <v>1.0900000000000001</v>
      </c>
      <c r="F43" s="75">
        <f>Middle!F43</f>
        <v>1.4</v>
      </c>
      <c r="G43" s="22">
        <f t="shared" si="32"/>
        <v>1.65</v>
      </c>
      <c r="H43" s="24">
        <f t="shared" si="26"/>
        <v>1.526</v>
      </c>
      <c r="I43" s="39">
        <f t="shared" si="27"/>
        <v>0</v>
      </c>
      <c r="J43" s="38">
        <f t="shared" si="33"/>
        <v>155.9481190914471</v>
      </c>
      <c r="K43" s="40">
        <f t="shared" si="28"/>
        <v>4.6800265825509889E-4</v>
      </c>
      <c r="L43" s="22">
        <f t="shared" si="29"/>
        <v>7.1417205649728093E-4</v>
      </c>
      <c r="M43" s="24">
        <f t="shared" si="30"/>
        <v>7.2984134284679973E-4</v>
      </c>
      <c r="N43" s="2"/>
      <c r="O43" s="2"/>
      <c r="P43" s="2"/>
      <c r="Q43" s="41"/>
      <c r="R43" s="41"/>
      <c r="S43" s="221"/>
      <c r="T43" s="221"/>
      <c r="U43" s="56"/>
      <c r="V43" s="56"/>
      <c r="W43" s="115"/>
      <c r="X43" s="118"/>
      <c r="Y43" s="110"/>
      <c r="Z43" s="156">
        <f>Poor!Z43</f>
        <v>0.25</v>
      </c>
      <c r="AA43" s="147">
        <f t="shared" si="38"/>
        <v>38.987029772861774</v>
      </c>
      <c r="AB43" s="156">
        <f>Poor!AB43</f>
        <v>0.25</v>
      </c>
      <c r="AC43" s="147">
        <f t="shared" si="39"/>
        <v>38.987029772861774</v>
      </c>
      <c r="AD43" s="156">
        <f>Poor!AD43</f>
        <v>0.25</v>
      </c>
      <c r="AE43" s="147">
        <f t="shared" si="40"/>
        <v>38.987029772861774</v>
      </c>
      <c r="AF43" s="122">
        <f t="shared" si="31"/>
        <v>0.25</v>
      </c>
      <c r="AG43" s="147">
        <f t="shared" si="34"/>
        <v>38.987029772861774</v>
      </c>
      <c r="AH43" s="123">
        <f t="shared" si="35"/>
        <v>1</v>
      </c>
      <c r="AI43" s="112">
        <f t="shared" si="35"/>
        <v>155.9481190914471</v>
      </c>
      <c r="AJ43" s="148">
        <f t="shared" si="36"/>
        <v>77.974059545723549</v>
      </c>
      <c r="AK43" s="147">
        <f t="shared" si="37"/>
        <v>77.974059545723549</v>
      </c>
      <c r="AP43" s="25"/>
      <c r="AQ43" s="25"/>
      <c r="AR43" s="25"/>
      <c r="AS43" s="25"/>
      <c r="AT43" s="25"/>
      <c r="AU43" s="25"/>
      <c r="AW43" s="25"/>
      <c r="AX43" s="25"/>
      <c r="AY43" s="25"/>
      <c r="AZ43" s="25"/>
      <c r="BA43" s="25"/>
      <c r="BB43" s="25"/>
      <c r="BF43" s="25"/>
      <c r="BG43" s="25"/>
      <c r="BH43" s="25"/>
      <c r="BI43" s="25"/>
      <c r="BJ43" s="25"/>
      <c r="BK43" s="25"/>
      <c r="BM43" s="25"/>
      <c r="BN43" s="25"/>
      <c r="BO43" s="25"/>
      <c r="BP43" s="25"/>
      <c r="BQ43" s="25"/>
      <c r="BR43" s="25"/>
      <c r="BU43" s="25"/>
      <c r="BV43" s="25"/>
      <c r="BW43" s="25"/>
      <c r="BX43" s="25"/>
      <c r="BY43" s="25"/>
      <c r="BZ43" s="25"/>
      <c r="CB43" s="25"/>
      <c r="CC43" s="25"/>
      <c r="CD43" s="25"/>
      <c r="CE43" s="25"/>
      <c r="CF43" s="25"/>
      <c r="CG43" s="25"/>
    </row>
    <row r="44" spans="1:88" ht="14" customHeight="1">
      <c r="A44" s="85" t="str">
        <f>IF(Poor!A44=0,"",Poor!A44)</f>
        <v>Beans: kg produced</v>
      </c>
      <c r="B44" s="104">
        <v>1866.6666666666667</v>
      </c>
      <c r="C44" s="104">
        <v>-800</v>
      </c>
      <c r="D44" s="38">
        <f t="shared" si="25"/>
        <v>1066.6666666666667</v>
      </c>
      <c r="E44" s="75">
        <f>Middle!E44</f>
        <v>1</v>
      </c>
      <c r="F44" s="75">
        <f>Middle!F44</f>
        <v>1.4</v>
      </c>
      <c r="G44" s="22">
        <f t="shared" si="32"/>
        <v>1.65</v>
      </c>
      <c r="H44" s="24">
        <f t="shared" si="26"/>
        <v>1.4</v>
      </c>
      <c r="I44" s="39">
        <f t="shared" si="27"/>
        <v>1493.3333333333333</v>
      </c>
      <c r="J44" s="38">
        <f t="shared" si="33"/>
        <v>2637.9066844632207</v>
      </c>
      <c r="K44" s="40">
        <f t="shared" si="28"/>
        <v>8.7360496207618456E-3</v>
      </c>
      <c r="L44" s="22">
        <f t="shared" si="29"/>
        <v>1.2230469469066583E-2</v>
      </c>
      <c r="M44" s="24">
        <f t="shared" si="30"/>
        <v>1.2345473405576816E-2</v>
      </c>
      <c r="N44" s="2"/>
      <c r="O44" s="2"/>
      <c r="P44" s="2"/>
      <c r="Q44" s="255"/>
      <c r="R44" s="41"/>
      <c r="S44" s="41"/>
      <c r="T44" s="253"/>
      <c r="U44" s="56"/>
      <c r="V44" s="56"/>
      <c r="W44" s="117"/>
      <c r="X44" s="118"/>
      <c r="Y44" s="110"/>
      <c r="Z44" s="156">
        <f>Poor!Z44</f>
        <v>0.25</v>
      </c>
      <c r="AA44" s="147">
        <f t="shared" si="38"/>
        <v>659.47667111580517</v>
      </c>
      <c r="AB44" s="156">
        <f>Poor!AB44</f>
        <v>0.25</v>
      </c>
      <c r="AC44" s="147">
        <f t="shared" si="39"/>
        <v>659.47667111580517</v>
      </c>
      <c r="AD44" s="156">
        <f>Poor!AD44</f>
        <v>0.25</v>
      </c>
      <c r="AE44" s="147">
        <f t="shared" si="40"/>
        <v>659.47667111580517</v>
      </c>
      <c r="AF44" s="122">
        <f t="shared" si="31"/>
        <v>0.25</v>
      </c>
      <c r="AG44" s="147">
        <f t="shared" si="34"/>
        <v>659.47667111580517</v>
      </c>
      <c r="AH44" s="123">
        <f t="shared" si="35"/>
        <v>1</v>
      </c>
      <c r="AI44" s="112">
        <f t="shared" si="35"/>
        <v>2637.9066844632207</v>
      </c>
      <c r="AJ44" s="148">
        <f t="shared" si="36"/>
        <v>1318.9533422316103</v>
      </c>
      <c r="AK44" s="147">
        <f t="shared" si="37"/>
        <v>1318.9533422316103</v>
      </c>
      <c r="AP44" s="25"/>
      <c r="AQ44" s="25"/>
      <c r="AR44" s="25"/>
      <c r="AS44" s="25"/>
      <c r="AT44" s="25"/>
      <c r="AU44" s="25"/>
      <c r="AW44" s="25"/>
      <c r="AX44" s="25"/>
      <c r="AY44" s="25"/>
      <c r="AZ44" s="25"/>
      <c r="BA44" s="25"/>
      <c r="BB44" s="25"/>
      <c r="BF44" s="25"/>
      <c r="BG44" s="25"/>
      <c r="BH44" s="25"/>
      <c r="BI44" s="25"/>
      <c r="BJ44" s="25"/>
      <c r="BK44" s="25"/>
      <c r="BM44" s="25"/>
      <c r="BN44" s="25"/>
      <c r="BO44" s="25"/>
      <c r="BP44" s="25"/>
      <c r="BQ44" s="25"/>
      <c r="BR44" s="25"/>
      <c r="BU44" s="25"/>
      <c r="BV44" s="25"/>
      <c r="BW44" s="25"/>
      <c r="BX44" s="25"/>
      <c r="BY44" s="25"/>
      <c r="BZ44" s="25"/>
      <c r="CB44" s="25"/>
      <c r="CC44" s="25"/>
      <c r="CD44" s="25"/>
      <c r="CE44" s="25"/>
      <c r="CF44" s="25"/>
      <c r="CG44" s="25"/>
    </row>
    <row r="45" spans="1:88" ht="14" customHeight="1">
      <c r="A45" s="85" t="str">
        <f>IF(Poor!A45=0,"",Poor!A45)</f>
        <v>Potato: kg produced</v>
      </c>
      <c r="B45" s="104">
        <v>1200</v>
      </c>
      <c r="C45" s="104">
        <v>-1200</v>
      </c>
      <c r="D45" s="38">
        <f t="shared" si="25"/>
        <v>0</v>
      </c>
      <c r="E45" s="75">
        <f>Middle!E45</f>
        <v>1</v>
      </c>
      <c r="F45" s="75">
        <f>Middle!F45</f>
        <v>1.4</v>
      </c>
      <c r="G45" s="22">
        <f t="shared" si="32"/>
        <v>1.65</v>
      </c>
      <c r="H45" s="24">
        <f t="shared" si="26"/>
        <v>1.4</v>
      </c>
      <c r="I45" s="39">
        <f t="shared" si="27"/>
        <v>0</v>
      </c>
      <c r="J45" s="38">
        <f t="shared" si="33"/>
        <v>1716.8600266948301</v>
      </c>
      <c r="K45" s="40">
        <f t="shared" si="28"/>
        <v>5.6160318990611862E-3</v>
      </c>
      <c r="L45" s="22">
        <f t="shared" si="29"/>
        <v>7.8624446586856595E-3</v>
      </c>
      <c r="M45" s="24">
        <f t="shared" si="30"/>
        <v>8.0349505634510054E-3</v>
      </c>
      <c r="N45" s="2"/>
      <c r="O45" s="2"/>
      <c r="P45" s="2"/>
      <c r="Q45" s="255"/>
      <c r="S45" s="41"/>
      <c r="U45" s="56"/>
      <c r="V45" s="56"/>
      <c r="W45" s="110"/>
      <c r="X45" s="118"/>
      <c r="Y45" s="110"/>
      <c r="Z45" s="156">
        <f>Poor!Z45</f>
        <v>0.25</v>
      </c>
      <c r="AA45" s="147">
        <f t="shared" si="38"/>
        <v>429.21500667370753</v>
      </c>
      <c r="AB45" s="156">
        <f>Poor!AB45</f>
        <v>0.25</v>
      </c>
      <c r="AC45" s="147">
        <f t="shared" si="39"/>
        <v>429.21500667370753</v>
      </c>
      <c r="AD45" s="156">
        <f>Poor!AD45</f>
        <v>0.25</v>
      </c>
      <c r="AE45" s="147">
        <f t="shared" si="40"/>
        <v>429.21500667370753</v>
      </c>
      <c r="AF45" s="122">
        <f t="shared" si="31"/>
        <v>0.25</v>
      </c>
      <c r="AG45" s="147">
        <f t="shared" si="34"/>
        <v>429.21500667370753</v>
      </c>
      <c r="AH45" s="123">
        <f t="shared" si="35"/>
        <v>1</v>
      </c>
      <c r="AI45" s="112">
        <f t="shared" si="35"/>
        <v>1716.8600266948301</v>
      </c>
      <c r="AJ45" s="148">
        <f t="shared" si="36"/>
        <v>858.43001334741507</v>
      </c>
      <c r="AK45" s="147">
        <f t="shared" si="37"/>
        <v>858.43001334741507</v>
      </c>
      <c r="AP45" s="25"/>
      <c r="AQ45" s="25"/>
      <c r="AR45" s="25"/>
      <c r="AS45" s="25"/>
      <c r="AT45" s="25"/>
      <c r="AU45" s="25"/>
      <c r="AW45" s="25"/>
      <c r="AX45" s="25"/>
      <c r="AY45" s="25"/>
      <c r="AZ45" s="25"/>
      <c r="BA45" s="25"/>
      <c r="BB45" s="25"/>
      <c r="BF45" s="25"/>
      <c r="BG45" s="25"/>
      <c r="BH45" s="25"/>
      <c r="BI45" s="25"/>
      <c r="BJ45" s="25"/>
      <c r="BK45" s="25"/>
      <c r="BM45" s="25"/>
      <c r="BN45" s="25"/>
      <c r="BO45" s="25"/>
      <c r="BP45" s="25"/>
      <c r="BQ45" s="25"/>
      <c r="BR45" s="25"/>
      <c r="BU45" s="25"/>
      <c r="BV45" s="25"/>
      <c r="BW45" s="25"/>
      <c r="BX45" s="25"/>
      <c r="BY45" s="25"/>
      <c r="BZ45" s="25"/>
      <c r="CB45" s="25"/>
      <c r="CC45" s="25"/>
      <c r="CD45" s="25"/>
      <c r="CE45" s="25"/>
      <c r="CF45" s="25"/>
      <c r="CG45" s="25"/>
    </row>
    <row r="46" spans="1:88" ht="14" customHeight="1">
      <c r="A46" s="85" t="str">
        <f>IF(Poor!A46=0,"",Poor!A46)</f>
        <v>Sweet potato: no. local meas</v>
      </c>
      <c r="B46" s="104">
        <v>2166.6666666666665</v>
      </c>
      <c r="C46" s="104">
        <v>-2166.6666666666665</v>
      </c>
      <c r="D46" s="38">
        <f t="shared" si="25"/>
        <v>0</v>
      </c>
      <c r="E46" s="75">
        <f>Middle!E46</f>
        <v>1</v>
      </c>
      <c r="F46" s="75">
        <f>Middle!F46</f>
        <v>1.4</v>
      </c>
      <c r="G46" s="22">
        <f t="shared" si="32"/>
        <v>1.65</v>
      </c>
      <c r="H46" s="24">
        <f t="shared" si="26"/>
        <v>1.4</v>
      </c>
      <c r="I46" s="39">
        <f t="shared" si="27"/>
        <v>0</v>
      </c>
      <c r="J46" s="38">
        <f t="shared" si="33"/>
        <v>3099.8861593101105</v>
      </c>
      <c r="K46" s="40">
        <f t="shared" si="28"/>
        <v>1.0140057595527142E-2</v>
      </c>
      <c r="L46" s="22">
        <f t="shared" si="29"/>
        <v>1.4196080633737998E-2</v>
      </c>
      <c r="M46" s="24">
        <f t="shared" si="30"/>
        <v>1.4507549628453208E-2</v>
      </c>
      <c r="N46" s="2"/>
      <c r="O46" s="2"/>
      <c r="P46" s="2"/>
      <c r="Q46" s="255"/>
      <c r="S46" s="41"/>
      <c r="U46" s="56"/>
      <c r="V46" s="56"/>
      <c r="W46" s="110"/>
      <c r="X46" s="118"/>
      <c r="Y46" s="110"/>
      <c r="Z46" s="156">
        <f>Poor!Z46</f>
        <v>0.25</v>
      </c>
      <c r="AA46" s="147">
        <f t="shared" si="38"/>
        <v>774.97153982752764</v>
      </c>
      <c r="AB46" s="156">
        <f>Poor!AB46</f>
        <v>0.25</v>
      </c>
      <c r="AC46" s="147">
        <f t="shared" si="39"/>
        <v>774.97153982752764</v>
      </c>
      <c r="AD46" s="156">
        <f>Poor!AD46</f>
        <v>0.25</v>
      </c>
      <c r="AE46" s="147">
        <f t="shared" si="40"/>
        <v>774.97153982752764</v>
      </c>
      <c r="AF46" s="122">
        <f t="shared" si="31"/>
        <v>0.25</v>
      </c>
      <c r="AG46" s="147">
        <f t="shared" si="34"/>
        <v>774.97153982752764</v>
      </c>
      <c r="AH46" s="123">
        <f t="shared" si="35"/>
        <v>1</v>
      </c>
      <c r="AI46" s="112">
        <f t="shared" si="35"/>
        <v>3099.8861593101105</v>
      </c>
      <c r="AJ46" s="148">
        <f t="shared" si="36"/>
        <v>1549.9430796550553</v>
      </c>
      <c r="AK46" s="147">
        <f t="shared" si="37"/>
        <v>1549.9430796550553</v>
      </c>
      <c r="AP46" s="25"/>
      <c r="AQ46" s="25"/>
      <c r="AR46" s="25"/>
      <c r="AS46" s="25"/>
      <c r="AT46" s="25"/>
      <c r="AU46" s="25"/>
      <c r="AW46" s="25"/>
      <c r="AX46" s="25"/>
      <c r="AY46" s="25"/>
      <c r="AZ46" s="25"/>
      <c r="BA46" s="25"/>
      <c r="BB46" s="25"/>
      <c r="BF46" s="25"/>
      <c r="BG46" s="25"/>
      <c r="BH46" s="25"/>
      <c r="BI46" s="25"/>
      <c r="BJ46" s="25"/>
      <c r="BK46" s="25"/>
      <c r="BM46" s="25"/>
      <c r="BN46" s="25"/>
      <c r="BO46" s="25"/>
      <c r="BP46" s="25"/>
      <c r="BQ46" s="25"/>
      <c r="BR46" s="25"/>
      <c r="BU46" s="25"/>
      <c r="BV46" s="25"/>
      <c r="BW46" s="25"/>
      <c r="BX46" s="25"/>
      <c r="BY46" s="25"/>
      <c r="BZ46" s="25"/>
      <c r="CB46" s="25"/>
      <c r="CC46" s="25"/>
      <c r="CD46" s="25"/>
      <c r="CE46" s="25"/>
      <c r="CF46" s="25"/>
      <c r="CG46" s="25"/>
    </row>
    <row r="47" spans="1:88" ht="14" customHeight="1">
      <c r="A47" s="85" t="str">
        <f>IF(Poor!A47=0,"",Poor!A47)</f>
        <v>Groundnuts (dry): no. local meas</v>
      </c>
      <c r="B47" s="104">
        <v>400</v>
      </c>
      <c r="C47" s="104">
        <v>-400</v>
      </c>
      <c r="D47" s="38">
        <f t="shared" si="25"/>
        <v>0</v>
      </c>
      <c r="E47" s="75">
        <f>Middle!E47</f>
        <v>1</v>
      </c>
      <c r="F47" s="75">
        <f>Middle!F47</f>
        <v>1.4</v>
      </c>
      <c r="G47" s="22">
        <f t="shared" si="32"/>
        <v>1.65</v>
      </c>
      <c r="H47" s="24">
        <f t="shared" si="26"/>
        <v>1.4</v>
      </c>
      <c r="I47" s="39">
        <f t="shared" si="27"/>
        <v>0</v>
      </c>
      <c r="J47" s="38">
        <f t="shared" si="33"/>
        <v>572.28667556494361</v>
      </c>
      <c r="K47" s="40">
        <f t="shared" si="28"/>
        <v>1.8720106330203956E-3</v>
      </c>
      <c r="L47" s="22">
        <f t="shared" si="29"/>
        <v>2.6208148862285536E-3</v>
      </c>
      <c r="M47" s="24">
        <f t="shared" si="30"/>
        <v>2.6783168544836696E-3</v>
      </c>
      <c r="N47" s="2"/>
      <c r="O47" s="2"/>
      <c r="P47" s="2"/>
      <c r="R47" s="243"/>
      <c r="U47" s="56"/>
      <c r="V47" s="56"/>
      <c r="W47" s="110"/>
      <c r="X47" s="118"/>
      <c r="Y47" s="110"/>
      <c r="Z47" s="156">
        <f>Poor!Z47</f>
        <v>0.25</v>
      </c>
      <c r="AA47" s="147">
        <f t="shared" si="38"/>
        <v>143.0716688912359</v>
      </c>
      <c r="AB47" s="156">
        <f>Poor!AB47</f>
        <v>0.25</v>
      </c>
      <c r="AC47" s="147">
        <f t="shared" si="39"/>
        <v>143.0716688912359</v>
      </c>
      <c r="AD47" s="156">
        <f>Poor!AD47</f>
        <v>0.25</v>
      </c>
      <c r="AE47" s="147">
        <f t="shared" si="40"/>
        <v>143.0716688912359</v>
      </c>
      <c r="AF47" s="122">
        <f t="shared" si="31"/>
        <v>0.25</v>
      </c>
      <c r="AG47" s="147">
        <f t="shared" si="34"/>
        <v>143.0716688912359</v>
      </c>
      <c r="AH47" s="123">
        <f t="shared" si="35"/>
        <v>1</v>
      </c>
      <c r="AI47" s="112">
        <f t="shared" si="35"/>
        <v>572.28667556494361</v>
      </c>
      <c r="AJ47" s="148">
        <f t="shared" si="36"/>
        <v>286.1433377824718</v>
      </c>
      <c r="AK47" s="147">
        <f t="shared" si="37"/>
        <v>286.1433377824718</v>
      </c>
      <c r="AP47" s="25"/>
      <c r="AQ47" s="25"/>
      <c r="AR47" s="25"/>
      <c r="AS47" s="25"/>
      <c r="AT47" s="25"/>
      <c r="AU47" s="25"/>
      <c r="AW47" s="25"/>
      <c r="AX47" s="25"/>
      <c r="AY47" s="25"/>
      <c r="AZ47" s="25"/>
      <c r="BA47" s="25"/>
      <c r="BB47" s="25"/>
      <c r="BF47" s="25"/>
      <c r="BG47" s="25"/>
      <c r="BH47" s="25"/>
      <c r="BI47" s="25"/>
      <c r="BJ47" s="25"/>
      <c r="BK47" s="25"/>
      <c r="BM47" s="25"/>
      <c r="BN47" s="25"/>
      <c r="BO47" s="25"/>
      <c r="BP47" s="25"/>
      <c r="BQ47" s="25"/>
      <c r="BR47" s="25"/>
      <c r="BU47" s="25"/>
      <c r="BV47" s="25"/>
      <c r="BW47" s="25"/>
      <c r="BX47" s="25"/>
      <c r="BY47" s="25"/>
      <c r="BZ47" s="25"/>
      <c r="CB47" s="25"/>
      <c r="CC47" s="25"/>
      <c r="CD47" s="25"/>
      <c r="CE47" s="25"/>
      <c r="CF47" s="25"/>
      <c r="CG47" s="25"/>
    </row>
    <row r="48" spans="1:88" ht="14" customHeight="1">
      <c r="A48" s="85" t="str">
        <f>IF(Poor!A48=0,"",Poor!A48)</f>
        <v>Other crop: Rape</v>
      </c>
      <c r="B48" s="104">
        <v>58.333333333333336</v>
      </c>
      <c r="C48" s="104">
        <v>-58.333333333333336</v>
      </c>
      <c r="D48" s="38">
        <f t="shared" si="25"/>
        <v>0</v>
      </c>
      <c r="E48" s="75">
        <f>Middle!E48</f>
        <v>1</v>
      </c>
      <c r="F48" s="75">
        <f>Middle!F48</f>
        <v>1.4</v>
      </c>
      <c r="G48" s="22">
        <f t="shared" si="32"/>
        <v>1.65</v>
      </c>
      <c r="H48" s="24">
        <f t="shared" si="26"/>
        <v>1.4</v>
      </c>
      <c r="I48" s="39">
        <f t="shared" si="27"/>
        <v>0</v>
      </c>
      <c r="J48" s="38">
        <f t="shared" si="33"/>
        <v>83.45847351988759</v>
      </c>
      <c r="K48" s="40">
        <f t="shared" si="28"/>
        <v>2.7300155064880768E-4</v>
      </c>
      <c r="L48" s="22">
        <f t="shared" si="29"/>
        <v>3.8220217090833073E-4</v>
      </c>
      <c r="M48" s="24">
        <f t="shared" si="30"/>
        <v>3.9058787461220175E-4</v>
      </c>
      <c r="N48" s="2"/>
      <c r="O48" s="2"/>
      <c r="P48" s="2"/>
      <c r="Q48" s="255"/>
      <c r="R48" s="252"/>
      <c r="S48" s="41"/>
      <c r="T48" s="29"/>
      <c r="U48" s="56"/>
      <c r="V48" s="56"/>
      <c r="W48" s="110"/>
      <c r="X48" s="118"/>
      <c r="Y48" s="110"/>
      <c r="Z48" s="156">
        <f>Poor!Z48</f>
        <v>0.25</v>
      </c>
      <c r="AA48" s="147">
        <f t="shared" si="38"/>
        <v>20.864618379971898</v>
      </c>
      <c r="AB48" s="156">
        <f>Poor!AB48</f>
        <v>0.25</v>
      </c>
      <c r="AC48" s="147">
        <f t="shared" si="39"/>
        <v>20.864618379971898</v>
      </c>
      <c r="AD48" s="156">
        <f>Poor!AD48</f>
        <v>0.25</v>
      </c>
      <c r="AE48" s="147">
        <f t="shared" si="40"/>
        <v>20.864618379971898</v>
      </c>
      <c r="AF48" s="122">
        <f t="shared" si="31"/>
        <v>0.25</v>
      </c>
      <c r="AG48" s="147">
        <f t="shared" si="34"/>
        <v>20.864618379971898</v>
      </c>
      <c r="AH48" s="123">
        <f t="shared" si="35"/>
        <v>1</v>
      </c>
      <c r="AI48" s="112">
        <f t="shared" si="35"/>
        <v>83.45847351988759</v>
      </c>
      <c r="AJ48" s="148">
        <f t="shared" si="36"/>
        <v>41.729236759943795</v>
      </c>
      <c r="AK48" s="147">
        <f t="shared" si="37"/>
        <v>41.729236759943795</v>
      </c>
      <c r="AP48" s="25"/>
      <c r="AQ48" s="25"/>
      <c r="AR48" s="25"/>
      <c r="AS48" s="25"/>
      <c r="AT48" s="25"/>
      <c r="AU48" s="25"/>
      <c r="AW48" s="25"/>
      <c r="AX48" s="25"/>
      <c r="AY48" s="25"/>
      <c r="AZ48" s="25"/>
      <c r="BA48" s="25"/>
      <c r="BB48" s="25"/>
      <c r="BF48" s="25"/>
      <c r="BG48" s="25"/>
      <c r="BH48" s="25"/>
      <c r="BI48" s="25"/>
      <c r="BJ48" s="25"/>
      <c r="BK48" s="25"/>
      <c r="BM48" s="25"/>
      <c r="BN48" s="25"/>
      <c r="BO48" s="25"/>
      <c r="BP48" s="25"/>
      <c r="BQ48" s="25"/>
      <c r="BR48" s="25"/>
      <c r="BU48" s="25"/>
      <c r="BV48" s="25"/>
      <c r="BW48" s="25"/>
      <c r="BX48" s="25"/>
      <c r="BY48" s="25"/>
      <c r="BZ48" s="25"/>
      <c r="CB48" s="25"/>
      <c r="CC48" s="25"/>
      <c r="CD48" s="25"/>
      <c r="CE48" s="25"/>
      <c r="CF48" s="25"/>
      <c r="CG48" s="25"/>
    </row>
    <row r="49" spans="1:85" ht="14" customHeight="1">
      <c r="A49" s="85" t="str">
        <f>IF(Poor!A49=0,"",Poor!A49)</f>
        <v>Other cashcrop (cabbage): kg produced</v>
      </c>
      <c r="B49" s="104">
        <v>266.66666666666669</v>
      </c>
      <c r="C49" s="104">
        <v>0</v>
      </c>
      <c r="D49" s="38">
        <f t="shared" si="25"/>
        <v>266.66666666666669</v>
      </c>
      <c r="E49" s="75">
        <f>Middle!E49</f>
        <v>1</v>
      </c>
      <c r="F49" s="75">
        <f>Middle!F49</f>
        <v>1.4</v>
      </c>
      <c r="G49" s="22">
        <f t="shared" si="32"/>
        <v>1.65</v>
      </c>
      <c r="H49" s="24">
        <f t="shared" si="26"/>
        <v>1.4</v>
      </c>
      <c r="I49" s="39">
        <f t="shared" si="27"/>
        <v>373.33333333333331</v>
      </c>
      <c r="J49" s="38">
        <f t="shared" si="33"/>
        <v>373.33333333333337</v>
      </c>
      <c r="K49" s="40">
        <f t="shared" si="28"/>
        <v>1.2480070886802638E-3</v>
      </c>
      <c r="L49" s="22">
        <f t="shared" si="29"/>
        <v>1.7472099241523692E-3</v>
      </c>
      <c r="M49" s="24">
        <f t="shared" si="30"/>
        <v>1.7472099241523694E-3</v>
      </c>
      <c r="N49" s="2"/>
      <c r="O49" s="2"/>
      <c r="P49" s="2"/>
      <c r="Q49" s="255"/>
      <c r="R49" s="252"/>
      <c r="S49" s="41"/>
      <c r="T49" s="29"/>
      <c r="U49" s="56"/>
      <c r="V49" s="56"/>
      <c r="W49" s="110"/>
      <c r="X49" s="118"/>
      <c r="Y49" s="110"/>
      <c r="Z49" s="156">
        <f>Poor!Z49</f>
        <v>0.25</v>
      </c>
      <c r="AA49" s="147">
        <f t="shared" si="38"/>
        <v>93.333333333333343</v>
      </c>
      <c r="AB49" s="156">
        <f>Poor!AB49</f>
        <v>0.25</v>
      </c>
      <c r="AC49" s="147">
        <f t="shared" si="39"/>
        <v>93.333333333333343</v>
      </c>
      <c r="AD49" s="156">
        <f>Poor!AD49</f>
        <v>0.25</v>
      </c>
      <c r="AE49" s="147">
        <f t="shared" si="40"/>
        <v>93.333333333333343</v>
      </c>
      <c r="AF49" s="122">
        <f t="shared" si="31"/>
        <v>0.25</v>
      </c>
      <c r="AG49" s="147">
        <f t="shared" si="34"/>
        <v>93.333333333333343</v>
      </c>
      <c r="AH49" s="123">
        <f t="shared" si="35"/>
        <v>1</v>
      </c>
      <c r="AI49" s="112">
        <f t="shared" si="35"/>
        <v>373.33333333333337</v>
      </c>
      <c r="AJ49" s="148">
        <f t="shared" si="36"/>
        <v>186.66666666666669</v>
      </c>
      <c r="AK49" s="147">
        <f t="shared" si="37"/>
        <v>186.66666666666669</v>
      </c>
      <c r="AP49" s="25"/>
      <c r="AQ49" s="25"/>
      <c r="AR49" s="25"/>
      <c r="AS49" s="25"/>
      <c r="AT49" s="25"/>
      <c r="AU49" s="25"/>
      <c r="AW49" s="25"/>
      <c r="AX49" s="25"/>
      <c r="AY49" s="25"/>
      <c r="AZ49" s="25"/>
      <c r="BA49" s="25"/>
      <c r="BB49" s="25"/>
      <c r="BF49" s="25"/>
      <c r="BG49" s="25"/>
      <c r="BH49" s="25"/>
      <c r="BI49" s="25"/>
      <c r="BJ49" s="25"/>
      <c r="BK49" s="25"/>
      <c r="BM49" s="25"/>
      <c r="BN49" s="25"/>
      <c r="BO49" s="25"/>
      <c r="BP49" s="25"/>
      <c r="BQ49" s="25"/>
      <c r="BR49" s="25"/>
      <c r="BU49" s="25"/>
      <c r="BV49" s="25"/>
      <c r="BW49" s="25"/>
      <c r="BX49" s="25"/>
      <c r="BY49" s="25"/>
      <c r="BZ49" s="25"/>
      <c r="CB49" s="25"/>
      <c r="CC49" s="25"/>
      <c r="CD49" s="25"/>
      <c r="CE49" s="25"/>
      <c r="CF49" s="25"/>
      <c r="CG49" s="25"/>
    </row>
    <row r="50" spans="1:85" ht="14" customHeight="1">
      <c r="A50" s="85" t="str">
        <f>IF(Poor!A50=0,"",Poor!A50)</f>
        <v>Other crop: Amadumbe</v>
      </c>
      <c r="B50" s="104">
        <v>416.66666666666669</v>
      </c>
      <c r="C50" s="104">
        <v>-416.66666666666669</v>
      </c>
      <c r="D50" s="38">
        <f t="shared" si="25"/>
        <v>0</v>
      </c>
      <c r="E50" s="75">
        <f>Middle!E50</f>
        <v>1</v>
      </c>
      <c r="F50" s="75">
        <f>Middle!F50</f>
        <v>1.4</v>
      </c>
      <c r="G50" s="22">
        <f t="shared" si="32"/>
        <v>1.65</v>
      </c>
      <c r="H50" s="24">
        <f t="shared" si="26"/>
        <v>1.4</v>
      </c>
      <c r="I50" s="39">
        <f t="shared" si="27"/>
        <v>0</v>
      </c>
      <c r="J50" s="38">
        <f t="shared" si="33"/>
        <v>596.13195371348274</v>
      </c>
      <c r="K50" s="40">
        <f t="shared" si="28"/>
        <v>1.950011076062912E-3</v>
      </c>
      <c r="L50" s="22">
        <f t="shared" si="29"/>
        <v>2.7300155064880769E-3</v>
      </c>
      <c r="M50" s="24">
        <f t="shared" si="30"/>
        <v>2.7899133900871551E-3</v>
      </c>
      <c r="N50" s="2"/>
      <c r="O50" s="2"/>
      <c r="P50" s="2"/>
      <c r="Q50" s="255"/>
      <c r="R50" s="252"/>
      <c r="S50" s="41"/>
      <c r="T50" s="29"/>
      <c r="U50" s="56"/>
      <c r="V50" s="56"/>
      <c r="W50" s="110"/>
      <c r="X50" s="118"/>
      <c r="Y50" s="110"/>
      <c r="Z50" s="156">
        <f>Poor!Z55</f>
        <v>0.25</v>
      </c>
      <c r="AA50" s="147">
        <f t="shared" si="38"/>
        <v>149.03298842837069</v>
      </c>
      <c r="AB50" s="156">
        <f>Poor!AB55</f>
        <v>0.25</v>
      </c>
      <c r="AC50" s="147">
        <f t="shared" si="39"/>
        <v>149.03298842837069</v>
      </c>
      <c r="AD50" s="156">
        <f>Poor!AD55</f>
        <v>0.25</v>
      </c>
      <c r="AE50" s="147">
        <f t="shared" si="40"/>
        <v>149.03298842837069</v>
      </c>
      <c r="AF50" s="122">
        <f t="shared" si="31"/>
        <v>0.25</v>
      </c>
      <c r="AG50" s="147">
        <f t="shared" si="34"/>
        <v>149.03298842837069</v>
      </c>
      <c r="AH50" s="123">
        <f t="shared" si="35"/>
        <v>1</v>
      </c>
      <c r="AI50" s="112">
        <f t="shared" si="35"/>
        <v>596.13195371348274</v>
      </c>
      <c r="AJ50" s="148">
        <f t="shared" si="36"/>
        <v>298.06597685674137</v>
      </c>
      <c r="AK50" s="147">
        <f t="shared" si="37"/>
        <v>298.06597685674137</v>
      </c>
      <c r="AP50" s="25"/>
      <c r="AQ50" s="25"/>
      <c r="AR50" s="25"/>
      <c r="AS50" s="25"/>
      <c r="AT50" s="25"/>
      <c r="AU50" s="25"/>
      <c r="AW50" s="25"/>
      <c r="AX50" s="25"/>
      <c r="AY50" s="25"/>
      <c r="AZ50" s="25"/>
      <c r="BA50" s="25"/>
      <c r="BB50" s="25"/>
      <c r="BF50" s="25"/>
      <c r="BG50" s="25"/>
      <c r="BH50" s="25"/>
      <c r="BI50" s="25"/>
      <c r="BJ50" s="25"/>
      <c r="BK50" s="25"/>
      <c r="BM50" s="25"/>
      <c r="BN50" s="25"/>
      <c r="BO50" s="25"/>
      <c r="BP50" s="25"/>
      <c r="BQ50" s="25"/>
      <c r="BR50" s="25"/>
      <c r="BU50" s="25"/>
      <c r="BV50" s="25"/>
      <c r="BW50" s="25"/>
      <c r="BX50" s="25"/>
      <c r="BY50" s="25"/>
      <c r="BZ50" s="25"/>
      <c r="CB50" s="25"/>
      <c r="CC50" s="25"/>
      <c r="CD50" s="25"/>
      <c r="CE50" s="25"/>
      <c r="CF50" s="25"/>
      <c r="CG50" s="25"/>
    </row>
    <row r="51" spans="1:85" ht="14" customHeight="1">
      <c r="A51" s="85" t="str">
        <f>IF(Poor!A51=0,"",Poor!A51)</f>
        <v>Water melon: no. local meas</v>
      </c>
      <c r="B51" s="104">
        <v>0</v>
      </c>
      <c r="C51" s="104">
        <v>0</v>
      </c>
      <c r="D51" s="38">
        <f t="shared" si="25"/>
        <v>0</v>
      </c>
      <c r="E51" s="75">
        <f>Middle!E51</f>
        <v>1</v>
      </c>
      <c r="F51" s="75">
        <f>Middle!F51</f>
        <v>1.4</v>
      </c>
      <c r="G51" s="22">
        <f t="shared" si="32"/>
        <v>1.65</v>
      </c>
      <c r="H51" s="24">
        <f t="shared" si="26"/>
        <v>1.4</v>
      </c>
      <c r="I51" s="39">
        <f t="shared" si="27"/>
        <v>0</v>
      </c>
      <c r="J51" s="38">
        <f t="shared" si="33"/>
        <v>0</v>
      </c>
      <c r="K51" s="40">
        <f t="shared" si="28"/>
        <v>0</v>
      </c>
      <c r="L51" s="22">
        <f t="shared" si="29"/>
        <v>0</v>
      </c>
      <c r="M51" s="24">
        <f t="shared" si="30"/>
        <v>0</v>
      </c>
      <c r="N51" s="2"/>
      <c r="O51" s="2"/>
      <c r="P51" s="2"/>
      <c r="Q51" s="255"/>
      <c r="R51" s="252"/>
      <c r="S51" s="41"/>
      <c r="T51" s="29"/>
      <c r="U51" s="56"/>
      <c r="V51" s="56"/>
      <c r="W51" s="110"/>
      <c r="X51" s="118"/>
      <c r="Y51" s="110"/>
      <c r="Z51" s="156">
        <f>Poor!Z56</f>
        <v>0.25</v>
      </c>
      <c r="AA51" s="147">
        <f t="shared" si="38"/>
        <v>0</v>
      </c>
      <c r="AB51" s="156">
        <f>Poor!AB56</f>
        <v>0.25</v>
      </c>
      <c r="AC51" s="147">
        <f t="shared" si="39"/>
        <v>0</v>
      </c>
      <c r="AD51" s="156">
        <f>Poor!AD56</f>
        <v>0.25</v>
      </c>
      <c r="AE51" s="147">
        <f t="shared" si="40"/>
        <v>0</v>
      </c>
      <c r="AF51" s="122">
        <f t="shared" si="31"/>
        <v>0.25</v>
      </c>
      <c r="AG51" s="147">
        <f t="shared" si="34"/>
        <v>0</v>
      </c>
      <c r="AH51" s="123">
        <f t="shared" si="35"/>
        <v>1</v>
      </c>
      <c r="AI51" s="112">
        <f t="shared" si="35"/>
        <v>0</v>
      </c>
      <c r="AJ51" s="148">
        <f t="shared" si="36"/>
        <v>0</v>
      </c>
      <c r="AK51" s="147">
        <f t="shared" si="37"/>
        <v>0</v>
      </c>
      <c r="AP51" s="25"/>
      <c r="AQ51" s="25"/>
      <c r="AR51" s="25"/>
      <c r="AS51" s="25"/>
      <c r="AT51" s="25"/>
      <c r="AU51" s="25"/>
      <c r="AW51" s="25"/>
      <c r="AX51" s="25"/>
      <c r="AY51" s="25"/>
      <c r="AZ51" s="25"/>
      <c r="BA51" s="25"/>
      <c r="BB51" s="25"/>
      <c r="BF51" s="25"/>
      <c r="BG51" s="25"/>
      <c r="BH51" s="25"/>
      <c r="BI51" s="25"/>
      <c r="BJ51" s="25"/>
      <c r="BK51" s="25"/>
      <c r="BM51" s="25"/>
      <c r="BN51" s="25"/>
      <c r="BO51" s="25"/>
      <c r="BP51" s="25"/>
      <c r="BQ51" s="25"/>
      <c r="BR51" s="25"/>
      <c r="BU51" s="25"/>
      <c r="BV51" s="25"/>
      <c r="BW51" s="25"/>
      <c r="BX51" s="25"/>
      <c r="BY51" s="25"/>
      <c r="BZ51" s="25"/>
      <c r="CB51" s="25"/>
      <c r="CC51" s="25"/>
      <c r="CD51" s="25"/>
      <c r="CE51" s="25"/>
      <c r="CF51" s="25"/>
      <c r="CG51" s="25"/>
    </row>
    <row r="52" spans="1:85" ht="14" customHeight="1">
      <c r="A52" s="85" t="str">
        <f>IF(Poor!A52=0,"",Poor!A52)</f>
        <v>FISHING -- see worksheet Data 3</v>
      </c>
      <c r="B52" s="104">
        <v>0</v>
      </c>
      <c r="C52" s="104">
        <v>0</v>
      </c>
      <c r="D52" s="38">
        <f t="shared" si="25"/>
        <v>0</v>
      </c>
      <c r="E52" s="75">
        <f>Middle!E52</f>
        <v>1</v>
      </c>
      <c r="F52" s="75">
        <f>Middle!F52</f>
        <v>1.18</v>
      </c>
      <c r="G52" s="22">
        <f t="shared" si="32"/>
        <v>1.65</v>
      </c>
      <c r="H52" s="24">
        <f t="shared" si="26"/>
        <v>1.18</v>
      </c>
      <c r="I52" s="39">
        <f t="shared" si="27"/>
        <v>0</v>
      </c>
      <c r="J52" s="38">
        <f t="shared" si="33"/>
        <v>0</v>
      </c>
      <c r="K52" s="40">
        <f t="shared" si="28"/>
        <v>0</v>
      </c>
      <c r="L52" s="22">
        <f t="shared" si="29"/>
        <v>0</v>
      </c>
      <c r="M52" s="24">
        <f t="shared" si="30"/>
        <v>0</v>
      </c>
      <c r="N52" s="2"/>
      <c r="O52" s="2"/>
      <c r="P52" s="2"/>
      <c r="Q52" s="41"/>
      <c r="R52" s="242"/>
      <c r="S52" s="56"/>
      <c r="T52" s="56"/>
      <c r="U52" s="56"/>
      <c r="V52" s="56"/>
      <c r="W52" s="110"/>
      <c r="X52" s="118"/>
      <c r="Y52" s="110"/>
      <c r="Z52" s="156">
        <f>Poor!Z57</f>
        <v>0.25</v>
      </c>
      <c r="AA52" s="147">
        <f t="shared" si="38"/>
        <v>0</v>
      </c>
      <c r="AB52" s="156">
        <f>Poor!AB57</f>
        <v>0.25</v>
      </c>
      <c r="AC52" s="147">
        <f t="shared" si="39"/>
        <v>0</v>
      </c>
      <c r="AD52" s="156">
        <f>Poor!AD57</f>
        <v>0.25</v>
      </c>
      <c r="AE52" s="147">
        <f t="shared" si="40"/>
        <v>0</v>
      </c>
      <c r="AF52" s="122">
        <f t="shared" si="31"/>
        <v>0.25</v>
      </c>
      <c r="AG52" s="147">
        <f t="shared" si="34"/>
        <v>0</v>
      </c>
      <c r="AH52" s="123">
        <f t="shared" si="35"/>
        <v>1</v>
      </c>
      <c r="AI52" s="112">
        <f t="shared" si="35"/>
        <v>0</v>
      </c>
      <c r="AJ52" s="148">
        <f t="shared" si="36"/>
        <v>0</v>
      </c>
      <c r="AK52" s="147">
        <f t="shared" si="37"/>
        <v>0</v>
      </c>
      <c r="AP52" s="25"/>
      <c r="AQ52" s="25"/>
      <c r="AR52" s="25"/>
      <c r="AS52" s="25"/>
      <c r="AT52" s="25"/>
      <c r="AU52" s="25"/>
      <c r="AW52" s="25"/>
      <c r="AX52" s="25"/>
      <c r="AY52" s="25"/>
      <c r="AZ52" s="25"/>
      <c r="BA52" s="25"/>
      <c r="BB52" s="25"/>
      <c r="BF52" s="25"/>
      <c r="BG52" s="25"/>
      <c r="BH52" s="25"/>
      <c r="BI52" s="25"/>
      <c r="BJ52" s="25"/>
      <c r="BK52" s="25"/>
      <c r="BM52" s="25"/>
      <c r="BN52" s="25"/>
      <c r="BO52" s="25"/>
      <c r="BP52" s="25"/>
      <c r="BQ52" s="25"/>
      <c r="BR52" s="25"/>
      <c r="BU52" s="25"/>
      <c r="BV52" s="25"/>
      <c r="BW52" s="25"/>
      <c r="BX52" s="25"/>
      <c r="BY52" s="25"/>
      <c r="BZ52" s="25"/>
      <c r="CB52" s="25"/>
      <c r="CC52" s="25"/>
      <c r="CD52" s="25"/>
      <c r="CE52" s="25"/>
      <c r="CF52" s="25"/>
      <c r="CG52" s="25"/>
    </row>
    <row r="53" spans="1:85" ht="14" customHeight="1">
      <c r="A53" s="85" t="str">
        <f>IF(Poor!A53=0,"",Poor!A53)</f>
        <v>WILD FOODS -- see worksheet Data 3</v>
      </c>
      <c r="B53" s="104">
        <v>0</v>
      </c>
      <c r="C53" s="104">
        <v>0</v>
      </c>
      <c r="D53" s="38">
        <f t="shared" si="25"/>
        <v>0</v>
      </c>
      <c r="E53" s="75">
        <f>Middle!E53</f>
        <v>1</v>
      </c>
      <c r="F53" s="75">
        <f>Middle!F53</f>
        <v>1.18</v>
      </c>
      <c r="G53" s="22">
        <f t="shared" si="32"/>
        <v>1.65</v>
      </c>
      <c r="H53" s="24">
        <f t="shared" ref="H53:H64" si="41">(E53*F53)</f>
        <v>1.18</v>
      </c>
      <c r="I53" s="39">
        <f t="shared" ref="I53:I64" si="42">D53*H53</f>
        <v>0</v>
      </c>
      <c r="J53" s="38">
        <f t="shared" si="33"/>
        <v>0</v>
      </c>
      <c r="K53" s="40">
        <f t="shared" ref="K53:K64" si="43">(B53/B$65)</f>
        <v>0</v>
      </c>
      <c r="L53" s="22">
        <f t="shared" ref="L53:L64" si="44">(K53*H53)</f>
        <v>0</v>
      </c>
      <c r="M53" s="24">
        <f t="shared" ref="M53:M64" si="45">J53/B$65</f>
        <v>0</v>
      </c>
      <c r="N53" s="2"/>
      <c r="O53" s="2"/>
      <c r="P53" s="2"/>
      <c r="Q53" s="41"/>
      <c r="R53" s="56"/>
      <c r="S53" s="56"/>
      <c r="T53" s="56"/>
      <c r="U53" s="56"/>
      <c r="V53" s="56"/>
      <c r="W53" s="110"/>
      <c r="X53" s="118"/>
      <c r="Y53" s="110"/>
      <c r="Z53" s="156"/>
      <c r="AA53" s="147"/>
      <c r="AB53" s="156"/>
      <c r="AC53" s="147"/>
      <c r="AD53" s="156"/>
      <c r="AE53" s="147"/>
      <c r="AF53" s="122"/>
      <c r="AG53" s="147"/>
      <c r="AH53" s="123"/>
      <c r="AI53" s="112"/>
      <c r="AJ53" s="148"/>
      <c r="AK53" s="147"/>
      <c r="AP53" s="25"/>
      <c r="AQ53" s="25"/>
      <c r="AR53" s="25"/>
      <c r="AS53" s="25"/>
      <c r="AT53" s="25"/>
      <c r="AU53" s="25"/>
      <c r="AW53" s="25"/>
      <c r="AX53" s="25"/>
      <c r="AY53" s="25"/>
      <c r="AZ53" s="25"/>
      <c r="BA53" s="25"/>
      <c r="BB53" s="25"/>
      <c r="BF53" s="25"/>
      <c r="BG53" s="25"/>
      <c r="BH53" s="25"/>
      <c r="BI53" s="25"/>
      <c r="BJ53" s="25"/>
      <c r="BK53" s="25"/>
      <c r="BM53" s="25"/>
      <c r="BN53" s="25"/>
      <c r="BO53" s="25"/>
      <c r="BP53" s="25"/>
      <c r="BQ53" s="25"/>
      <c r="BR53" s="25"/>
      <c r="BU53" s="25"/>
      <c r="BV53" s="25"/>
      <c r="BW53" s="25"/>
      <c r="BX53" s="25"/>
      <c r="BY53" s="25"/>
      <c r="BZ53" s="25"/>
      <c r="CB53" s="25"/>
      <c r="CC53" s="25"/>
      <c r="CD53" s="25"/>
      <c r="CE53" s="25"/>
      <c r="CF53" s="25"/>
      <c r="CG53" s="25"/>
    </row>
    <row r="54" spans="1:85" ht="14" customHeight="1">
      <c r="A54" s="85" t="str">
        <f>IF(Poor!A54=0,"",Poor!A54)</f>
        <v>Agricultural casual work -- see Data2</v>
      </c>
      <c r="B54" s="104">
        <v>0</v>
      </c>
      <c r="C54" s="104">
        <v>0</v>
      </c>
      <c r="D54" s="38">
        <f t="shared" si="25"/>
        <v>0</v>
      </c>
      <c r="E54" s="75">
        <f>Middle!E54</f>
        <v>1</v>
      </c>
      <c r="F54" s="75">
        <f>Middle!F54</f>
        <v>1.1100000000000001</v>
      </c>
      <c r="G54" s="22">
        <f t="shared" si="32"/>
        <v>1.65</v>
      </c>
      <c r="H54" s="24">
        <f t="shared" si="41"/>
        <v>1.1100000000000001</v>
      </c>
      <c r="I54" s="39">
        <f t="shared" si="42"/>
        <v>0</v>
      </c>
      <c r="J54" s="38">
        <f t="shared" si="33"/>
        <v>0</v>
      </c>
      <c r="K54" s="40">
        <f t="shared" si="43"/>
        <v>0</v>
      </c>
      <c r="L54" s="22">
        <f t="shared" si="44"/>
        <v>0</v>
      </c>
      <c r="M54" s="24">
        <f t="shared" si="45"/>
        <v>0</v>
      </c>
      <c r="N54" s="2"/>
      <c r="O54" s="2"/>
      <c r="P54" s="2"/>
      <c r="Q54" s="56"/>
      <c r="R54" s="56"/>
      <c r="S54" s="56"/>
      <c r="T54" s="56"/>
      <c r="U54" s="56"/>
      <c r="V54" s="56"/>
      <c r="W54" s="110"/>
      <c r="X54" s="118"/>
      <c r="Y54" s="110"/>
      <c r="Z54" s="156"/>
      <c r="AA54" s="147"/>
      <c r="AB54" s="156"/>
      <c r="AC54" s="147"/>
      <c r="AD54" s="156"/>
      <c r="AE54" s="147"/>
      <c r="AF54" s="122"/>
      <c r="AG54" s="147"/>
      <c r="AH54" s="123"/>
      <c r="AI54" s="112"/>
      <c r="AJ54" s="148"/>
      <c r="AK54" s="147"/>
      <c r="AP54" s="25"/>
      <c r="AQ54" s="25"/>
      <c r="AR54" s="25"/>
      <c r="AS54" s="25"/>
      <c r="AT54" s="25"/>
      <c r="AU54" s="25"/>
      <c r="AW54" s="25"/>
      <c r="AX54" s="25"/>
      <c r="AY54" s="25"/>
      <c r="AZ54" s="25"/>
      <c r="BA54" s="25"/>
      <c r="BB54" s="25"/>
      <c r="BF54" s="25"/>
      <c r="BG54" s="25"/>
      <c r="BH54" s="25"/>
      <c r="BI54" s="25"/>
      <c r="BJ54" s="25"/>
      <c r="BK54" s="25"/>
      <c r="BM54" s="25"/>
      <c r="BN54" s="25"/>
      <c r="BO54" s="25"/>
      <c r="BP54" s="25"/>
      <c r="BQ54" s="25"/>
      <c r="BR54" s="25"/>
      <c r="BU54" s="25"/>
      <c r="BV54" s="25"/>
      <c r="BW54" s="25"/>
      <c r="BX54" s="25"/>
      <c r="BY54" s="25"/>
      <c r="BZ54" s="25"/>
      <c r="CB54" s="25"/>
      <c r="CC54" s="25"/>
      <c r="CD54" s="25"/>
      <c r="CE54" s="25"/>
      <c r="CF54" s="25"/>
      <c r="CG54" s="25"/>
    </row>
    <row r="55" spans="1:85" ht="14" customHeight="1">
      <c r="A55" s="85" t="str">
        <f>IF(Poor!A55=0,"",Poor!A55)</f>
        <v>Construction casual work -- see Data2</v>
      </c>
      <c r="B55" s="104">
        <v>0</v>
      </c>
      <c r="C55" s="104">
        <v>0</v>
      </c>
      <c r="D55" s="38">
        <f t="shared" si="25"/>
        <v>0</v>
      </c>
      <c r="E55" s="75">
        <f>Middle!E55</f>
        <v>1</v>
      </c>
      <c r="F55" s="75">
        <f>Middle!F55</f>
        <v>1.1100000000000001</v>
      </c>
      <c r="G55" s="22">
        <f t="shared" si="32"/>
        <v>1.65</v>
      </c>
      <c r="H55" s="24">
        <f t="shared" si="41"/>
        <v>1.1100000000000001</v>
      </c>
      <c r="I55" s="39">
        <f t="shared" si="42"/>
        <v>0</v>
      </c>
      <c r="J55" s="38">
        <f t="shared" si="33"/>
        <v>0</v>
      </c>
      <c r="K55" s="40">
        <f t="shared" si="43"/>
        <v>0</v>
      </c>
      <c r="L55" s="22">
        <f t="shared" si="44"/>
        <v>0</v>
      </c>
      <c r="M55" s="24">
        <f t="shared" si="45"/>
        <v>0</v>
      </c>
      <c r="N55" s="2"/>
      <c r="O55" s="2"/>
      <c r="P55" s="2"/>
      <c r="Q55" s="56"/>
      <c r="R55" s="41"/>
      <c r="S55" s="56"/>
      <c r="T55" s="56"/>
      <c r="U55" s="56"/>
      <c r="V55" s="56"/>
      <c r="W55" s="110"/>
      <c r="X55" s="118"/>
      <c r="Y55" s="110"/>
      <c r="Z55" s="156"/>
      <c r="AA55" s="147"/>
      <c r="AB55" s="156"/>
      <c r="AC55" s="147"/>
      <c r="AD55" s="156"/>
      <c r="AE55" s="147"/>
      <c r="AF55" s="122"/>
      <c r="AG55" s="147"/>
      <c r="AH55" s="123"/>
      <c r="AI55" s="112"/>
      <c r="AJ55" s="148"/>
      <c r="AK55" s="147"/>
      <c r="AP55" s="25"/>
      <c r="AQ55" s="25"/>
      <c r="AR55" s="25"/>
      <c r="AS55" s="25"/>
      <c r="AT55" s="25"/>
      <c r="AU55" s="25"/>
      <c r="AW55" s="25"/>
      <c r="AX55" s="25"/>
      <c r="AY55" s="25"/>
      <c r="AZ55" s="25"/>
      <c r="BA55" s="25"/>
      <c r="BB55" s="25"/>
      <c r="BF55" s="25"/>
      <c r="BG55" s="25"/>
      <c r="BH55" s="25"/>
      <c r="BI55" s="25"/>
      <c r="BJ55" s="25"/>
      <c r="BK55" s="25"/>
      <c r="BM55" s="25"/>
      <c r="BN55" s="25"/>
      <c r="BO55" s="25"/>
      <c r="BP55" s="25"/>
      <c r="BQ55" s="25"/>
      <c r="BR55" s="25"/>
      <c r="BU55" s="25"/>
      <c r="BV55" s="25"/>
      <c r="BW55" s="25"/>
      <c r="BX55" s="25"/>
      <c r="BY55" s="25"/>
      <c r="BZ55" s="25"/>
      <c r="CB55" s="25"/>
      <c r="CC55" s="25"/>
      <c r="CD55" s="25"/>
      <c r="CE55" s="25"/>
      <c r="CF55" s="25"/>
      <c r="CG55" s="25"/>
    </row>
    <row r="56" spans="1:85" ht="14" customHeight="1">
      <c r="A56" s="85" t="str">
        <f>IF(Poor!A56=0,"",Poor!A56)</f>
        <v>Domestic casual work -- see Data2</v>
      </c>
      <c r="B56" s="104">
        <v>0</v>
      </c>
      <c r="C56" s="104">
        <v>0</v>
      </c>
      <c r="D56" s="38">
        <f t="shared" si="25"/>
        <v>0</v>
      </c>
      <c r="E56" s="75">
        <f>Middle!E56</f>
        <v>1</v>
      </c>
      <c r="F56" s="75">
        <f>Middle!F56</f>
        <v>1.1100000000000001</v>
      </c>
      <c r="G56" s="22">
        <f t="shared" si="32"/>
        <v>1.65</v>
      </c>
      <c r="H56" s="24">
        <f t="shared" si="41"/>
        <v>1.1100000000000001</v>
      </c>
      <c r="I56" s="39">
        <f t="shared" si="42"/>
        <v>0</v>
      </c>
      <c r="J56" s="38">
        <f t="shared" si="33"/>
        <v>0</v>
      </c>
      <c r="K56" s="40">
        <f t="shared" si="43"/>
        <v>0</v>
      </c>
      <c r="L56" s="22">
        <f t="shared" si="44"/>
        <v>0</v>
      </c>
      <c r="M56" s="24">
        <f t="shared" si="45"/>
        <v>0</v>
      </c>
      <c r="N56" s="2"/>
      <c r="O56" s="2"/>
      <c r="P56" s="2"/>
      <c r="Q56" s="56"/>
      <c r="R56" s="56"/>
      <c r="S56" s="56"/>
      <c r="T56" s="56"/>
      <c r="U56" s="56"/>
      <c r="V56" s="56"/>
      <c r="W56" s="110"/>
      <c r="X56" s="118"/>
      <c r="Y56" s="110"/>
      <c r="Z56" s="156"/>
      <c r="AA56" s="147"/>
      <c r="AB56" s="156"/>
      <c r="AC56" s="147"/>
      <c r="AD56" s="156"/>
      <c r="AE56" s="147"/>
      <c r="AF56" s="122"/>
      <c r="AG56" s="147"/>
      <c r="AH56" s="123"/>
      <c r="AI56" s="112"/>
      <c r="AJ56" s="148"/>
      <c r="AK56" s="147"/>
      <c r="AP56" s="25"/>
      <c r="AQ56" s="25"/>
      <c r="AR56" s="25"/>
      <c r="AS56" s="25"/>
      <c r="AT56" s="25"/>
      <c r="AU56" s="25"/>
      <c r="AW56" s="25"/>
      <c r="AX56" s="25"/>
      <c r="AY56" s="25"/>
      <c r="AZ56" s="25"/>
      <c r="BA56" s="25"/>
      <c r="BB56" s="25"/>
      <c r="BF56" s="25"/>
      <c r="BG56" s="25"/>
      <c r="BH56" s="25"/>
      <c r="BI56" s="25"/>
      <c r="BJ56" s="25"/>
      <c r="BK56" s="25"/>
      <c r="BM56" s="25"/>
      <c r="BN56" s="25"/>
      <c r="BO56" s="25"/>
      <c r="BP56" s="25"/>
      <c r="BQ56" s="25"/>
      <c r="BR56" s="25"/>
      <c r="BU56" s="25"/>
      <c r="BV56" s="25"/>
      <c r="BW56" s="25"/>
      <c r="BX56" s="25"/>
      <c r="BY56" s="25"/>
      <c r="BZ56" s="25"/>
      <c r="CB56" s="25"/>
      <c r="CC56" s="25"/>
      <c r="CD56" s="25"/>
      <c r="CE56" s="25"/>
      <c r="CF56" s="25"/>
      <c r="CG56" s="25"/>
    </row>
    <row r="57" spans="1:85" ht="14" customHeight="1">
      <c r="A57" s="85" t="str">
        <f>IF(Poor!A57=0,"",Poor!A57)</f>
        <v>Labour migration(formal employment): no. people per HH</v>
      </c>
      <c r="B57" s="104">
        <v>22000</v>
      </c>
      <c r="C57" s="104">
        <v>0</v>
      </c>
      <c r="D57" s="38">
        <f t="shared" si="25"/>
        <v>22000</v>
      </c>
      <c r="E57" s="75">
        <f>Middle!E57</f>
        <v>0.8</v>
      </c>
      <c r="F57" s="75">
        <f>Middle!F57</f>
        <v>1.18</v>
      </c>
      <c r="G57" s="22">
        <f t="shared" si="32"/>
        <v>1.65</v>
      </c>
      <c r="H57" s="24">
        <f t="shared" si="41"/>
        <v>0.94399999999999995</v>
      </c>
      <c r="I57" s="39">
        <f t="shared" si="42"/>
        <v>20768</v>
      </c>
      <c r="J57" s="38">
        <f t="shared" si="33"/>
        <v>20767.999999999996</v>
      </c>
      <c r="K57" s="40">
        <f t="shared" si="43"/>
        <v>0.10296058481612176</v>
      </c>
      <c r="L57" s="22">
        <f t="shared" si="44"/>
        <v>9.7194792066418942E-2</v>
      </c>
      <c r="M57" s="24">
        <f t="shared" si="45"/>
        <v>9.7194792066418914E-2</v>
      </c>
      <c r="N57" s="2"/>
      <c r="O57" s="2"/>
      <c r="P57" s="2"/>
      <c r="Q57" s="2"/>
      <c r="R57" s="218"/>
      <c r="S57" s="68"/>
      <c r="T57" s="2"/>
      <c r="U57" s="56"/>
      <c r="V57" s="56"/>
      <c r="W57" s="110"/>
      <c r="X57" s="118"/>
      <c r="Y57" s="110"/>
      <c r="Z57" s="156"/>
      <c r="AA57" s="147"/>
      <c r="AB57" s="156"/>
      <c r="AC57" s="147"/>
      <c r="AD57" s="156"/>
      <c r="AE57" s="147"/>
      <c r="AF57" s="122"/>
      <c r="AG57" s="147"/>
      <c r="AH57" s="123"/>
      <c r="AI57" s="112"/>
      <c r="AJ57" s="148"/>
      <c r="AK57" s="147"/>
      <c r="AP57" s="25"/>
      <c r="AQ57" s="25"/>
      <c r="AR57" s="25"/>
      <c r="AS57" s="25"/>
      <c r="AT57" s="25"/>
      <c r="AU57" s="25"/>
      <c r="AW57" s="25"/>
      <c r="AX57" s="25"/>
      <c r="AY57" s="25"/>
      <c r="AZ57" s="25"/>
      <c r="BA57" s="25"/>
      <c r="BB57" s="25"/>
      <c r="BF57" s="25"/>
      <c r="BG57" s="25"/>
      <c r="BH57" s="25"/>
      <c r="BI57" s="25"/>
      <c r="BJ57" s="25"/>
      <c r="BK57" s="25"/>
      <c r="BM57" s="25"/>
      <c r="BN57" s="25"/>
      <c r="BO57" s="25"/>
      <c r="BP57" s="25"/>
      <c r="BQ57" s="25"/>
      <c r="BR57" s="25"/>
      <c r="BU57" s="25"/>
      <c r="BV57" s="25"/>
      <c r="BW57" s="25"/>
      <c r="BX57" s="25"/>
      <c r="BY57" s="25"/>
      <c r="BZ57" s="25"/>
      <c r="CB57" s="25"/>
      <c r="CC57" s="25"/>
      <c r="CD57" s="25"/>
      <c r="CE57" s="25"/>
      <c r="CF57" s="25"/>
      <c r="CG57" s="25"/>
    </row>
    <row r="58" spans="1:85" ht="14" customHeight="1">
      <c r="A58" s="85" t="str">
        <f>IF(Poor!A58=0,"",Poor!A58)</f>
        <v>Formal Employment (e.g. teachers, salaried staff, etc.)</v>
      </c>
      <c r="B58" s="104">
        <v>104000</v>
      </c>
      <c r="C58" s="104">
        <v>0</v>
      </c>
      <c r="D58" s="38">
        <f t="shared" si="25"/>
        <v>104000</v>
      </c>
      <c r="E58" s="75">
        <f>Middle!E58</f>
        <v>0.8</v>
      </c>
      <c r="F58" s="75">
        <f>Middle!F58</f>
        <v>1.18</v>
      </c>
      <c r="G58" s="22">
        <f t="shared" si="32"/>
        <v>1.65</v>
      </c>
      <c r="H58" s="24">
        <f t="shared" si="41"/>
        <v>0.94399999999999995</v>
      </c>
      <c r="I58" s="39">
        <f t="shared" si="42"/>
        <v>98176</v>
      </c>
      <c r="J58" s="38">
        <f t="shared" si="33"/>
        <v>98176</v>
      </c>
      <c r="K58" s="40">
        <f t="shared" si="43"/>
        <v>0.48672276458530284</v>
      </c>
      <c r="L58" s="22">
        <f t="shared" si="44"/>
        <v>0.45946628976852583</v>
      </c>
      <c r="M58" s="24">
        <f t="shared" si="45"/>
        <v>0.45946628976852588</v>
      </c>
      <c r="N58" s="2"/>
      <c r="O58" s="2"/>
      <c r="P58" s="2"/>
      <c r="Q58" s="2"/>
      <c r="R58" s="2"/>
      <c r="S58" s="2"/>
      <c r="T58" s="2"/>
      <c r="U58" s="56"/>
      <c r="V58" s="56"/>
      <c r="W58" s="110"/>
      <c r="X58" s="118"/>
      <c r="Y58" s="110"/>
      <c r="Z58" s="156">
        <f>Poor!Z58</f>
        <v>0.25</v>
      </c>
      <c r="AA58" s="147">
        <f t="shared" si="38"/>
        <v>24544</v>
      </c>
      <c r="AB58" s="156">
        <f>Poor!AB58</f>
        <v>0.25</v>
      </c>
      <c r="AC58" s="147">
        <f t="shared" si="39"/>
        <v>24544</v>
      </c>
      <c r="AD58" s="156">
        <f>Poor!AD58</f>
        <v>0.25</v>
      </c>
      <c r="AE58" s="147">
        <f t="shared" si="40"/>
        <v>24544</v>
      </c>
      <c r="AF58" s="122">
        <f t="shared" si="31"/>
        <v>0.25</v>
      </c>
      <c r="AG58" s="147">
        <f t="shared" si="34"/>
        <v>24544</v>
      </c>
      <c r="AH58" s="123">
        <f t="shared" si="35"/>
        <v>1</v>
      </c>
      <c r="AI58" s="112">
        <f t="shared" si="35"/>
        <v>98176</v>
      </c>
      <c r="AJ58" s="148">
        <f t="shared" si="36"/>
        <v>49088</v>
      </c>
      <c r="AK58" s="147">
        <f t="shared" si="37"/>
        <v>49088</v>
      </c>
      <c r="AP58" s="25"/>
      <c r="AQ58" s="25"/>
      <c r="AR58" s="25"/>
      <c r="AS58" s="25"/>
      <c r="AT58" s="25"/>
      <c r="AU58" s="25"/>
      <c r="AW58" s="25"/>
      <c r="AX58" s="25"/>
      <c r="AY58" s="25"/>
      <c r="AZ58" s="25"/>
      <c r="BA58" s="25"/>
      <c r="BB58" s="25"/>
      <c r="BF58" s="25"/>
      <c r="BG58" s="25"/>
      <c r="BH58" s="25"/>
      <c r="BI58" s="25"/>
      <c r="BJ58" s="25"/>
      <c r="BK58" s="25"/>
      <c r="BM58" s="25"/>
      <c r="BN58" s="25"/>
      <c r="BO58" s="25"/>
      <c r="BP58" s="25"/>
      <c r="BQ58" s="25"/>
      <c r="BR58" s="25"/>
      <c r="BU58" s="25"/>
      <c r="BV58" s="25"/>
      <c r="BW58" s="25"/>
      <c r="BX58" s="25"/>
      <c r="BY58" s="25"/>
      <c r="BZ58" s="25"/>
      <c r="CB58" s="25"/>
      <c r="CC58" s="25"/>
      <c r="CD58" s="25"/>
      <c r="CE58" s="25"/>
      <c r="CF58" s="25"/>
      <c r="CG58" s="25"/>
    </row>
    <row r="59" spans="1:85" ht="14" customHeight="1">
      <c r="A59" s="85" t="str">
        <f>IF(Poor!A59=0,"",Poor!A59)</f>
        <v>Self-employment -- see Data2</v>
      </c>
      <c r="B59" s="104">
        <v>0</v>
      </c>
      <c r="C59" s="104">
        <v>0</v>
      </c>
      <c r="D59" s="38">
        <f t="shared" si="25"/>
        <v>0</v>
      </c>
      <c r="E59" s="75">
        <f>Middle!E59</f>
        <v>0.8</v>
      </c>
      <c r="F59" s="75">
        <f>Middle!F59</f>
        <v>1</v>
      </c>
      <c r="G59" s="22">
        <f t="shared" si="32"/>
        <v>1.65</v>
      </c>
      <c r="H59" s="24">
        <f t="shared" si="41"/>
        <v>0.8</v>
      </c>
      <c r="I59" s="39">
        <f t="shared" si="42"/>
        <v>0</v>
      </c>
      <c r="J59" s="38">
        <f t="shared" si="33"/>
        <v>0</v>
      </c>
      <c r="K59" s="40">
        <f t="shared" si="43"/>
        <v>0</v>
      </c>
      <c r="L59" s="22">
        <f t="shared" si="44"/>
        <v>0</v>
      </c>
      <c r="M59" s="24">
        <f t="shared" si="45"/>
        <v>0</v>
      </c>
      <c r="N59" s="2"/>
      <c r="O59" s="2"/>
      <c r="P59" s="2"/>
      <c r="Q59" s="2"/>
      <c r="R59" s="2"/>
      <c r="S59" s="2"/>
      <c r="T59" s="2"/>
      <c r="U59" s="56"/>
      <c r="V59" s="56"/>
      <c r="W59" s="110"/>
      <c r="X59" s="118"/>
      <c r="Y59" s="110"/>
      <c r="Z59" s="156">
        <f>Poor!Z59</f>
        <v>0.25</v>
      </c>
      <c r="AA59" s="147">
        <f t="shared" si="38"/>
        <v>0</v>
      </c>
      <c r="AB59" s="156">
        <f>Poor!AB59</f>
        <v>0.25</v>
      </c>
      <c r="AC59" s="147">
        <f t="shared" si="39"/>
        <v>0</v>
      </c>
      <c r="AD59" s="156">
        <f>Poor!AD59</f>
        <v>0.25</v>
      </c>
      <c r="AE59" s="147">
        <f t="shared" si="40"/>
        <v>0</v>
      </c>
      <c r="AF59" s="122">
        <f t="shared" si="31"/>
        <v>0.25</v>
      </c>
      <c r="AG59" s="147">
        <f t="shared" si="34"/>
        <v>0</v>
      </c>
      <c r="AH59" s="123">
        <f t="shared" ref="AH59:AI64" si="46">SUM(Z59,AB59,AD59,AF59)</f>
        <v>1</v>
      </c>
      <c r="AI59" s="112">
        <f t="shared" si="46"/>
        <v>0</v>
      </c>
      <c r="AJ59" s="148">
        <f t="shared" si="36"/>
        <v>0</v>
      </c>
      <c r="AK59" s="147">
        <f t="shared" si="37"/>
        <v>0</v>
      </c>
      <c r="AP59" s="25"/>
      <c r="AQ59" s="25"/>
      <c r="AR59" s="25"/>
      <c r="AS59" s="25"/>
      <c r="AT59" s="25"/>
      <c r="AU59" s="25"/>
      <c r="AW59" s="25"/>
      <c r="AX59" s="25"/>
      <c r="AY59" s="25"/>
      <c r="AZ59" s="25"/>
      <c r="BA59" s="25"/>
      <c r="BB59" s="25"/>
      <c r="BF59" s="25"/>
      <c r="BG59" s="25"/>
      <c r="BH59" s="25"/>
      <c r="BI59" s="25"/>
      <c r="BJ59" s="25"/>
      <c r="BK59" s="25"/>
      <c r="BM59" s="25"/>
      <c r="BN59" s="25"/>
      <c r="BO59" s="25"/>
      <c r="BP59" s="25"/>
      <c r="BQ59" s="25"/>
      <c r="BR59" s="25"/>
      <c r="BU59" s="25"/>
      <c r="BV59" s="25"/>
      <c r="BW59" s="25"/>
      <c r="BX59" s="25"/>
      <c r="BY59" s="25"/>
      <c r="BZ59" s="25"/>
      <c r="CB59" s="25"/>
      <c r="CC59" s="25"/>
      <c r="CD59" s="25"/>
      <c r="CE59" s="25"/>
      <c r="CF59" s="25"/>
      <c r="CG59" s="25"/>
    </row>
    <row r="60" spans="1:85" ht="14" customHeight="1">
      <c r="A60" s="85" t="str">
        <f>IF(Poor!A60=0,"",Poor!A60)</f>
        <v>Small business -- see Data2</v>
      </c>
      <c r="B60" s="104">
        <v>33644</v>
      </c>
      <c r="C60" s="104">
        <v>0</v>
      </c>
      <c r="D60" s="38">
        <f t="shared" si="25"/>
        <v>33644</v>
      </c>
      <c r="E60" s="75">
        <f>Middle!E60</f>
        <v>0.8</v>
      </c>
      <c r="F60" s="75">
        <f>Middle!F60</f>
        <v>1.18</v>
      </c>
      <c r="G60" s="22">
        <f t="shared" si="32"/>
        <v>1.65</v>
      </c>
      <c r="H60" s="24">
        <f t="shared" si="41"/>
        <v>0.94399999999999995</v>
      </c>
      <c r="I60" s="39">
        <f t="shared" si="42"/>
        <v>31759.935999999998</v>
      </c>
      <c r="J60" s="38">
        <f t="shared" si="33"/>
        <v>31759.936000000002</v>
      </c>
      <c r="K60" s="40">
        <f t="shared" si="43"/>
        <v>0.15745481434334546</v>
      </c>
      <c r="L60" s="22">
        <f t="shared" si="44"/>
        <v>0.14863734474011811</v>
      </c>
      <c r="M60" s="24">
        <f t="shared" si="45"/>
        <v>0.14863734474011814</v>
      </c>
      <c r="N60" s="2"/>
      <c r="O60" s="2"/>
      <c r="P60" s="2"/>
      <c r="Q60" s="2"/>
      <c r="R60" s="2"/>
      <c r="S60" s="2"/>
      <c r="T60" s="2"/>
      <c r="U60" s="56"/>
      <c r="V60" s="56"/>
      <c r="W60" s="110"/>
      <c r="X60" s="118"/>
      <c r="Y60" s="110"/>
      <c r="Z60" s="156">
        <f>Poor!Z60</f>
        <v>0.25</v>
      </c>
      <c r="AA60" s="147">
        <f t="shared" si="38"/>
        <v>7939.9840000000004</v>
      </c>
      <c r="AB60" s="156">
        <f>Poor!AB60</f>
        <v>0.25</v>
      </c>
      <c r="AC60" s="147">
        <f t="shared" si="39"/>
        <v>7939.9840000000004</v>
      </c>
      <c r="AD60" s="156">
        <f>Poor!AD60</f>
        <v>0.25</v>
      </c>
      <c r="AE60" s="147">
        <f t="shared" si="40"/>
        <v>7939.9840000000004</v>
      </c>
      <c r="AF60" s="122">
        <f t="shared" si="31"/>
        <v>0.25</v>
      </c>
      <c r="AG60" s="147">
        <f t="shared" si="34"/>
        <v>7939.9840000000004</v>
      </c>
      <c r="AH60" s="123">
        <f t="shared" si="46"/>
        <v>1</v>
      </c>
      <c r="AI60" s="112">
        <f t="shared" si="46"/>
        <v>31759.936000000002</v>
      </c>
      <c r="AJ60" s="148">
        <f t="shared" si="36"/>
        <v>15879.968000000001</v>
      </c>
      <c r="AK60" s="147">
        <f t="shared" si="37"/>
        <v>15879.968000000001</v>
      </c>
      <c r="AP60" s="25"/>
      <c r="AQ60" s="25"/>
      <c r="AR60" s="25"/>
      <c r="AS60" s="25"/>
      <c r="AT60" s="25"/>
      <c r="AU60" s="25"/>
      <c r="AW60" s="25"/>
      <c r="AX60" s="25"/>
      <c r="AY60" s="25"/>
      <c r="AZ60" s="25"/>
      <c r="BA60" s="25"/>
      <c r="BB60" s="25"/>
      <c r="BF60" s="25"/>
      <c r="BG60" s="25"/>
      <c r="BH60" s="25"/>
      <c r="BI60" s="25"/>
      <c r="BJ60" s="25"/>
      <c r="BK60" s="25"/>
      <c r="BM60" s="25"/>
      <c r="BN60" s="25"/>
      <c r="BO60" s="25"/>
      <c r="BP60" s="25"/>
      <c r="BQ60" s="25"/>
      <c r="BR60" s="25"/>
      <c r="BU60" s="25"/>
      <c r="BV60" s="25"/>
      <c r="BW60" s="25"/>
      <c r="BX60" s="25"/>
      <c r="BY60" s="25"/>
      <c r="BZ60" s="25"/>
      <c r="CB60" s="25"/>
      <c r="CC60" s="25"/>
      <c r="CD60" s="25"/>
      <c r="CE60" s="25"/>
      <c r="CF60" s="25"/>
      <c r="CG60" s="25"/>
    </row>
    <row r="61" spans="1:85" ht="14" customHeight="1">
      <c r="A61" s="85" t="str">
        <f>IF(Poor!A61=0,"",Poor!A61)</f>
        <v>Social development -- see Data2</v>
      </c>
      <c r="B61" s="104">
        <v>7920</v>
      </c>
      <c r="C61" s="104">
        <v>0</v>
      </c>
      <c r="D61" s="38">
        <f t="shared" si="25"/>
        <v>7920</v>
      </c>
      <c r="E61" s="75">
        <f>Middle!E61</f>
        <v>0</v>
      </c>
      <c r="F61" s="75">
        <f>Middle!F61</f>
        <v>1.18</v>
      </c>
      <c r="G61" s="22">
        <f t="shared" si="32"/>
        <v>1.65</v>
      </c>
      <c r="H61" s="24">
        <f t="shared" si="41"/>
        <v>0</v>
      </c>
      <c r="I61" s="39">
        <f t="shared" si="42"/>
        <v>0</v>
      </c>
      <c r="J61" s="38">
        <f t="shared" si="33"/>
        <v>0</v>
      </c>
      <c r="K61" s="40">
        <f t="shared" si="43"/>
        <v>3.7065810533803832E-2</v>
      </c>
      <c r="L61" s="22">
        <f t="shared" si="44"/>
        <v>0</v>
      </c>
      <c r="M61" s="24">
        <f t="shared" si="45"/>
        <v>0</v>
      </c>
      <c r="N61" s="2"/>
      <c r="O61" s="2"/>
      <c r="P61" s="2"/>
      <c r="Q61" s="2"/>
      <c r="R61" s="2"/>
      <c r="S61" s="2"/>
      <c r="T61" s="2"/>
      <c r="U61" s="56"/>
      <c r="V61" s="56"/>
      <c r="W61" s="110"/>
      <c r="X61" s="118"/>
      <c r="Y61" s="110"/>
      <c r="Z61" s="156">
        <f>Poor!Z61</f>
        <v>0.25</v>
      </c>
      <c r="AA61" s="147">
        <f t="shared" si="38"/>
        <v>0</v>
      </c>
      <c r="AB61" s="156">
        <f>Poor!AB61</f>
        <v>0.25</v>
      </c>
      <c r="AC61" s="147">
        <f t="shared" si="39"/>
        <v>0</v>
      </c>
      <c r="AD61" s="156">
        <f>Poor!AD61</f>
        <v>0.25</v>
      </c>
      <c r="AE61" s="147">
        <f t="shared" si="40"/>
        <v>0</v>
      </c>
      <c r="AF61" s="122">
        <f t="shared" si="31"/>
        <v>0.25</v>
      </c>
      <c r="AG61" s="147">
        <f t="shared" si="34"/>
        <v>0</v>
      </c>
      <c r="AH61" s="123">
        <f t="shared" si="46"/>
        <v>1</v>
      </c>
      <c r="AI61" s="112">
        <f t="shared" si="46"/>
        <v>0</v>
      </c>
      <c r="AJ61" s="148">
        <f t="shared" si="36"/>
        <v>0</v>
      </c>
      <c r="AK61" s="147">
        <f t="shared" si="37"/>
        <v>0</v>
      </c>
      <c r="AP61" s="25"/>
      <c r="AQ61" s="25"/>
      <c r="AR61" s="25"/>
      <c r="AS61" s="25"/>
      <c r="AT61" s="25"/>
      <c r="AU61" s="25"/>
      <c r="AW61" s="25"/>
      <c r="AX61" s="25"/>
      <c r="AY61" s="25"/>
      <c r="AZ61" s="25"/>
      <c r="BA61" s="25"/>
      <c r="BB61" s="25"/>
      <c r="BF61" s="25"/>
      <c r="BG61" s="25"/>
      <c r="BH61" s="25"/>
      <c r="BI61" s="25"/>
      <c r="BJ61" s="25"/>
      <c r="BK61" s="25"/>
      <c r="BM61" s="25"/>
      <c r="BN61" s="25"/>
      <c r="BO61" s="25"/>
      <c r="BP61" s="25"/>
      <c r="BQ61" s="25"/>
      <c r="BR61" s="25"/>
      <c r="BU61" s="25"/>
      <c r="BV61" s="25"/>
      <c r="BW61" s="25"/>
      <c r="BX61" s="25"/>
      <c r="BY61" s="25"/>
      <c r="BZ61" s="25"/>
      <c r="CB61" s="25"/>
      <c r="CC61" s="25"/>
      <c r="CD61" s="25"/>
      <c r="CE61" s="25"/>
      <c r="CF61" s="25"/>
      <c r="CG61" s="25"/>
    </row>
    <row r="62" spans="1:85" ht="14" customHeight="1">
      <c r="A62" s="85" t="str">
        <f>IF(Poor!A62=0,"",Poor!A62)</f>
        <v>Public works -- see Data2</v>
      </c>
      <c r="B62" s="104">
        <v>0</v>
      </c>
      <c r="C62" s="104">
        <v>0</v>
      </c>
      <c r="D62" s="38">
        <f t="shared" si="25"/>
        <v>0</v>
      </c>
      <c r="E62" s="75">
        <f>Middle!E62</f>
        <v>1</v>
      </c>
      <c r="F62" s="75">
        <f>Middle!F62</f>
        <v>1.18</v>
      </c>
      <c r="G62" s="22">
        <f t="shared" si="32"/>
        <v>1.65</v>
      </c>
      <c r="H62" s="24">
        <f t="shared" si="41"/>
        <v>1.18</v>
      </c>
      <c r="I62" s="39">
        <f t="shared" si="42"/>
        <v>0</v>
      </c>
      <c r="J62" s="38">
        <f t="shared" si="33"/>
        <v>0</v>
      </c>
      <c r="K62" s="40">
        <f t="shared" si="43"/>
        <v>0</v>
      </c>
      <c r="L62" s="22">
        <f t="shared" si="44"/>
        <v>0</v>
      </c>
      <c r="M62" s="24">
        <f t="shared" si="45"/>
        <v>0</v>
      </c>
      <c r="N62" s="2"/>
      <c r="O62" s="2"/>
      <c r="P62" s="2"/>
      <c r="Q62" s="2"/>
      <c r="R62" s="2"/>
      <c r="S62" s="2"/>
      <c r="T62" s="2"/>
      <c r="U62" s="56"/>
      <c r="V62" s="56"/>
      <c r="W62" s="110"/>
      <c r="X62" s="118"/>
      <c r="Y62" s="110"/>
      <c r="Z62" s="156">
        <f>Poor!Z62</f>
        <v>0.25</v>
      </c>
      <c r="AA62" s="147">
        <f t="shared" si="38"/>
        <v>0</v>
      </c>
      <c r="AB62" s="156">
        <f>Poor!AB62</f>
        <v>0.25</v>
      </c>
      <c r="AC62" s="147">
        <f t="shared" si="39"/>
        <v>0</v>
      </c>
      <c r="AD62" s="156">
        <f>Poor!AD62</f>
        <v>0.25</v>
      </c>
      <c r="AE62" s="147">
        <f t="shared" si="40"/>
        <v>0</v>
      </c>
      <c r="AF62" s="122">
        <f t="shared" si="31"/>
        <v>0.25</v>
      </c>
      <c r="AG62" s="147">
        <f t="shared" si="34"/>
        <v>0</v>
      </c>
      <c r="AH62" s="123">
        <f t="shared" si="46"/>
        <v>1</v>
      </c>
      <c r="AI62" s="112">
        <f t="shared" si="46"/>
        <v>0</v>
      </c>
      <c r="AJ62" s="148">
        <f t="shared" si="36"/>
        <v>0</v>
      </c>
      <c r="AK62" s="147">
        <f t="shared" si="37"/>
        <v>0</v>
      </c>
      <c r="AP62" s="25"/>
      <c r="AQ62" s="25"/>
      <c r="AR62" s="25"/>
      <c r="AS62" s="25"/>
      <c r="AT62" s="25"/>
      <c r="AU62" s="25"/>
      <c r="AW62" s="25"/>
      <c r="AX62" s="25"/>
      <c r="AY62" s="25"/>
      <c r="AZ62" s="25"/>
      <c r="BA62" s="25"/>
      <c r="BB62" s="25"/>
      <c r="BF62" s="25"/>
      <c r="BG62" s="25"/>
      <c r="BH62" s="25"/>
      <c r="BI62" s="25"/>
      <c r="BJ62" s="25"/>
      <c r="BK62" s="25"/>
      <c r="BM62" s="25"/>
      <c r="BN62" s="25"/>
      <c r="BO62" s="25"/>
      <c r="BP62" s="25"/>
      <c r="BQ62" s="25"/>
      <c r="BR62" s="25"/>
      <c r="BU62" s="25"/>
      <c r="BV62" s="25"/>
      <c r="BW62" s="25"/>
      <c r="BX62" s="25"/>
      <c r="BY62" s="25"/>
      <c r="BZ62" s="25"/>
      <c r="CB62" s="25"/>
      <c r="CC62" s="25"/>
      <c r="CD62" s="25"/>
      <c r="CE62" s="25"/>
      <c r="CF62" s="25"/>
      <c r="CG62" s="25"/>
    </row>
    <row r="63" spans="1:85" ht="14" customHeight="1">
      <c r="A63" s="85" t="str">
        <f>IF(Poor!A63=0,"",Poor!A63)</f>
        <v>Other income: e.g. Credit (cotton loans)</v>
      </c>
      <c r="B63" s="104">
        <v>2160</v>
      </c>
      <c r="C63" s="104">
        <v>0</v>
      </c>
      <c r="D63" s="38">
        <f t="shared" si="25"/>
        <v>2160</v>
      </c>
      <c r="E63" s="75">
        <f>Middle!E63</f>
        <v>1</v>
      </c>
      <c r="F63" s="75">
        <f>Middle!F63</f>
        <v>1</v>
      </c>
      <c r="G63" s="22">
        <f t="shared" si="32"/>
        <v>1.65</v>
      </c>
      <c r="H63" s="24">
        <f t="shared" si="41"/>
        <v>1</v>
      </c>
      <c r="I63" s="39">
        <f t="shared" si="42"/>
        <v>2160</v>
      </c>
      <c r="J63" s="38">
        <f t="shared" si="33"/>
        <v>2160</v>
      </c>
      <c r="K63" s="40">
        <f t="shared" si="43"/>
        <v>1.0108857418310135E-2</v>
      </c>
      <c r="L63" s="22">
        <f t="shared" si="44"/>
        <v>1.0108857418310135E-2</v>
      </c>
      <c r="M63" s="24">
        <f t="shared" si="45"/>
        <v>1.0108857418310135E-2</v>
      </c>
      <c r="N63" s="2"/>
      <c r="O63" s="2"/>
      <c r="P63" s="2"/>
      <c r="Q63" s="2"/>
      <c r="R63" s="2"/>
      <c r="S63" s="2"/>
      <c r="T63" s="2"/>
      <c r="U63" s="56"/>
      <c r="V63" s="56"/>
      <c r="W63" s="110"/>
      <c r="X63" s="118"/>
      <c r="Y63" s="110"/>
      <c r="Z63" s="156">
        <f>Poor!Z63</f>
        <v>0.25</v>
      </c>
      <c r="AA63" s="147">
        <f t="shared" si="38"/>
        <v>540</v>
      </c>
      <c r="AB63" s="156">
        <f>Poor!AB63</f>
        <v>0.25</v>
      </c>
      <c r="AC63" s="147">
        <f t="shared" si="39"/>
        <v>540</v>
      </c>
      <c r="AD63" s="156">
        <f>Poor!AD63</f>
        <v>0.25</v>
      </c>
      <c r="AE63" s="147">
        <f t="shared" si="40"/>
        <v>540</v>
      </c>
      <c r="AF63" s="122">
        <f t="shared" si="31"/>
        <v>0.25</v>
      </c>
      <c r="AG63" s="147">
        <f t="shared" si="34"/>
        <v>540</v>
      </c>
      <c r="AH63" s="123">
        <f t="shared" si="46"/>
        <v>1</v>
      </c>
      <c r="AI63" s="112">
        <f t="shared" si="46"/>
        <v>2160</v>
      </c>
      <c r="AJ63" s="148">
        <f t="shared" si="36"/>
        <v>1080</v>
      </c>
      <c r="AK63" s="147">
        <f t="shared" si="37"/>
        <v>1080</v>
      </c>
      <c r="AP63" s="25"/>
      <c r="AQ63" s="25"/>
      <c r="AR63" s="25"/>
      <c r="AS63" s="25"/>
      <c r="AT63" s="25"/>
      <c r="AU63" s="25"/>
      <c r="AW63" s="25"/>
      <c r="AX63" s="25"/>
      <c r="AY63" s="25"/>
      <c r="AZ63" s="25"/>
      <c r="BA63" s="25"/>
      <c r="BB63" s="25"/>
      <c r="BF63" s="25"/>
      <c r="BG63" s="25"/>
      <c r="BH63" s="25"/>
      <c r="BI63" s="25"/>
      <c r="BJ63" s="25"/>
      <c r="BK63" s="25"/>
      <c r="BM63" s="25"/>
      <c r="BN63" s="25"/>
      <c r="BO63" s="25"/>
      <c r="BP63" s="25"/>
      <c r="BQ63" s="25"/>
      <c r="BR63" s="25"/>
      <c r="BU63" s="25"/>
      <c r="BV63" s="25"/>
      <c r="BW63" s="25"/>
      <c r="BX63" s="25"/>
      <c r="BY63" s="25"/>
      <c r="BZ63" s="25"/>
      <c r="CB63" s="25"/>
      <c r="CC63" s="25"/>
      <c r="CD63" s="25"/>
      <c r="CE63" s="25"/>
      <c r="CF63" s="25"/>
      <c r="CG63" s="25"/>
    </row>
    <row r="64" spans="1:85" ht="14" customHeight="1">
      <c r="A64" s="85" t="str">
        <f>IF(Poor!A64=0,"",Poor!A64)</f>
        <v>Remittances: no. times per year</v>
      </c>
      <c r="B64" s="104">
        <v>4000</v>
      </c>
      <c r="C64" s="104">
        <v>0</v>
      </c>
      <c r="D64" s="38">
        <f t="shared" si="25"/>
        <v>4000</v>
      </c>
      <c r="E64" s="75">
        <f>Middle!E64</f>
        <v>1</v>
      </c>
      <c r="F64" s="75">
        <f>Middle!F64</f>
        <v>1.1100000000000001</v>
      </c>
      <c r="G64" s="22">
        <f t="shared" si="32"/>
        <v>1.65</v>
      </c>
      <c r="H64" s="24">
        <f t="shared" si="41"/>
        <v>1.1100000000000001</v>
      </c>
      <c r="I64" s="39">
        <f t="shared" si="42"/>
        <v>4440</v>
      </c>
      <c r="J64" s="38">
        <f t="shared" si="33"/>
        <v>4440.0000000000009</v>
      </c>
      <c r="K64" s="40">
        <f t="shared" si="43"/>
        <v>1.8720106330203955E-2</v>
      </c>
      <c r="L64" s="22">
        <f t="shared" si="44"/>
        <v>2.077931802652639E-2</v>
      </c>
      <c r="M64" s="24">
        <f t="shared" si="45"/>
        <v>2.0779318026526394E-2</v>
      </c>
      <c r="N64" s="2"/>
      <c r="O64" s="2"/>
      <c r="P64" s="2"/>
      <c r="Q64" s="2"/>
      <c r="R64" s="2"/>
      <c r="S64" s="2"/>
      <c r="T64" s="2"/>
      <c r="U64" s="56"/>
      <c r="V64" s="56"/>
      <c r="W64" s="110"/>
      <c r="X64" s="118"/>
      <c r="Y64" s="110"/>
      <c r="Z64" s="156">
        <f>Poor!Z64</f>
        <v>0.25</v>
      </c>
      <c r="AA64" s="149">
        <f t="shared" si="38"/>
        <v>1110.0000000000002</v>
      </c>
      <c r="AB64" s="156">
        <f>Poor!AB64</f>
        <v>0.25</v>
      </c>
      <c r="AC64" s="149">
        <f t="shared" si="39"/>
        <v>1110.0000000000002</v>
      </c>
      <c r="AD64" s="156">
        <f>Poor!AD64</f>
        <v>0.25</v>
      </c>
      <c r="AE64" s="149">
        <f t="shared" si="40"/>
        <v>1110.0000000000002</v>
      </c>
      <c r="AF64" s="150">
        <f t="shared" si="31"/>
        <v>0.25</v>
      </c>
      <c r="AG64" s="149">
        <f t="shared" si="34"/>
        <v>1110.0000000000002</v>
      </c>
      <c r="AH64" s="123">
        <f t="shared" si="46"/>
        <v>1</v>
      </c>
      <c r="AI64" s="112">
        <f t="shared" si="46"/>
        <v>4440.0000000000009</v>
      </c>
      <c r="AJ64" s="151">
        <f t="shared" si="36"/>
        <v>2220.0000000000005</v>
      </c>
      <c r="AK64" s="149">
        <f t="shared" si="37"/>
        <v>2220.0000000000005</v>
      </c>
      <c r="AP64" s="25"/>
      <c r="AQ64" s="25"/>
      <c r="AR64" s="25"/>
      <c r="AS64" s="25"/>
      <c r="AT64" s="25"/>
      <c r="AU64" s="25"/>
      <c r="AW64" s="25"/>
      <c r="AX64" s="25"/>
      <c r="AY64" s="25"/>
      <c r="AZ64" s="25"/>
      <c r="BA64" s="25"/>
      <c r="BB64" s="25"/>
      <c r="BF64" s="25"/>
      <c r="BG64" s="25"/>
      <c r="BH64" s="25"/>
      <c r="BI64" s="25"/>
      <c r="BJ64" s="25"/>
      <c r="BK64" s="25"/>
      <c r="BM64" s="25"/>
      <c r="BN64" s="25"/>
      <c r="BO64" s="25"/>
      <c r="BP64" s="25"/>
      <c r="BQ64" s="25"/>
      <c r="BR64" s="25"/>
      <c r="BU64" s="25"/>
      <c r="BV64" s="25"/>
      <c r="BW64" s="25"/>
      <c r="BX64" s="25"/>
      <c r="BY64" s="25"/>
      <c r="BZ64" s="25"/>
      <c r="CB64" s="25"/>
      <c r="CC64" s="25"/>
      <c r="CD64" s="25"/>
      <c r="CE64" s="25"/>
      <c r="CF64" s="25"/>
      <c r="CG64" s="25"/>
    </row>
    <row r="65" spans="1:88" ht="14" customHeight="1">
      <c r="A65" s="39" t="s">
        <v>32</v>
      </c>
      <c r="B65" s="39">
        <f>SUM(B37:B64)</f>
        <v>213674</v>
      </c>
      <c r="C65" s="39">
        <f>SUM(C37:C64)</f>
        <v>-9925</v>
      </c>
      <c r="D65" s="42">
        <f>SUM(D37:D64)</f>
        <v>203749</v>
      </c>
      <c r="E65" s="32"/>
      <c r="F65" s="32"/>
      <c r="G65" s="32"/>
      <c r="H65" s="31"/>
      <c r="I65" s="39">
        <f>SUM(I37:I64)</f>
        <v>191010.23599999998</v>
      </c>
      <c r="J65" s="39">
        <f>SUM(J37:J64)</f>
        <v>205967.76581828343</v>
      </c>
      <c r="K65" s="40">
        <f>SUM(K37:K64)</f>
        <v>1</v>
      </c>
      <c r="L65" s="22">
        <f>SUM(L37:L64)</f>
        <v>0.96243172309218716</v>
      </c>
      <c r="M65" s="24">
        <f>SUM(M37:M64)</f>
        <v>0.96393461917820356</v>
      </c>
      <c r="N65" s="2"/>
      <c r="O65" s="2"/>
      <c r="P65" s="2"/>
      <c r="Q65" s="2"/>
      <c r="R65" s="2"/>
      <c r="S65" s="2"/>
      <c r="T65" s="2"/>
      <c r="U65" s="56"/>
      <c r="V65" s="56"/>
      <c r="W65" s="110"/>
      <c r="X65" s="152"/>
      <c r="Y65" s="110"/>
      <c r="Z65" s="137"/>
      <c r="AA65" s="153">
        <f>SUM(AA37:AA64)</f>
        <v>46527.440642375353</v>
      </c>
      <c r="AB65" s="137"/>
      <c r="AC65" s="153">
        <f>SUM(AC37:AC64)</f>
        <v>45897.347849351572</v>
      </c>
      <c r="AD65" s="137"/>
      <c r="AE65" s="153">
        <f>SUM(AE37:AE64)</f>
        <v>40904.2008060144</v>
      </c>
      <c r="AF65" s="137"/>
      <c r="AG65" s="153">
        <f>SUM(AG37:AG64)</f>
        <v>51870.776520542131</v>
      </c>
      <c r="AH65" s="137"/>
      <c r="AI65" s="153">
        <f>SUM(AI37:AI64)</f>
        <v>185199.76581828343</v>
      </c>
      <c r="AJ65" s="153">
        <f>SUM(AJ37:AJ64)</f>
        <v>92424.788491726911</v>
      </c>
      <c r="AK65" s="153">
        <f>SUM(AK37:AK64)</f>
        <v>92774.977326556545</v>
      </c>
      <c r="AP65" s="25"/>
      <c r="AQ65" s="25"/>
      <c r="AR65" s="25"/>
      <c r="AS65" s="25"/>
      <c r="AT65" s="25"/>
      <c r="AU65" s="25"/>
      <c r="AW65" s="25"/>
      <c r="AX65" s="25"/>
      <c r="AY65" s="25"/>
      <c r="AZ65" s="25"/>
      <c r="BA65" s="25"/>
      <c r="BB65" s="25"/>
      <c r="BF65" s="25"/>
      <c r="BG65" s="25"/>
      <c r="BH65" s="25"/>
      <c r="BI65" s="25"/>
      <c r="BJ65" s="25"/>
      <c r="BK65" s="25"/>
      <c r="BM65" s="25"/>
      <c r="BN65" s="25"/>
      <c r="BO65" s="25"/>
      <c r="BP65" s="25"/>
      <c r="BQ65" s="25"/>
      <c r="BR65" s="25"/>
      <c r="BU65" s="25"/>
      <c r="BV65" s="25"/>
      <c r="BW65" s="25"/>
      <c r="BX65" s="25"/>
      <c r="BY65" s="25"/>
      <c r="BZ65" s="25"/>
      <c r="CB65" s="25"/>
      <c r="CC65" s="25"/>
      <c r="CD65" s="25"/>
      <c r="CE65" s="25"/>
      <c r="CF65" s="25"/>
      <c r="CG65" s="25"/>
    </row>
    <row r="66" spans="1:88" ht="13.5" customHeight="1">
      <c r="A66" s="78"/>
      <c r="B66" s="78"/>
      <c r="C66" s="78"/>
      <c r="D66" s="44"/>
      <c r="E66" s="14"/>
      <c r="F66" s="14"/>
      <c r="G66" s="14"/>
      <c r="H66" s="44"/>
      <c r="I66" s="14"/>
      <c r="J66" s="44"/>
      <c r="K66" s="45"/>
      <c r="L66" s="11"/>
      <c r="M66" s="10"/>
      <c r="N66" s="2"/>
      <c r="O66" s="2"/>
      <c r="P66" s="2"/>
      <c r="Q66" s="2"/>
      <c r="R66" s="2"/>
      <c r="S66" s="2"/>
      <c r="T66" s="2"/>
      <c r="U66" s="56"/>
      <c r="V66" s="56"/>
      <c r="W66" s="110"/>
      <c r="X66" s="118"/>
      <c r="Y66" s="110"/>
      <c r="Z66" s="143"/>
      <c r="AA66" s="154"/>
      <c r="AB66" s="143"/>
      <c r="AC66" s="154"/>
      <c r="AD66" s="143"/>
      <c r="AE66" s="154"/>
      <c r="AF66" s="143"/>
      <c r="AG66" s="154"/>
      <c r="AH66" s="143"/>
      <c r="AI66" s="154"/>
      <c r="AJ66" s="143"/>
      <c r="AK66" s="144"/>
      <c r="AP66" s="25"/>
      <c r="AQ66" s="25"/>
      <c r="AR66" s="25"/>
      <c r="AS66" s="25"/>
      <c r="AT66" s="25"/>
      <c r="AU66" s="25"/>
      <c r="AW66" s="25"/>
      <c r="AX66" s="25"/>
      <c r="AY66" s="25"/>
      <c r="AZ66" s="25"/>
      <c r="BA66" s="25"/>
      <c r="BB66" s="25"/>
      <c r="BF66" s="25"/>
      <c r="BG66" s="25"/>
      <c r="BH66" s="25"/>
      <c r="BI66" s="25"/>
      <c r="BJ66" s="25"/>
      <c r="BK66" s="25"/>
      <c r="BM66" s="25"/>
      <c r="BN66" s="25"/>
      <c r="BO66" s="25"/>
      <c r="BP66" s="25"/>
      <c r="BQ66" s="25"/>
      <c r="BR66" s="25"/>
      <c r="BU66" s="25"/>
      <c r="BV66" s="25"/>
      <c r="BW66" s="25"/>
      <c r="BX66" s="25"/>
      <c r="BY66" s="25"/>
      <c r="BZ66" s="25"/>
      <c r="CB66" s="25"/>
      <c r="CC66" s="25"/>
      <c r="CD66" s="25"/>
      <c r="CE66" s="25"/>
      <c r="CF66" s="25"/>
      <c r="CG66" s="25"/>
    </row>
    <row r="67" spans="1:88" ht="15.75" customHeight="1">
      <c r="A67" s="73" t="s">
        <v>51</v>
      </c>
      <c r="B67" s="39"/>
      <c r="C67" s="39"/>
      <c r="D67" s="38"/>
      <c r="E67" s="32"/>
      <c r="F67" s="32"/>
      <c r="G67" s="32"/>
      <c r="H67" s="31"/>
      <c r="I67" s="47"/>
      <c r="J67" s="48"/>
      <c r="K67" s="34" t="s">
        <v>34</v>
      </c>
      <c r="L67" s="2"/>
      <c r="M67" s="31"/>
      <c r="N67" s="2"/>
      <c r="O67" s="2"/>
      <c r="P67" s="2"/>
      <c r="Q67" s="2"/>
      <c r="R67" s="2"/>
      <c r="S67" s="2"/>
      <c r="T67" s="2"/>
      <c r="U67" s="56"/>
      <c r="V67" s="56"/>
      <c r="W67" s="110"/>
      <c r="X67" s="118"/>
      <c r="Y67" s="110"/>
      <c r="Z67" s="145"/>
      <c r="AA67" s="147"/>
      <c r="AB67" s="145"/>
      <c r="AC67" s="147"/>
      <c r="AD67" s="145"/>
      <c r="AE67" s="147"/>
      <c r="AF67" s="145"/>
      <c r="AG67" s="147"/>
      <c r="AH67" s="145"/>
      <c r="AI67" s="147"/>
      <c r="AJ67" s="145"/>
      <c r="AK67" s="146"/>
      <c r="AP67" s="25"/>
      <c r="AQ67" s="25"/>
      <c r="AR67" s="25"/>
      <c r="AS67" s="25"/>
      <c r="AT67" s="25"/>
      <c r="AU67" s="25"/>
      <c r="AW67" s="25"/>
      <c r="AX67" s="25"/>
      <c r="AY67" s="25"/>
      <c r="AZ67" s="25"/>
      <c r="BA67" s="25"/>
      <c r="BB67" s="25"/>
      <c r="BF67" s="25"/>
      <c r="BG67" s="25"/>
      <c r="BH67" s="25"/>
      <c r="BI67" s="25"/>
      <c r="BJ67" s="25"/>
      <c r="BK67" s="25"/>
      <c r="BM67" s="25"/>
      <c r="BN67" s="25"/>
      <c r="BO67" s="25"/>
      <c r="BP67" s="25"/>
      <c r="BQ67" s="25"/>
      <c r="BR67" s="25"/>
      <c r="BU67" s="25"/>
      <c r="BV67" s="25"/>
      <c r="BW67" s="25"/>
      <c r="BX67" s="25"/>
      <c r="BY67" s="25"/>
      <c r="BZ67" s="25"/>
      <c r="CB67" s="25"/>
      <c r="CC67" s="25"/>
      <c r="CD67" s="25"/>
      <c r="CE67" s="25"/>
      <c r="CF67" s="25"/>
      <c r="CG67" s="25"/>
    </row>
    <row r="68" spans="1:88" ht="14" customHeight="1">
      <c r="A68" s="79"/>
      <c r="B68" s="80" t="s">
        <v>7</v>
      </c>
      <c r="C68" s="39"/>
      <c r="D68" s="50"/>
      <c r="E68" s="19" t="s">
        <v>10</v>
      </c>
      <c r="F68" s="2" t="s">
        <v>28</v>
      </c>
      <c r="G68" s="2"/>
      <c r="H68" s="16" t="s">
        <v>12</v>
      </c>
      <c r="I68" s="19" t="s">
        <v>13</v>
      </c>
      <c r="J68" s="16" t="s">
        <v>14</v>
      </c>
      <c r="K68" s="37" t="s">
        <v>7</v>
      </c>
      <c r="L68" s="19" t="s">
        <v>15</v>
      </c>
      <c r="M68" s="16" t="s">
        <v>14</v>
      </c>
      <c r="N68" s="2"/>
      <c r="O68" s="2"/>
      <c r="P68" s="2"/>
      <c r="Q68" s="2"/>
      <c r="R68" s="2"/>
      <c r="S68" s="2"/>
      <c r="T68" s="2"/>
      <c r="U68" s="56"/>
      <c r="V68" s="56"/>
      <c r="W68" s="112"/>
      <c r="X68" s="118"/>
      <c r="Y68" s="110"/>
      <c r="Z68" s="145"/>
      <c r="AA68" s="147"/>
      <c r="AB68" s="145"/>
      <c r="AC68" s="147"/>
      <c r="AD68" s="145"/>
      <c r="AE68" s="147"/>
      <c r="AF68" s="145"/>
      <c r="AG68" s="147"/>
      <c r="AH68" s="145"/>
      <c r="AI68" s="147"/>
      <c r="AJ68" s="145"/>
      <c r="AK68" s="146"/>
      <c r="AP68" s="25"/>
      <c r="AQ68" s="25"/>
      <c r="AR68" s="25"/>
      <c r="AS68" s="25"/>
      <c r="AT68" s="25"/>
      <c r="AU68" s="25"/>
      <c r="AW68" s="25"/>
      <c r="AX68" s="25"/>
      <c r="AY68" s="25"/>
      <c r="AZ68" s="25"/>
      <c r="BA68" s="25"/>
      <c r="BB68" s="25"/>
      <c r="BF68" s="25"/>
      <c r="BG68" s="25"/>
      <c r="BH68" s="25"/>
      <c r="BI68" s="25"/>
      <c r="BJ68" s="25"/>
      <c r="BK68" s="25"/>
      <c r="BM68" s="25"/>
      <c r="BN68" s="25"/>
      <c r="BO68" s="25"/>
      <c r="BP68" s="25"/>
      <c r="BQ68" s="25"/>
      <c r="BR68" s="25"/>
      <c r="BU68" s="25"/>
      <c r="BV68" s="25"/>
      <c r="BW68" s="25"/>
      <c r="BX68" s="25"/>
      <c r="BY68" s="25"/>
      <c r="BZ68" s="25"/>
      <c r="CB68" s="25"/>
      <c r="CC68" s="25"/>
      <c r="CD68" s="25"/>
      <c r="CE68" s="25"/>
      <c r="CF68" s="25"/>
      <c r="CG68" s="25"/>
    </row>
    <row r="69" spans="1:88" ht="14" customHeight="1">
      <c r="A69" s="39" t="s">
        <v>30</v>
      </c>
      <c r="B69" s="80" t="s">
        <v>35</v>
      </c>
      <c r="C69" s="39"/>
      <c r="D69" s="38"/>
      <c r="E69" s="19" t="s">
        <v>18</v>
      </c>
      <c r="F69" s="2" t="s">
        <v>31</v>
      </c>
      <c r="G69" s="2"/>
      <c r="H69" s="16" t="s">
        <v>18</v>
      </c>
      <c r="I69" s="19" t="s">
        <v>35</v>
      </c>
      <c r="J69" s="16" t="s">
        <v>35</v>
      </c>
      <c r="K69" s="37" t="s">
        <v>35</v>
      </c>
      <c r="L69" s="19" t="s">
        <v>19</v>
      </c>
      <c r="M69" s="16" t="s">
        <v>35</v>
      </c>
      <c r="N69" s="2"/>
      <c r="O69" s="2"/>
      <c r="P69" s="2"/>
      <c r="Q69" s="2"/>
      <c r="R69" s="2"/>
      <c r="S69" s="2"/>
      <c r="T69" s="2"/>
      <c r="U69" s="56"/>
      <c r="V69" s="56"/>
      <c r="W69" s="110"/>
      <c r="X69" s="118"/>
      <c r="Y69" s="110"/>
      <c r="Z69" s="145"/>
      <c r="AA69" s="147"/>
      <c r="AB69" s="145"/>
      <c r="AC69" s="147"/>
      <c r="AD69" s="145"/>
      <c r="AE69" s="147"/>
      <c r="AF69" s="145"/>
      <c r="AG69" s="147"/>
      <c r="AH69" s="145"/>
      <c r="AI69" s="147"/>
      <c r="AJ69" s="145"/>
      <c r="AK69" s="146"/>
      <c r="AP69" s="25"/>
      <c r="AQ69" s="25"/>
      <c r="AR69" s="25"/>
      <c r="AS69" s="25"/>
      <c r="AT69" s="25"/>
      <c r="AU69" s="25"/>
      <c r="AW69" s="25"/>
      <c r="AX69" s="25"/>
      <c r="AY69" s="25"/>
      <c r="AZ69" s="25"/>
      <c r="BA69" s="25"/>
      <c r="BB69" s="25"/>
      <c r="BF69" s="25"/>
      <c r="BG69" s="25"/>
      <c r="BH69" s="25"/>
      <c r="BI69" s="25"/>
      <c r="BJ69" s="25"/>
      <c r="BK69" s="25"/>
      <c r="BM69" s="25"/>
      <c r="BN69" s="25"/>
      <c r="BO69" s="25"/>
      <c r="BP69" s="25"/>
      <c r="BQ69" s="25"/>
      <c r="BR69" s="25"/>
      <c r="BU69" s="25"/>
      <c r="BV69" s="25"/>
      <c r="BW69" s="25"/>
      <c r="BX69" s="25"/>
      <c r="BY69" s="25"/>
      <c r="BZ69" s="25"/>
      <c r="CB69" s="25"/>
      <c r="CC69" s="25"/>
      <c r="CD69" s="25"/>
      <c r="CE69" s="25"/>
      <c r="CF69" s="25"/>
      <c r="CG69" s="25"/>
    </row>
    <row r="70" spans="1:88" ht="14" customHeight="1">
      <c r="A70" s="110" t="s">
        <v>131</v>
      </c>
      <c r="B70" s="104">
        <v>17072.018222894865</v>
      </c>
      <c r="C70" s="39"/>
      <c r="D70" s="38"/>
      <c r="E70" s="75">
        <f>Middle!E70</f>
        <v>1</v>
      </c>
      <c r="F70" s="75">
        <f>Middle!F70</f>
        <v>1.4</v>
      </c>
      <c r="G70" s="22"/>
      <c r="H70" s="24">
        <f>(E70*F70)</f>
        <v>1.4</v>
      </c>
      <c r="I70" s="39">
        <f>I124*I$83</f>
        <v>23900.825512052812</v>
      </c>
      <c r="J70" s="51">
        <f>J124*I$83</f>
        <v>23900.825512052812</v>
      </c>
      <c r="K70" s="40">
        <f>B70/B$76</f>
        <v>7.9897499100942862E-2</v>
      </c>
      <c r="L70" s="22">
        <f>(L124*G$37*F$9/F$7)/B$130</f>
        <v>0.11185649874132002</v>
      </c>
      <c r="M70" s="24">
        <f>J70/B$76</f>
        <v>0.11185649874132</v>
      </c>
      <c r="N70" s="2"/>
      <c r="O70" s="2"/>
      <c r="P70" s="2"/>
      <c r="Q70" s="2"/>
      <c r="R70" s="2"/>
      <c r="S70" s="2"/>
      <c r="T70" s="2"/>
      <c r="U70" s="56"/>
      <c r="V70" s="56"/>
      <c r="W70" s="110"/>
      <c r="X70" s="118"/>
      <c r="Y70" s="110"/>
      <c r="Z70" s="156">
        <f>Poor!Z70</f>
        <v>0.25</v>
      </c>
      <c r="AA70" s="147">
        <f>$J70*Z70</f>
        <v>5975.206378013203</v>
      </c>
      <c r="AB70" s="156">
        <f>Poor!AB70</f>
        <v>0.25</v>
      </c>
      <c r="AC70" s="147">
        <f>$J70*AB70</f>
        <v>5975.206378013203</v>
      </c>
      <c r="AD70" s="156">
        <f>Poor!AD70</f>
        <v>0.25</v>
      </c>
      <c r="AE70" s="147">
        <f>$J70*AD70</f>
        <v>5975.206378013203</v>
      </c>
      <c r="AF70" s="156">
        <f>Poor!AF70</f>
        <v>0.25</v>
      </c>
      <c r="AG70" s="147">
        <f>$J70*AF70</f>
        <v>5975.206378013203</v>
      </c>
      <c r="AH70" s="155">
        <f>SUM(Z70,AB70,AD70,AF70)</f>
        <v>1</v>
      </c>
      <c r="AI70" s="147">
        <f>SUM(AA70,AC70,AE70,AG70)</f>
        <v>23900.825512052812</v>
      </c>
      <c r="AJ70" s="148">
        <f>(AA70+AC70)</f>
        <v>11950.412756026406</v>
      </c>
      <c r="AK70" s="147">
        <f>(AE70+AG70)</f>
        <v>11950.412756026406</v>
      </c>
      <c r="AP70" s="25"/>
      <c r="AQ70" s="25"/>
      <c r="AR70" s="25"/>
      <c r="AS70" s="25"/>
      <c r="AT70" s="25"/>
      <c r="AU70" s="25"/>
      <c r="AW70" s="25"/>
      <c r="AX70" s="25"/>
      <c r="AY70" s="25"/>
      <c r="AZ70" s="25"/>
      <c r="BA70" s="25"/>
      <c r="BB70" s="25"/>
      <c r="BF70" s="25"/>
      <c r="BG70" s="25"/>
      <c r="BH70" s="25"/>
      <c r="BI70" s="25"/>
      <c r="BJ70" s="25"/>
      <c r="BK70" s="25"/>
      <c r="BM70" s="25"/>
      <c r="BN70" s="25"/>
      <c r="BO70" s="25"/>
      <c r="BP70" s="25"/>
      <c r="BQ70" s="25"/>
      <c r="BR70" s="25"/>
      <c r="BU70" s="25"/>
      <c r="BV70" s="25"/>
      <c r="BW70" s="25"/>
      <c r="BX70" s="25"/>
      <c r="BY70" s="25"/>
      <c r="BZ70" s="25"/>
      <c r="CB70" s="25"/>
      <c r="CC70" s="25"/>
      <c r="CD70" s="25"/>
      <c r="CE70" s="25"/>
      <c r="CF70" s="25"/>
      <c r="CG70" s="25"/>
    </row>
    <row r="71" spans="1:88" ht="14" customHeight="1">
      <c r="A71" s="110" t="s">
        <v>132</v>
      </c>
      <c r="B71" s="104">
        <v>14413.777777777781</v>
      </c>
      <c r="C71" s="39"/>
      <c r="D71" s="38"/>
      <c r="E71" s="75">
        <f>Middle!E71</f>
        <v>1</v>
      </c>
      <c r="F71" s="75">
        <f>Middle!F71</f>
        <v>1.18</v>
      </c>
      <c r="G71" s="22"/>
      <c r="H71" s="24">
        <f t="shared" ref="H71:H72" si="47">(E71*F71)</f>
        <v>1.18</v>
      </c>
      <c r="I71" s="39">
        <f t="shared" ref="I71:I72" si="48">I125*I$83</f>
        <v>17008.257777777784</v>
      </c>
      <c r="J71" s="51">
        <f t="shared" ref="J71:J72" si="49">J125*I$83</f>
        <v>17008.257777777784</v>
      </c>
      <c r="K71" s="40"/>
      <c r="L71" s="22"/>
      <c r="M71" s="24"/>
      <c r="N71" s="2"/>
      <c r="O71" s="2"/>
      <c r="P71" s="2"/>
      <c r="Q71" s="2"/>
      <c r="R71" s="2"/>
      <c r="S71" s="2"/>
      <c r="T71" s="2"/>
      <c r="U71" s="56"/>
      <c r="V71" s="56"/>
      <c r="W71" s="110"/>
      <c r="X71" s="118"/>
      <c r="Y71" s="110"/>
      <c r="Z71" s="156"/>
      <c r="AA71" s="147"/>
      <c r="AB71" s="156"/>
      <c r="AC71" s="147"/>
      <c r="AD71" s="156"/>
      <c r="AE71" s="147"/>
      <c r="AF71" s="156"/>
      <c r="AG71" s="147"/>
      <c r="AH71" s="155"/>
      <c r="AI71" s="147"/>
      <c r="AJ71" s="148"/>
      <c r="AK71" s="147"/>
      <c r="AP71" s="25"/>
      <c r="AQ71" s="25"/>
      <c r="AR71" s="25"/>
      <c r="AS71" s="25"/>
      <c r="AT71" s="25"/>
      <c r="AU71" s="25"/>
      <c r="AW71" s="25"/>
      <c r="AX71" s="25"/>
      <c r="AY71" s="25"/>
      <c r="AZ71" s="25"/>
      <c r="BA71" s="25"/>
      <c r="BB71" s="25"/>
      <c r="BF71" s="25"/>
      <c r="BG71" s="25"/>
      <c r="BH71" s="25"/>
      <c r="BI71" s="25"/>
      <c r="BJ71" s="25"/>
      <c r="BK71" s="25"/>
      <c r="BM71" s="25"/>
      <c r="BN71" s="25"/>
      <c r="BO71" s="25"/>
      <c r="BP71" s="25"/>
      <c r="BQ71" s="25"/>
      <c r="BR71" s="25"/>
      <c r="BU71" s="25"/>
      <c r="BV71" s="25"/>
      <c r="BW71" s="25"/>
      <c r="BX71" s="25"/>
      <c r="BY71" s="25"/>
      <c r="BZ71" s="25"/>
      <c r="CB71" s="25"/>
      <c r="CC71" s="25"/>
      <c r="CD71" s="25"/>
      <c r="CE71" s="25"/>
      <c r="CF71" s="25"/>
      <c r="CG71" s="25"/>
    </row>
    <row r="72" spans="1:88" ht="14" customHeight="1">
      <c r="A72" s="110" t="s">
        <v>133</v>
      </c>
      <c r="B72" s="104">
        <v>25432</v>
      </c>
      <c r="C72" s="39"/>
      <c r="D72" s="38"/>
      <c r="E72" s="75">
        <f>Middle!E72</f>
        <v>1</v>
      </c>
      <c r="F72" s="75">
        <f>Middle!F72</f>
        <v>1.18</v>
      </c>
      <c r="G72" s="22"/>
      <c r="H72" s="24">
        <f t="shared" si="47"/>
        <v>1.18</v>
      </c>
      <c r="I72" s="39">
        <f t="shared" si="48"/>
        <v>0</v>
      </c>
      <c r="J72" s="51">
        <f t="shared" si="49"/>
        <v>30009.760000000002</v>
      </c>
      <c r="K72" s="40"/>
      <c r="L72" s="22"/>
      <c r="M72" s="24"/>
      <c r="N72" s="2"/>
      <c r="O72" s="2"/>
      <c r="P72" s="2"/>
      <c r="Q72" s="2"/>
      <c r="R72" s="2"/>
      <c r="S72" s="2"/>
      <c r="T72" s="2"/>
      <c r="U72" s="56"/>
      <c r="V72" s="56"/>
      <c r="W72" s="110"/>
      <c r="X72" s="118"/>
      <c r="Y72" s="110"/>
      <c r="Z72" s="156"/>
      <c r="AA72" s="147"/>
      <c r="AB72" s="156"/>
      <c r="AC72" s="147"/>
      <c r="AD72" s="156"/>
      <c r="AE72" s="147"/>
      <c r="AF72" s="156"/>
      <c r="AG72" s="147"/>
      <c r="AH72" s="155"/>
      <c r="AI72" s="147"/>
      <c r="AJ72" s="148"/>
      <c r="AK72" s="147"/>
      <c r="AP72" s="25"/>
      <c r="AQ72" s="25"/>
      <c r="AR72" s="25"/>
      <c r="AS72" s="25"/>
      <c r="AT72" s="25"/>
      <c r="AU72" s="25"/>
      <c r="AW72" s="25"/>
      <c r="AX72" s="25"/>
      <c r="AY72" s="25"/>
      <c r="AZ72" s="25"/>
      <c r="BA72" s="25"/>
      <c r="BB72" s="25"/>
      <c r="BF72" s="25"/>
      <c r="BG72" s="25"/>
      <c r="BH72" s="25"/>
      <c r="BI72" s="25"/>
      <c r="BJ72" s="25"/>
      <c r="BK72" s="25"/>
      <c r="BM72" s="25"/>
      <c r="BN72" s="25"/>
      <c r="BO72" s="25"/>
      <c r="BP72" s="25"/>
      <c r="BQ72" s="25"/>
      <c r="BR72" s="25"/>
      <c r="BU72" s="25"/>
      <c r="BV72" s="25"/>
      <c r="BW72" s="25"/>
      <c r="BX72" s="25"/>
      <c r="BY72" s="25"/>
      <c r="BZ72" s="25"/>
      <c r="CB72" s="25"/>
      <c r="CC72" s="25"/>
      <c r="CD72" s="25"/>
      <c r="CE72" s="25"/>
      <c r="CF72" s="25"/>
      <c r="CG72" s="25"/>
    </row>
    <row r="73" spans="1:88" ht="13.5" customHeight="1">
      <c r="A73" s="110" t="s">
        <v>134</v>
      </c>
      <c r="B73" s="104">
        <v>47408.666666666664</v>
      </c>
      <c r="C73" s="39"/>
      <c r="D73" s="38"/>
      <c r="E73" s="75">
        <f>Middle!E73</f>
        <v>1</v>
      </c>
      <c r="F73" s="75">
        <f>Middle!F73</f>
        <v>1.18</v>
      </c>
      <c r="G73" s="22"/>
      <c r="H73" s="24">
        <f>(E73*F73)</f>
        <v>1.18</v>
      </c>
      <c r="I73" s="39">
        <f>I127*I$83</f>
        <v>0</v>
      </c>
      <c r="J73" s="51">
        <f>J127*I$83</f>
        <v>55942.226666666669</v>
      </c>
      <c r="K73" s="40">
        <f>B73/B$76</f>
        <v>0.22187382024329896</v>
      </c>
      <c r="L73" s="22">
        <f>(L127*G$37*F$9/F$7)/B$130</f>
        <v>0.26181110788709283</v>
      </c>
      <c r="M73" s="24">
        <f>J73/B$76</f>
        <v>0.26181110788709283</v>
      </c>
      <c r="O73" s="2"/>
      <c r="P73" s="2"/>
      <c r="Q73" s="2"/>
      <c r="R73" s="2"/>
      <c r="S73" s="2"/>
      <c r="T73" s="2"/>
      <c r="U73" s="56"/>
      <c r="V73" s="56"/>
      <c r="W73" s="110"/>
      <c r="X73" s="118"/>
      <c r="Y73" s="110"/>
      <c r="Z73" s="156">
        <f>Poor!Z73</f>
        <v>0.09</v>
      </c>
      <c r="AA73" s="147">
        <f>$H$73*$B$73*Z73</f>
        <v>5034.8003999999992</v>
      </c>
      <c r="AB73" s="156">
        <f>Poor!AB73</f>
        <v>0.09</v>
      </c>
      <c r="AC73" s="147">
        <f>$H$73*$B$73*AB73</f>
        <v>5034.8003999999992</v>
      </c>
      <c r="AD73" s="156">
        <f>Poor!AD73</f>
        <v>0.23</v>
      </c>
      <c r="AE73" s="147">
        <f>$H$73*$B$73*AD73</f>
        <v>12866.712133333333</v>
      </c>
      <c r="AF73" s="156">
        <f>Poor!AF73</f>
        <v>0.59</v>
      </c>
      <c r="AG73" s="147">
        <f>$H$73*$B$73*AF73</f>
        <v>33005.913733333327</v>
      </c>
      <c r="AH73" s="155">
        <f>SUM(Z73,AB73,AD73,AF73)</f>
        <v>1</v>
      </c>
      <c r="AI73" s="147">
        <f>SUM(AA73,AC73,AE73,AG73)</f>
        <v>55942.226666666655</v>
      </c>
      <c r="AJ73" s="148">
        <f>(AA73+AC73)</f>
        <v>10069.600799999998</v>
      </c>
      <c r="AK73" s="147">
        <f>(AE73+AG73)</f>
        <v>45872.625866666662</v>
      </c>
      <c r="AP73" s="25"/>
      <c r="AQ73" s="25"/>
      <c r="AR73" s="25"/>
      <c r="AS73" s="25"/>
      <c r="AT73" s="25"/>
      <c r="AU73" s="25"/>
      <c r="AW73" s="25"/>
      <c r="AX73" s="25"/>
      <c r="AY73" s="25"/>
      <c r="AZ73" s="25"/>
      <c r="BA73" s="25"/>
      <c r="BB73" s="25"/>
      <c r="BF73" s="25"/>
      <c r="BG73" s="25"/>
      <c r="BH73" s="25"/>
      <c r="BI73" s="25"/>
      <c r="BJ73" s="25"/>
      <c r="BK73" s="25"/>
      <c r="BM73" s="25"/>
      <c r="BN73" s="25"/>
      <c r="BO73" s="25"/>
      <c r="BP73" s="25"/>
      <c r="BQ73" s="25"/>
      <c r="BR73" s="25"/>
      <c r="BU73" s="25"/>
      <c r="BV73" s="25"/>
      <c r="BW73" s="25"/>
      <c r="BX73" s="25"/>
      <c r="BY73" s="25"/>
      <c r="BZ73" s="25"/>
      <c r="CB73" s="25"/>
      <c r="CC73" s="25"/>
      <c r="CD73" s="25"/>
      <c r="CE73" s="25"/>
      <c r="CF73" s="25"/>
      <c r="CG73" s="25"/>
    </row>
    <row r="74" spans="1:88" ht="14" customHeight="1">
      <c r="A74" s="1" t="s">
        <v>135</v>
      </c>
      <c r="B74" s="81">
        <f>B128*B83</f>
        <v>5883.5070076077818</v>
      </c>
      <c r="C74" s="39"/>
      <c r="D74" s="38"/>
      <c r="E74" s="32"/>
      <c r="F74" s="32"/>
      <c r="G74" s="32"/>
      <c r="H74" s="31"/>
      <c r="I74" s="39">
        <f>I128*I$83</f>
        <v>167109.4104879472</v>
      </c>
      <c r="J74" s="51">
        <f>J128*I$83</f>
        <v>3119.1914185640612</v>
      </c>
      <c r="K74" s="40">
        <f>B74/B$76</f>
        <v>2.7534969194229441E-2</v>
      </c>
      <c r="L74" s="22">
        <f>(L128*G$37*F$9/F$7)/B$130</f>
        <v>2.5454297295128599E-2</v>
      </c>
      <c r="M74" s="24">
        <f>J74/B$76</f>
        <v>1.4597898754944735E-2</v>
      </c>
      <c r="O74" s="2"/>
      <c r="P74" s="2"/>
      <c r="Q74" s="2"/>
      <c r="R74" s="2"/>
      <c r="S74" s="2"/>
      <c r="T74" s="2"/>
      <c r="U74" s="56"/>
      <c r="V74" s="56"/>
      <c r="W74" s="110"/>
      <c r="X74" s="118"/>
      <c r="Y74" s="110"/>
      <c r="Z74" s="156"/>
      <c r="AA74" s="147">
        <f>AA30*$I$83/4</f>
        <v>0</v>
      </c>
      <c r="AB74" s="156"/>
      <c r="AC74" s="147">
        <f>AC30*$I$83/4</f>
        <v>0</v>
      </c>
      <c r="AD74" s="156"/>
      <c r="AE74" s="147">
        <f>AE30*$I$83/4</f>
        <v>1903.5444255323091</v>
      </c>
      <c r="AF74" s="156"/>
      <c r="AG74" s="147">
        <f>AG30*$I$83/4</f>
        <v>1581.9408318432597</v>
      </c>
      <c r="AH74" s="155"/>
      <c r="AI74" s="147">
        <f>SUM(AA74,AC74,AE74,AG74)</f>
        <v>3485.4852573755688</v>
      </c>
      <c r="AJ74" s="148">
        <f>(AA74+AC74)</f>
        <v>0</v>
      </c>
      <c r="AK74" s="147">
        <f>(AE74+AG74)</f>
        <v>3485.4852573755688</v>
      </c>
      <c r="AP74" s="25"/>
      <c r="AQ74" s="25"/>
      <c r="AR74" s="25"/>
      <c r="AS74" s="25"/>
      <c r="AT74" s="25"/>
      <c r="AU74" s="25"/>
      <c r="AW74" s="25"/>
      <c r="AX74" s="25"/>
      <c r="AY74" s="25"/>
      <c r="AZ74" s="25"/>
      <c r="BA74" s="25"/>
      <c r="BB74" s="25"/>
      <c r="BF74" s="25"/>
      <c r="BG74" s="25"/>
      <c r="BH74" s="25"/>
      <c r="BI74" s="25"/>
      <c r="BJ74" s="25"/>
      <c r="BK74" s="25"/>
      <c r="BM74" s="25"/>
      <c r="BN74" s="25"/>
      <c r="BO74" s="25"/>
      <c r="BP74" s="25"/>
      <c r="BQ74" s="25"/>
      <c r="BR74" s="25"/>
      <c r="BU74" s="25"/>
      <c r="BV74" s="25"/>
      <c r="BW74" s="25"/>
      <c r="BX74" s="25"/>
      <c r="BY74" s="25"/>
      <c r="BZ74" s="25"/>
      <c r="CB74" s="25"/>
      <c r="CC74" s="25"/>
      <c r="CD74" s="25"/>
      <c r="CE74" s="25"/>
      <c r="CF74" s="25"/>
      <c r="CG74" s="25"/>
    </row>
    <row r="75" spans="1:88" ht="14" customHeight="1">
      <c r="A75" s="1" t="s">
        <v>55</v>
      </c>
      <c r="B75" s="81">
        <f>B129*B83</f>
        <v>103464.03032505285</v>
      </c>
      <c r="C75" s="39"/>
      <c r="D75" s="38"/>
      <c r="E75" s="32"/>
      <c r="F75" s="32"/>
      <c r="G75" s="32"/>
      <c r="H75" s="31"/>
      <c r="I75" s="47"/>
      <c r="J75" s="51">
        <f>J129*I$83</f>
        <v>75987.504443222133</v>
      </c>
      <c r="K75" s="40">
        <f>B75/B$76</f>
        <v>0.48421441225910899</v>
      </c>
      <c r="L75" s="22">
        <f>(L129*G$37*F$9/F$7)/B$130</f>
        <v>0.34326424610979067</v>
      </c>
      <c r="M75" s="24">
        <f>J75/B$76</f>
        <v>0.35562354073599095</v>
      </c>
      <c r="O75" s="2"/>
      <c r="P75" s="2"/>
      <c r="Q75" s="2"/>
      <c r="R75" s="2"/>
      <c r="S75" s="2"/>
      <c r="T75" s="2"/>
      <c r="U75" s="56"/>
      <c r="V75" s="56"/>
      <c r="W75" s="110"/>
      <c r="X75" s="157"/>
      <c r="Y75" s="161" t="s">
        <v>104</v>
      </c>
      <c r="Z75" s="158"/>
      <c r="AA75" s="149">
        <f>AA79-AA74</f>
        <v>40552.234264362152</v>
      </c>
      <c r="AB75" s="158"/>
      <c r="AC75" s="149">
        <f>AA75+AC65-SUM(AC70,AC74)</f>
        <v>80474.375735700523</v>
      </c>
      <c r="AD75" s="158"/>
      <c r="AE75" s="149">
        <f>AC75+AE65-SUM(AE70,AE74)</f>
        <v>113499.82573816941</v>
      </c>
      <c r="AF75" s="158"/>
      <c r="AG75" s="149">
        <f>IF(SUM(AG6:AG29)+((AG65-AG70-$J$75)*4/I$83)&lt;1,0,AG65-AG70-$J$75-(1-SUM(AG6:AG29))*I$83/4)</f>
        <v>0</v>
      </c>
      <c r="AH75" s="134"/>
      <c r="AI75" s="149">
        <f>AI76-SUM(AI70,AI74)</f>
        <v>157813.45504885507</v>
      </c>
      <c r="AJ75" s="151">
        <f>AJ76-SUM(AJ70,AJ74)</f>
        <v>80474.375735700523</v>
      </c>
      <c r="AK75" s="149">
        <f>AJ75+AK76-SUM(AK70,AK74)</f>
        <v>157813.45504885507</v>
      </c>
      <c r="AP75" s="25"/>
      <c r="AQ75" s="25"/>
      <c r="AR75" s="25"/>
      <c r="AS75" s="25"/>
      <c r="AT75" s="25"/>
      <c r="AU75" s="25"/>
      <c r="AW75" s="25"/>
      <c r="AX75" s="25"/>
      <c r="AY75" s="25"/>
      <c r="AZ75" s="25"/>
      <c r="BA75" s="25"/>
      <c r="BB75" s="25"/>
      <c r="BF75" s="25"/>
      <c r="BG75" s="25"/>
      <c r="BH75" s="25"/>
      <c r="BI75" s="25"/>
      <c r="BJ75" s="25"/>
      <c r="BK75" s="25"/>
      <c r="BM75" s="25"/>
      <c r="BN75" s="25"/>
      <c r="BO75" s="25"/>
      <c r="BP75" s="25"/>
      <c r="BQ75" s="25"/>
      <c r="BR75" s="25"/>
      <c r="BU75" s="25"/>
      <c r="BV75" s="25"/>
      <c r="BW75" s="25"/>
      <c r="BX75" s="25"/>
      <c r="BY75" s="25"/>
      <c r="BZ75" s="25"/>
      <c r="CB75" s="25"/>
      <c r="CC75" s="25"/>
      <c r="CD75" s="25"/>
      <c r="CE75" s="25"/>
      <c r="CF75" s="25"/>
      <c r="CG75" s="25"/>
    </row>
    <row r="76" spans="1:88" ht="14" customHeight="1" thickBot="1">
      <c r="A76" s="1" t="s">
        <v>32</v>
      </c>
      <c r="B76" s="81">
        <f>B65</f>
        <v>213674</v>
      </c>
      <c r="C76" s="39"/>
      <c r="D76" s="38"/>
      <c r="E76" s="32"/>
      <c r="F76" s="32"/>
      <c r="G76" s="32"/>
      <c r="H76" s="31"/>
      <c r="I76" s="39">
        <f>I130*I$83</f>
        <v>191010.236</v>
      </c>
      <c r="J76" s="51">
        <f>J130*I$83</f>
        <v>205967.76581828346</v>
      </c>
      <c r="K76" s="40">
        <f>SUM(K70:K75)</f>
        <v>0.81352070079758021</v>
      </c>
      <c r="L76" s="22">
        <f>SUM(L70:L75)</f>
        <v>0.74238615003333219</v>
      </c>
      <c r="M76" s="24">
        <f>SUM(M70:M75)</f>
        <v>0.74388904611934847</v>
      </c>
      <c r="O76" s="2"/>
      <c r="P76" s="2"/>
      <c r="Q76" s="2"/>
      <c r="R76" s="2"/>
      <c r="S76" s="2"/>
      <c r="T76" s="2"/>
      <c r="U76" s="56"/>
      <c r="V76" s="56"/>
      <c r="W76" s="110"/>
      <c r="X76" s="189"/>
      <c r="Y76" s="189"/>
      <c r="Z76" s="137"/>
      <c r="AA76" s="154">
        <f>AA65</f>
        <v>46527.440642375353</v>
      </c>
      <c r="AB76" s="137"/>
      <c r="AC76" s="153">
        <f>AC65</f>
        <v>45897.347849351572</v>
      </c>
      <c r="AD76" s="137"/>
      <c r="AE76" s="153">
        <f>AE65</f>
        <v>40904.2008060144</v>
      </c>
      <c r="AF76" s="137"/>
      <c r="AG76" s="153">
        <f>AG65</f>
        <v>51870.776520542131</v>
      </c>
      <c r="AH76" s="137"/>
      <c r="AI76" s="153">
        <f>SUM(AA76,AC76,AE76,AG76)</f>
        <v>185199.76581828346</v>
      </c>
      <c r="AJ76" s="154">
        <f>SUM(AA76,AC76)</f>
        <v>92424.788491726926</v>
      </c>
      <c r="AK76" s="154">
        <f>SUM(AE76,AG76)</f>
        <v>92774.977326556531</v>
      </c>
      <c r="AP76" s="25"/>
      <c r="AQ76" s="25"/>
      <c r="AR76" s="25"/>
      <c r="AS76" s="25"/>
      <c r="AT76" s="25"/>
      <c r="AU76" s="25"/>
      <c r="AW76" s="25"/>
      <c r="AX76" s="25"/>
      <c r="AY76" s="25"/>
      <c r="AZ76" s="25"/>
      <c r="BA76" s="25"/>
      <c r="BB76" s="25"/>
      <c r="BF76" s="25"/>
      <c r="BG76" s="25"/>
      <c r="BH76" s="25"/>
      <c r="BI76" s="25"/>
      <c r="BJ76" s="25"/>
      <c r="BK76" s="25"/>
      <c r="BM76" s="25"/>
      <c r="BN76" s="25"/>
      <c r="BO76" s="25"/>
      <c r="BP76" s="25"/>
      <c r="BQ76" s="25"/>
      <c r="BR76" s="25"/>
      <c r="BU76" s="25"/>
      <c r="BV76" s="25"/>
      <c r="BW76" s="25"/>
      <c r="BX76" s="25"/>
      <c r="BY76" s="25"/>
      <c r="BZ76" s="25"/>
      <c r="CB76" s="25"/>
      <c r="CC76" s="25"/>
      <c r="CD76" s="25"/>
      <c r="CE76" s="25"/>
      <c r="CF76" s="25"/>
      <c r="CG76" s="25"/>
    </row>
    <row r="77" spans="1:88" ht="14" customHeight="1" thickBot="1">
      <c r="A77" s="99" t="s">
        <v>36</v>
      </c>
      <c r="B77" s="81"/>
      <c r="C77" s="39"/>
      <c r="D77" s="38"/>
      <c r="E77" s="32"/>
      <c r="F77" s="32"/>
      <c r="G77" s="32"/>
      <c r="H77" s="31"/>
      <c r="I77" s="39">
        <f>I131*I$83</f>
        <v>17008.257777777784</v>
      </c>
      <c r="J77" s="100">
        <f>J131*I$83</f>
        <v>0</v>
      </c>
      <c r="K77" s="40"/>
      <c r="L77" s="22">
        <f>-(L131*G$37*F$9/F$7)/B$130</f>
        <v>0</v>
      </c>
      <c r="M77" s="24">
        <f>-J77/B$76</f>
        <v>0</v>
      </c>
      <c r="O77" s="2"/>
      <c r="P77" s="2"/>
      <c r="Q77" s="2"/>
      <c r="R77" s="2"/>
      <c r="S77" s="2"/>
      <c r="T77" s="2"/>
      <c r="U77" s="56"/>
      <c r="V77" s="56"/>
      <c r="W77" s="110"/>
      <c r="X77" s="110"/>
      <c r="Y77" s="161" t="s">
        <v>102</v>
      </c>
      <c r="Z77" s="159"/>
      <c r="AA77" s="111">
        <f>AA31*$I$83/4</f>
        <v>0</v>
      </c>
      <c r="AB77" s="112"/>
      <c r="AC77" s="111">
        <f>AC31*$I$83/4</f>
        <v>0</v>
      </c>
      <c r="AD77" s="112"/>
      <c r="AE77" s="111">
        <f>AE31*$I$83/4</f>
        <v>0</v>
      </c>
      <c r="AF77" s="112"/>
      <c r="AG77" s="111">
        <f>AG31*$I$83/4</f>
        <v>0</v>
      </c>
      <c r="AH77" s="110"/>
      <c r="AI77" s="154">
        <f>SUM(AA77,AC77,AE77,AG77)</f>
        <v>0</v>
      </c>
      <c r="AJ77" s="153">
        <f>SUM(AA77,AC77)</f>
        <v>0</v>
      </c>
      <c r="AK77" s="160">
        <f>SUM(AE77,AG77)</f>
        <v>0</v>
      </c>
      <c r="AP77" s="25"/>
      <c r="AQ77" s="25"/>
      <c r="AR77" s="25"/>
      <c r="AS77" s="25"/>
      <c r="AT77" s="25"/>
      <c r="AU77" s="25"/>
      <c r="AW77" s="25"/>
      <c r="AX77" s="25"/>
      <c r="AY77" s="25"/>
      <c r="AZ77" s="25"/>
      <c r="BA77" s="25"/>
      <c r="BB77" s="25"/>
      <c r="BF77" s="25"/>
      <c r="BG77" s="25"/>
      <c r="BH77" s="25"/>
      <c r="BI77" s="25"/>
      <c r="BJ77" s="25"/>
      <c r="BK77" s="25"/>
      <c r="BM77" s="25"/>
      <c r="BN77" s="25"/>
      <c r="BO77" s="25"/>
      <c r="BP77" s="25"/>
      <c r="BQ77" s="25"/>
      <c r="BR77" s="25"/>
      <c r="BU77" s="25"/>
      <c r="BV77" s="25"/>
      <c r="BW77" s="25"/>
      <c r="BX77" s="25"/>
      <c r="BY77" s="25"/>
      <c r="BZ77" s="25"/>
      <c r="CB77" s="25"/>
      <c r="CC77" s="25"/>
      <c r="CD77" s="25"/>
      <c r="CE77" s="25"/>
      <c r="CF77" s="25"/>
      <c r="CG77" s="25"/>
    </row>
    <row r="78" spans="1:88" ht="14" customHeight="1">
      <c r="A78" s="82" t="s">
        <v>37</v>
      </c>
      <c r="B78" s="39"/>
      <c r="C78" s="39"/>
      <c r="D78" s="38"/>
      <c r="E78" s="32"/>
      <c r="F78" s="32"/>
      <c r="G78" s="32"/>
      <c r="H78" s="31"/>
      <c r="I78" s="47"/>
      <c r="J78" s="48"/>
      <c r="K78" s="32"/>
      <c r="L78" s="32"/>
      <c r="M78" s="48"/>
      <c r="N78" s="2"/>
      <c r="O78" s="2"/>
      <c r="P78" s="2"/>
      <c r="Q78" s="2"/>
      <c r="R78" s="2"/>
      <c r="S78" s="2"/>
      <c r="T78" s="2"/>
      <c r="U78" s="56"/>
      <c r="V78" s="56"/>
      <c r="W78" s="110"/>
      <c r="X78" s="110"/>
      <c r="Y78" s="161" t="s">
        <v>103</v>
      </c>
      <c r="Z78" s="110"/>
      <c r="AA78" s="112">
        <f>IF(SUM(AG6:AG29)+((AG65-AG70-$J$75)*4/I$83)&lt;1,0,AG65-AG70-$J$75-(1-SUM(AG6:AG29))*I$83/4)</f>
        <v>0</v>
      </c>
      <c r="AB78" s="112"/>
      <c r="AC78" s="112">
        <f>IF(AA75&lt;0,0,AA75)</f>
        <v>40552.234264362152</v>
      </c>
      <c r="AD78" s="112"/>
      <c r="AE78" s="112">
        <f>AC75</f>
        <v>80474.375735700523</v>
      </c>
      <c r="AF78" s="112"/>
      <c r="AG78" s="112">
        <f>AE75</f>
        <v>113499.82573816941</v>
      </c>
      <c r="AH78" s="110"/>
      <c r="AI78" s="146"/>
      <c r="AJ78" s="110"/>
      <c r="AK78" s="146"/>
      <c r="AP78" s="25"/>
      <c r="AQ78" s="25"/>
      <c r="AR78" s="25"/>
      <c r="AS78" s="25"/>
      <c r="AT78" s="25"/>
      <c r="AU78" s="25"/>
      <c r="AW78" s="25"/>
      <c r="AX78" s="25"/>
      <c r="AY78" s="25"/>
      <c r="AZ78" s="25"/>
      <c r="BA78" s="25"/>
      <c r="BB78" s="25"/>
      <c r="BF78" s="25"/>
      <c r="BG78" s="25"/>
      <c r="BH78" s="25"/>
      <c r="BI78" s="25"/>
      <c r="BJ78" s="25"/>
      <c r="BK78" s="25"/>
      <c r="BM78" s="25"/>
      <c r="BN78" s="25"/>
      <c r="BO78" s="25"/>
      <c r="BP78" s="25"/>
      <c r="BQ78" s="25"/>
      <c r="BR78" s="25"/>
      <c r="BU78" s="25"/>
      <c r="BV78" s="25"/>
      <c r="BW78" s="25"/>
      <c r="BX78" s="25"/>
      <c r="BY78" s="25"/>
      <c r="BZ78" s="25"/>
      <c r="CB78" s="25"/>
      <c r="CC78" s="25"/>
      <c r="CD78" s="25"/>
      <c r="CE78" s="25"/>
      <c r="CF78" s="25"/>
      <c r="CG78" s="25"/>
    </row>
    <row r="79" spans="1:88" ht="14" customHeight="1">
      <c r="A79" s="39" t="s">
        <v>38</v>
      </c>
      <c r="B79" s="105" t="s">
        <v>189</v>
      </c>
      <c r="C79" s="39"/>
      <c r="D79" s="38"/>
      <c r="E79" s="32"/>
      <c r="F79" s="32"/>
      <c r="G79" s="32"/>
      <c r="H79" s="31"/>
      <c r="I79" s="47"/>
      <c r="J79" s="48"/>
      <c r="K79" s="32"/>
      <c r="L79" s="32"/>
      <c r="M79" s="48"/>
      <c r="N79" s="32"/>
      <c r="O79" s="2"/>
      <c r="P79" s="2"/>
      <c r="Q79" s="2"/>
      <c r="R79" s="2"/>
      <c r="S79" s="2"/>
      <c r="T79" s="2"/>
      <c r="U79" s="56"/>
      <c r="V79" s="56"/>
      <c r="W79" s="110"/>
      <c r="X79" s="110"/>
      <c r="Y79" s="161" t="s">
        <v>63</v>
      </c>
      <c r="Z79" s="110"/>
      <c r="AA79" s="112">
        <f>AA65-AA70+IF(SUM(AG6:AG29)+((AG65-AG70-$J$75)*4/I$83)&lt;1,0,AG65-AG70-$J$75-(1-SUM(AG6:AG29))*I$83/4)</f>
        <v>40552.234264362152</v>
      </c>
      <c r="AB79" s="112"/>
      <c r="AC79" s="112">
        <f>AA79-AA74+AC65-AC70</f>
        <v>80474.375735700523</v>
      </c>
      <c r="AD79" s="112"/>
      <c r="AE79" s="112">
        <f>AC79-AC74+AE65-AE70</f>
        <v>115403.37016370172</v>
      </c>
      <c r="AF79" s="112"/>
      <c r="AG79" s="112">
        <f>AE79-AE74+AG65-AG70</f>
        <v>159395.39588069831</v>
      </c>
      <c r="AH79" s="110"/>
      <c r="AI79" s="146"/>
      <c r="AJ79" s="110"/>
      <c r="AK79" s="146"/>
      <c r="AS79" s="25"/>
      <c r="AT79" s="25"/>
      <c r="AU79" s="25"/>
      <c r="AV79" s="25"/>
      <c r="AW79" s="25"/>
      <c r="AX79" s="25"/>
      <c r="AZ79" s="25"/>
      <c r="BA79" s="25"/>
      <c r="BB79" s="25"/>
      <c r="BC79" s="25"/>
      <c r="BD79" s="25"/>
      <c r="BE79" s="25"/>
      <c r="BI79" s="25"/>
      <c r="BJ79" s="25"/>
      <c r="BK79" s="25"/>
      <c r="BL79" s="25"/>
      <c r="BM79" s="25"/>
      <c r="BN79" s="25"/>
      <c r="BP79" s="25"/>
      <c r="BQ79" s="25"/>
      <c r="BR79" s="25"/>
      <c r="BS79" s="25"/>
      <c r="BT79" s="25"/>
      <c r="BU79" s="25"/>
      <c r="BX79" s="25"/>
      <c r="BY79" s="25"/>
      <c r="BZ79" s="25"/>
      <c r="CA79" s="25"/>
      <c r="CB79" s="25"/>
      <c r="CC79" s="25"/>
      <c r="CE79" s="25"/>
      <c r="CF79" s="25"/>
      <c r="CG79" s="25"/>
      <c r="CH79" s="25"/>
      <c r="CI79" s="25"/>
      <c r="CJ79" s="25"/>
    </row>
    <row r="80" spans="1:88" ht="14" customHeight="1">
      <c r="A80" s="39" t="s">
        <v>39</v>
      </c>
      <c r="B80" s="105">
        <v>0.60121974522379507</v>
      </c>
      <c r="C80" s="39"/>
      <c r="D80" s="38"/>
      <c r="E80" s="32"/>
      <c r="F80" s="32"/>
      <c r="G80" s="32"/>
      <c r="H80" s="31"/>
      <c r="I80" s="47"/>
      <c r="J80" s="48"/>
      <c r="K80" s="32"/>
      <c r="L80" s="32"/>
      <c r="M80" s="48"/>
      <c r="N80" s="32"/>
      <c r="O80" s="2"/>
      <c r="P80" s="2"/>
      <c r="Q80" s="2"/>
      <c r="R80" s="2"/>
      <c r="S80" s="2"/>
      <c r="T80" s="2"/>
      <c r="U80" s="56"/>
      <c r="V80" s="56"/>
      <c r="W80" s="110"/>
      <c r="X80" s="110"/>
      <c r="Y80" s="110"/>
      <c r="Z80" s="110"/>
      <c r="AA80" s="110"/>
      <c r="AB80" s="110"/>
      <c r="AC80" s="110"/>
      <c r="AD80" s="110"/>
      <c r="AE80" s="110"/>
      <c r="AF80" s="110"/>
      <c r="AG80" s="110"/>
      <c r="AH80" s="110"/>
      <c r="AI80" s="146"/>
      <c r="AJ80" s="110"/>
      <c r="AK80" s="146"/>
      <c r="AS80" s="25"/>
      <c r="AT80" s="25"/>
      <c r="AU80" s="25"/>
      <c r="AV80" s="25"/>
      <c r="AW80" s="25"/>
      <c r="AX80" s="25"/>
      <c r="AZ80" s="25"/>
      <c r="BA80" s="25"/>
      <c r="BB80" s="25"/>
      <c r="BC80" s="25"/>
      <c r="BD80" s="25"/>
      <c r="BE80" s="25"/>
      <c r="BI80" s="25"/>
      <c r="BJ80" s="25"/>
      <c r="BK80" s="25"/>
      <c r="BL80" s="25"/>
      <c r="BM80" s="25"/>
      <c r="BN80" s="25"/>
      <c r="BP80" s="25"/>
      <c r="BQ80" s="25"/>
      <c r="BR80" s="25"/>
      <c r="BS80" s="25"/>
      <c r="BT80" s="25"/>
      <c r="BU80" s="25"/>
      <c r="BX80" s="25"/>
      <c r="BY80" s="25"/>
      <c r="BZ80" s="25"/>
      <c r="CA80" s="25"/>
      <c r="CB80" s="25"/>
      <c r="CC80" s="25"/>
      <c r="CE80" s="25"/>
      <c r="CF80" s="25"/>
      <c r="CG80" s="25"/>
      <c r="CH80" s="25"/>
      <c r="CI80" s="25"/>
      <c r="CJ80" s="25"/>
    </row>
    <row r="81" spans="1:88" ht="14" customHeight="1">
      <c r="A81" s="39" t="s">
        <v>40</v>
      </c>
      <c r="B81" s="230">
        <v>7</v>
      </c>
      <c r="C81" s="39"/>
      <c r="D81" s="38"/>
      <c r="E81" s="32"/>
      <c r="F81" s="32"/>
      <c r="G81" s="32"/>
      <c r="H81" s="31"/>
      <c r="I81" s="47"/>
      <c r="J81" s="48"/>
      <c r="K81" s="32"/>
      <c r="L81" s="32"/>
      <c r="M81" s="48"/>
      <c r="N81" s="32"/>
      <c r="O81" s="2"/>
      <c r="P81" s="2"/>
      <c r="Q81" s="2"/>
      <c r="R81" s="2"/>
      <c r="S81" s="2"/>
      <c r="T81" s="2"/>
      <c r="U81" s="56"/>
      <c r="V81" s="56"/>
      <c r="W81" s="110"/>
      <c r="X81" s="110"/>
      <c r="Y81" s="110"/>
      <c r="Z81" s="143" t="s">
        <v>64</v>
      </c>
      <c r="AA81" s="159"/>
      <c r="AB81" s="159"/>
      <c r="AC81" s="159"/>
      <c r="AD81" s="159"/>
      <c r="AE81" s="159"/>
      <c r="AF81" s="159"/>
      <c r="AG81" s="144"/>
      <c r="AH81" s="114" t="s">
        <v>65</v>
      </c>
      <c r="AI81" s="146"/>
      <c r="AJ81" s="110"/>
      <c r="AK81" s="146"/>
      <c r="AS81" s="25"/>
      <c r="AT81" s="25"/>
      <c r="AU81" s="25"/>
      <c r="AV81" s="25"/>
      <c r="AW81" s="25"/>
      <c r="AX81" s="25"/>
      <c r="AZ81" s="25"/>
      <c r="BA81" s="25"/>
      <c r="BB81" s="25"/>
      <c r="BC81" s="25"/>
      <c r="BD81" s="25"/>
      <c r="BE81" s="25"/>
      <c r="BI81" s="25"/>
      <c r="BJ81" s="25"/>
      <c r="BK81" s="25"/>
      <c r="BL81" s="25"/>
      <c r="BM81" s="25"/>
      <c r="BN81" s="25"/>
      <c r="BP81" s="25"/>
      <c r="BQ81" s="25"/>
      <c r="BR81" s="25"/>
      <c r="BS81" s="25"/>
      <c r="BT81" s="25"/>
      <c r="BU81" s="25"/>
      <c r="BX81" s="25"/>
      <c r="BY81" s="25"/>
      <c r="BZ81" s="25"/>
      <c r="CA81" s="25"/>
      <c r="CB81" s="25"/>
      <c r="CC81" s="25"/>
      <c r="CE81" s="25"/>
      <c r="CF81" s="25"/>
      <c r="CG81" s="25"/>
      <c r="CH81" s="25"/>
      <c r="CI81" s="25"/>
      <c r="CJ81" s="25"/>
    </row>
    <row r="82" spans="1:88" ht="14" customHeight="1">
      <c r="A82" s="39" t="s">
        <v>41</v>
      </c>
      <c r="B82" s="105">
        <v>5.8592428953253695</v>
      </c>
      <c r="C82" s="39"/>
      <c r="D82" s="38"/>
      <c r="E82" s="32"/>
      <c r="F82" s="32"/>
      <c r="G82" s="32"/>
      <c r="H82" s="31"/>
      <c r="I82" s="47"/>
      <c r="J82" s="48"/>
      <c r="K82" s="32"/>
      <c r="L82" s="32"/>
      <c r="M82" s="48"/>
      <c r="N82" s="32"/>
      <c r="O82" s="2"/>
      <c r="P82" s="2"/>
      <c r="Q82" s="2"/>
      <c r="R82" s="2"/>
      <c r="S82" s="2"/>
      <c r="T82" s="2"/>
      <c r="U82" s="56"/>
      <c r="V82" s="56"/>
      <c r="X82" s="110"/>
      <c r="Y82" s="161" t="s">
        <v>66</v>
      </c>
      <c r="Z82" s="162">
        <f>IF($AH$82=0,0,AA82/$AH$82)</f>
        <v>1</v>
      </c>
      <c r="AA82" s="193">
        <f>Poor!AA82</f>
        <v>5.6000000000000005</v>
      </c>
      <c r="AB82" s="162">
        <f>IF($AH$82=0,0,AC82/$AH$82)</f>
        <v>1</v>
      </c>
      <c r="AC82" s="193">
        <f>Poor!AC82</f>
        <v>5.6000000000000005</v>
      </c>
      <c r="AD82" s="162">
        <f>IF($AH$82=0,0,AE82/$AH$82)</f>
        <v>1</v>
      </c>
      <c r="AE82" s="193">
        <f>Poor!AE82</f>
        <v>5.6000000000000005</v>
      </c>
      <c r="AF82" s="162">
        <f>IF($AH$82=0,0,AG82/$AH$82)</f>
        <v>1</v>
      </c>
      <c r="AG82" s="193">
        <f>Poor!AG82</f>
        <v>5.6000000000000005</v>
      </c>
      <c r="AH82" s="164">
        <f>IF(PRODUCT(AA82,AC82,AE82,AG82)=0,0,SUM(AA82,AC82,AE82,AG82)/4)</f>
        <v>5.6000000000000005</v>
      </c>
      <c r="AI82" s="146"/>
      <c r="AJ82" s="110"/>
      <c r="AK82" s="146"/>
      <c r="AS82" s="25"/>
      <c r="AT82" s="25"/>
      <c r="AU82" s="25"/>
      <c r="AV82" s="25"/>
      <c r="AW82" s="25"/>
      <c r="AX82" s="25"/>
      <c r="AZ82" s="25"/>
      <c r="BA82" s="25"/>
      <c r="BB82" s="25"/>
      <c r="BC82" s="25"/>
      <c r="BD82" s="25"/>
      <c r="BE82" s="25"/>
      <c r="BI82" s="25"/>
      <c r="BJ82" s="25"/>
      <c r="BK82" s="25"/>
      <c r="BL82" s="25"/>
      <c r="BM82" s="25"/>
      <c r="BN82" s="25"/>
      <c r="BP82" s="25"/>
      <c r="BQ82" s="25"/>
      <c r="BR82" s="25"/>
      <c r="BS82" s="25"/>
      <c r="BT82" s="25"/>
      <c r="BU82" s="25"/>
      <c r="BX82" s="25"/>
      <c r="BY82" s="25"/>
      <c r="BZ82" s="25"/>
      <c r="CA82" s="25"/>
      <c r="CB82" s="25"/>
      <c r="CC82" s="25"/>
      <c r="CE82" s="25"/>
      <c r="CF82" s="25"/>
      <c r="CG82" s="25"/>
      <c r="CH82" s="25"/>
      <c r="CI82" s="25"/>
      <c r="CJ82" s="25"/>
    </row>
    <row r="83" spans="1:88" ht="14" customHeight="1">
      <c r="A83" s="39" t="s">
        <v>42</v>
      </c>
      <c r="B83" s="39">
        <f>365*B80*B81*B82</f>
        <v>9000.4793904698763</v>
      </c>
      <c r="C83" s="39"/>
      <c r="D83" s="38"/>
      <c r="E83" s="32"/>
      <c r="F83" s="32"/>
      <c r="G83" s="32"/>
      <c r="H83" s="24">
        <f>G$37*F$9/F$7</f>
        <v>1.65</v>
      </c>
      <c r="I83" s="39">
        <f xml:space="preserve"> B83*H83</f>
        <v>14850.790994275296</v>
      </c>
      <c r="J83" s="48"/>
      <c r="K83" s="32"/>
      <c r="L83" s="32"/>
      <c r="M83" s="48"/>
      <c r="N83" s="32"/>
      <c r="O83" s="2"/>
      <c r="P83" s="2"/>
      <c r="Q83" s="2"/>
      <c r="R83" s="2"/>
      <c r="S83" s="2"/>
      <c r="T83" s="2"/>
      <c r="U83" s="56"/>
      <c r="V83" s="56"/>
      <c r="X83" s="110"/>
      <c r="Y83" s="161" t="s">
        <v>130</v>
      </c>
      <c r="Z83" s="110"/>
      <c r="AA83" s="165">
        <f>$I$83*Z82/4</f>
        <v>3712.697748568824</v>
      </c>
      <c r="AB83" s="112"/>
      <c r="AC83" s="165">
        <f>$I$83*AB82/4</f>
        <v>3712.697748568824</v>
      </c>
      <c r="AD83" s="112"/>
      <c r="AE83" s="165">
        <f>$I$83*AD82/4</f>
        <v>3712.697748568824</v>
      </c>
      <c r="AF83" s="112"/>
      <c r="AG83" s="165">
        <f>$I$83*AF82/4</f>
        <v>3712.697748568824</v>
      </c>
      <c r="AH83" s="165">
        <f>SUM(AA83,AC83,AE83,AG83)</f>
        <v>14850.790994275296</v>
      </c>
      <c r="AI83" s="146"/>
      <c r="AJ83" s="110"/>
      <c r="AK83" s="146"/>
      <c r="AS83" s="25"/>
      <c r="AT83" s="25"/>
      <c r="AU83" s="25"/>
      <c r="AV83" s="25"/>
      <c r="AW83" s="25"/>
      <c r="AX83" s="25"/>
      <c r="AZ83" s="25"/>
      <c r="BA83" s="25"/>
      <c r="BB83" s="25"/>
      <c r="BC83" s="25"/>
      <c r="BD83" s="25"/>
      <c r="BE83" s="25"/>
      <c r="BI83" s="25"/>
      <c r="BJ83" s="25"/>
      <c r="BK83" s="25"/>
      <c r="BL83" s="25"/>
      <c r="BM83" s="25"/>
      <c r="BN83" s="25"/>
      <c r="BP83" s="25"/>
      <c r="BQ83" s="25"/>
      <c r="BR83" s="25"/>
      <c r="BS83" s="25"/>
      <c r="BT83" s="25"/>
      <c r="BU83" s="25"/>
      <c r="BX83" s="25"/>
      <c r="BY83" s="25"/>
      <c r="BZ83" s="25"/>
      <c r="CA83" s="25"/>
      <c r="CB83" s="25"/>
      <c r="CC83" s="25"/>
      <c r="CE83" s="25"/>
      <c r="CF83" s="25"/>
      <c r="CG83" s="25"/>
      <c r="CH83" s="25"/>
      <c r="CI83" s="25"/>
      <c r="CJ83" s="25"/>
    </row>
    <row r="84" spans="1:88" ht="14" customHeight="1" thickBot="1">
      <c r="A84" s="46" t="s">
        <v>136</v>
      </c>
      <c r="B84" s="234">
        <f>B70+((1-D29)*B83)</f>
        <v>24050.658959158158</v>
      </c>
      <c r="C84" s="46"/>
      <c r="D84" s="235"/>
      <c r="E84" s="64"/>
      <c r="F84" s="64"/>
      <c r="G84" s="64"/>
      <c r="H84" s="236">
        <f>IF(B84=0,0,I84/B84)</f>
        <v>1.4725410554042835</v>
      </c>
      <c r="I84" s="234">
        <f>(B70*H70)+((1-(D29*H29))*I83)</f>
        <v>35415.582726887238</v>
      </c>
      <c r="J84" s="48"/>
      <c r="K84" s="32"/>
      <c r="L84" s="32"/>
      <c r="M84" s="48"/>
      <c r="N84" s="32"/>
      <c r="O84" s="2"/>
      <c r="P84" s="2"/>
      <c r="Q84" s="2"/>
      <c r="R84" s="2"/>
      <c r="S84" s="2"/>
      <c r="T84" s="2"/>
      <c r="U84" s="56"/>
      <c r="V84" s="56"/>
      <c r="X84" s="110"/>
      <c r="Y84" s="161"/>
      <c r="Z84" s="110"/>
      <c r="AA84" s="110"/>
      <c r="AB84" s="110"/>
      <c r="AC84" s="110"/>
      <c r="AD84" s="110"/>
      <c r="AE84" s="110"/>
      <c r="AF84" s="110"/>
      <c r="AG84" s="110"/>
      <c r="AH84" s="110"/>
      <c r="AI84" s="146"/>
      <c r="AJ84" s="110"/>
      <c r="AK84" s="146"/>
      <c r="AS84" s="25"/>
      <c r="AT84" s="25"/>
      <c r="AU84" s="25"/>
      <c r="AV84" s="25"/>
      <c r="AW84" s="25"/>
      <c r="AX84" s="25"/>
      <c r="AZ84" s="25"/>
      <c r="BA84" s="25"/>
      <c r="BB84" s="25"/>
      <c r="BC84" s="25"/>
      <c r="BD84" s="25"/>
      <c r="BE84" s="25"/>
      <c r="BI84" s="25"/>
      <c r="BJ84" s="25"/>
      <c r="BK84" s="25"/>
      <c r="BL84" s="25"/>
      <c r="BM84" s="25"/>
      <c r="BN84" s="25"/>
      <c r="BP84" s="25"/>
      <c r="BQ84" s="25"/>
      <c r="BR84" s="25"/>
      <c r="BS84" s="25"/>
      <c r="BT84" s="25"/>
      <c r="BU84" s="25"/>
      <c r="BX84" s="25"/>
      <c r="BY84" s="25"/>
      <c r="BZ84" s="25"/>
      <c r="CA84" s="25"/>
      <c r="CB84" s="25"/>
      <c r="CC84" s="25"/>
      <c r="CE84" s="25"/>
      <c r="CF84" s="25"/>
      <c r="CG84" s="25"/>
      <c r="CH84" s="25"/>
      <c r="CI84" s="25"/>
      <c r="CJ84" s="25"/>
    </row>
    <row r="85" spans="1:88" ht="14" customHeight="1" thickBot="1">
      <c r="A85" s="39" t="s">
        <v>43</v>
      </c>
      <c r="B85" s="39"/>
      <c r="C85" s="39"/>
      <c r="D85" s="38"/>
      <c r="E85" s="32"/>
      <c r="F85" s="32"/>
      <c r="G85" s="32"/>
      <c r="H85" s="31"/>
      <c r="I85" s="47"/>
      <c r="J85" s="48"/>
      <c r="K85" s="32"/>
      <c r="L85" s="32"/>
      <c r="M85" s="48"/>
      <c r="N85" s="32"/>
      <c r="O85" s="2"/>
      <c r="P85" s="2"/>
      <c r="Q85" s="2"/>
      <c r="R85" s="2"/>
      <c r="S85" s="2"/>
      <c r="T85" s="2"/>
      <c r="U85" s="56"/>
      <c r="V85" s="56"/>
      <c r="X85" s="110"/>
      <c r="Y85" s="161"/>
      <c r="Z85" s="110"/>
      <c r="AA85" s="113"/>
      <c r="AB85" s="110"/>
      <c r="AC85" s="113"/>
      <c r="AD85" s="110"/>
      <c r="AE85" s="113"/>
      <c r="AF85" s="110"/>
      <c r="AG85" s="113"/>
      <c r="AH85" s="110"/>
      <c r="AI85" s="190"/>
      <c r="AJ85" s="191"/>
      <c r="AK85" s="192"/>
      <c r="AS85" s="25"/>
      <c r="AT85" s="25"/>
      <c r="AU85" s="25"/>
      <c r="AV85" s="25"/>
      <c r="AW85" s="25"/>
      <c r="AX85" s="25"/>
      <c r="AZ85" s="25"/>
      <c r="BA85" s="25"/>
      <c r="BB85" s="25"/>
      <c r="BC85" s="25"/>
      <c r="BD85" s="25"/>
      <c r="BE85" s="25"/>
      <c r="BI85" s="25"/>
      <c r="BJ85" s="25"/>
      <c r="BK85" s="25"/>
      <c r="BL85" s="25"/>
      <c r="BM85" s="25"/>
      <c r="BN85" s="25"/>
      <c r="BP85" s="25"/>
      <c r="BQ85" s="25"/>
      <c r="BR85" s="25"/>
      <c r="BS85" s="25"/>
      <c r="BT85" s="25"/>
      <c r="BU85" s="25"/>
      <c r="BX85" s="25"/>
      <c r="BY85" s="25"/>
      <c r="BZ85" s="25"/>
      <c r="CA85" s="25"/>
      <c r="CB85" s="25"/>
      <c r="CC85" s="25"/>
      <c r="CE85" s="25"/>
      <c r="CF85" s="25"/>
      <c r="CG85" s="25"/>
      <c r="CH85" s="25"/>
      <c r="CI85" s="25"/>
      <c r="CJ85" s="25"/>
    </row>
    <row r="86" spans="1:88" ht="14" customHeight="1">
      <c r="A86" s="106"/>
      <c r="B86" s="107"/>
      <c r="C86" s="39"/>
      <c r="D86" s="38"/>
      <c r="E86" s="32"/>
      <c r="F86" s="32"/>
      <c r="G86" s="32"/>
      <c r="H86" s="31"/>
      <c r="I86" s="47"/>
      <c r="J86" s="48"/>
      <c r="K86" s="32"/>
      <c r="L86" s="32"/>
      <c r="M86" s="48"/>
      <c r="N86" s="3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S86" s="25"/>
      <c r="AT86" s="25"/>
      <c r="AU86" s="25"/>
      <c r="AV86" s="25"/>
      <c r="AW86" s="25"/>
      <c r="AX86" s="25"/>
      <c r="AZ86" s="25"/>
      <c r="BA86" s="25"/>
      <c r="BB86" s="25"/>
      <c r="BC86" s="25"/>
      <c r="BD86" s="25"/>
      <c r="BE86" s="25"/>
      <c r="BI86" s="25"/>
      <c r="BJ86" s="25"/>
      <c r="BK86" s="25"/>
      <c r="BL86" s="25"/>
      <c r="BM86" s="25"/>
      <c r="BN86" s="25"/>
      <c r="BP86" s="25"/>
      <c r="BQ86" s="25"/>
      <c r="BR86" s="25"/>
      <c r="BS86" s="25"/>
      <c r="BT86" s="25"/>
      <c r="BU86" s="25"/>
      <c r="BX86" s="25"/>
      <c r="BY86" s="25"/>
      <c r="BZ86" s="25"/>
      <c r="CA86" s="25"/>
      <c r="CB86" s="25"/>
      <c r="CC86" s="25"/>
      <c r="CE86" s="25"/>
      <c r="CF86" s="25"/>
      <c r="CG86" s="25"/>
      <c r="CH86" s="25"/>
      <c r="CI86" s="25"/>
      <c r="CJ86" s="25"/>
    </row>
    <row r="87" spans="1:88" ht="14" customHeight="1">
      <c r="A87" s="39" t="s">
        <v>123</v>
      </c>
      <c r="B87" s="75"/>
      <c r="C87" s="14"/>
      <c r="D87" s="12"/>
      <c r="E87" s="14"/>
      <c r="F87" s="14"/>
      <c r="G87" s="14"/>
      <c r="H87" s="12"/>
      <c r="I87" s="14"/>
      <c r="J87" s="12"/>
      <c r="K87" s="14"/>
      <c r="L87" s="14"/>
      <c r="M87" s="10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S87" s="25"/>
      <c r="AT87" s="25"/>
      <c r="AU87" s="25"/>
      <c r="AV87" s="25"/>
      <c r="AW87" s="25"/>
      <c r="AX87" s="25"/>
      <c r="AZ87" s="25"/>
      <c r="BA87" s="25"/>
      <c r="BB87" s="25"/>
      <c r="BC87" s="25"/>
      <c r="BD87" s="25"/>
      <c r="BE87" s="25"/>
      <c r="BI87" s="25"/>
      <c r="BJ87" s="25"/>
      <c r="BK87" s="25"/>
      <c r="BL87" s="25"/>
      <c r="BM87" s="25"/>
      <c r="BN87" s="25"/>
      <c r="BP87" s="25"/>
      <c r="BQ87" s="25"/>
      <c r="BR87" s="25"/>
      <c r="BS87" s="25"/>
      <c r="BT87" s="25"/>
      <c r="BU87" s="25"/>
      <c r="BX87" s="25"/>
      <c r="BY87" s="25"/>
      <c r="BZ87" s="25"/>
      <c r="CA87" s="25"/>
      <c r="CB87" s="25"/>
      <c r="CC87" s="25"/>
      <c r="CE87" s="25"/>
      <c r="CF87" s="25"/>
      <c r="CG87" s="25"/>
      <c r="CH87" s="25"/>
      <c r="CI87" s="25"/>
      <c r="CJ87" s="25"/>
    </row>
    <row r="88" spans="1:88" ht="15.75" customHeight="1">
      <c r="A88" s="73" t="str">
        <f>A34</f>
        <v>Income : Better-off HHs</v>
      </c>
      <c r="B88" s="2"/>
      <c r="C88" s="2"/>
      <c r="D88" s="31"/>
      <c r="E88" s="2"/>
      <c r="F88" s="2"/>
      <c r="G88" s="2"/>
      <c r="H88" s="17"/>
      <c r="I88" s="2"/>
      <c r="J88" s="33"/>
      <c r="M88" s="57"/>
      <c r="N88" s="58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S88" s="25"/>
      <c r="AT88" s="25"/>
      <c r="AU88" s="25"/>
      <c r="AV88" s="25"/>
      <c r="AW88" s="25"/>
      <c r="AX88" s="25"/>
      <c r="AZ88" s="25"/>
      <c r="BA88" s="25"/>
      <c r="BB88" s="25"/>
      <c r="BC88" s="25"/>
      <c r="BD88" s="25"/>
      <c r="BE88" s="25"/>
      <c r="BI88" s="25"/>
      <c r="BJ88" s="25"/>
      <c r="BK88" s="25"/>
      <c r="BL88" s="25"/>
      <c r="BM88" s="25"/>
      <c r="BN88" s="25"/>
      <c r="BP88" s="25"/>
      <c r="BQ88" s="25"/>
      <c r="BR88" s="25"/>
      <c r="BS88" s="25"/>
      <c r="BT88" s="25"/>
      <c r="BU88" s="25"/>
      <c r="BX88" s="25"/>
      <c r="BY88" s="25"/>
      <c r="BZ88" s="25"/>
      <c r="CA88" s="25"/>
      <c r="CB88" s="25"/>
      <c r="CC88" s="25"/>
      <c r="CE88" s="25"/>
      <c r="CF88" s="25"/>
      <c r="CG88" s="25"/>
      <c r="CH88" s="25"/>
      <c r="CI88" s="25"/>
      <c r="CJ88" s="25"/>
    </row>
    <row r="89" spans="1:88" ht="14" customHeight="1">
      <c r="A89" s="2"/>
      <c r="B89" s="19" t="s">
        <v>7</v>
      </c>
      <c r="C89" s="19" t="s">
        <v>8</v>
      </c>
      <c r="D89" s="16" t="s">
        <v>9</v>
      </c>
      <c r="H89" s="16" t="s">
        <v>12</v>
      </c>
      <c r="I89" s="19" t="s">
        <v>13</v>
      </c>
      <c r="J89" s="16" t="s">
        <v>14</v>
      </c>
      <c r="K89" s="19" t="s">
        <v>7</v>
      </c>
      <c r="L89" s="19" t="s">
        <v>15</v>
      </c>
      <c r="M89" s="57" t="str">
        <f t="shared" ref="M89:M119" si="50">(J89)</f>
        <v>Curr.</v>
      </c>
      <c r="N89" s="58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S89" s="25"/>
      <c r="AT89" s="25"/>
      <c r="AU89" s="25"/>
      <c r="AV89" s="25"/>
      <c r="AW89" s="25"/>
      <c r="AX89" s="25"/>
      <c r="AZ89" s="25"/>
      <c r="BA89" s="25"/>
      <c r="BB89" s="25"/>
      <c r="BC89" s="25"/>
      <c r="BD89" s="25"/>
      <c r="BE89" s="25"/>
      <c r="BI89" s="25"/>
      <c r="BJ89" s="25"/>
      <c r="BK89" s="25"/>
      <c r="BL89" s="25"/>
      <c r="BM89" s="25"/>
      <c r="BN89" s="25"/>
      <c r="BP89" s="25"/>
      <c r="BQ89" s="25"/>
      <c r="BR89" s="25"/>
      <c r="BS89" s="25"/>
      <c r="BT89" s="25"/>
      <c r="BU89" s="25"/>
      <c r="BX89" s="25"/>
      <c r="BY89" s="25"/>
      <c r="BZ89" s="25"/>
      <c r="CA89" s="25"/>
      <c r="CB89" s="25"/>
      <c r="CC89" s="25"/>
      <c r="CE89" s="25"/>
      <c r="CF89" s="25"/>
      <c r="CG89" s="25"/>
      <c r="CH89" s="25"/>
      <c r="CI89" s="25"/>
      <c r="CJ89" s="25"/>
    </row>
    <row r="90" spans="1:88" ht="14" customHeight="1">
      <c r="A90" s="2" t="s">
        <v>44</v>
      </c>
      <c r="B90" s="19" t="s">
        <v>16</v>
      </c>
      <c r="C90" s="19" t="s">
        <v>17</v>
      </c>
      <c r="D90" s="16" t="s">
        <v>16</v>
      </c>
      <c r="H90" s="16" t="s">
        <v>18</v>
      </c>
      <c r="I90" s="19" t="s">
        <v>16</v>
      </c>
      <c r="J90" s="16" t="s">
        <v>16</v>
      </c>
      <c r="K90" s="19" t="s">
        <v>16</v>
      </c>
      <c r="L90" s="19" t="s">
        <v>19</v>
      </c>
      <c r="M90" s="57" t="str">
        <f t="shared" si="50"/>
        <v>Access</v>
      </c>
      <c r="N90" s="58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S90" s="25"/>
      <c r="AT90" s="25"/>
      <c r="AU90" s="25"/>
      <c r="AV90" s="25"/>
      <c r="AW90" s="25"/>
      <c r="AX90" s="25"/>
      <c r="AZ90" s="25"/>
      <c r="BA90" s="25"/>
      <c r="BB90" s="25"/>
      <c r="BC90" s="25"/>
      <c r="BD90" s="25"/>
      <c r="BE90" s="25"/>
      <c r="BI90" s="25"/>
      <c r="BJ90" s="25"/>
      <c r="BK90" s="25"/>
      <c r="BL90" s="25"/>
      <c r="BM90" s="25"/>
      <c r="BN90" s="25"/>
      <c r="BP90" s="25"/>
      <c r="BQ90" s="25"/>
      <c r="BR90" s="25"/>
      <c r="BS90" s="25"/>
      <c r="BT90" s="25"/>
      <c r="BU90" s="25"/>
      <c r="BX90" s="25"/>
      <c r="BY90" s="25"/>
      <c r="BZ90" s="25"/>
      <c r="CA90" s="25"/>
      <c r="CB90" s="25"/>
      <c r="CC90" s="25"/>
      <c r="CE90" s="25"/>
      <c r="CF90" s="25"/>
      <c r="CG90" s="25"/>
      <c r="CH90" s="25"/>
      <c r="CI90" s="25"/>
      <c r="CJ90" s="25"/>
    </row>
    <row r="91" spans="1:88" ht="14" customHeight="1">
      <c r="A91" s="2" t="str">
        <f>IF(A37="","",A37)</f>
        <v>Pig sales: no sold</v>
      </c>
      <c r="B91" s="75">
        <f>(B37/$B$83)</f>
        <v>0.18147181527494882</v>
      </c>
      <c r="C91" s="75">
        <f>(C37/$B$83)</f>
        <v>0</v>
      </c>
      <c r="D91" s="24">
        <f t="shared" ref="D91" si="51">(B91+C91)</f>
        <v>0.18147181527494882</v>
      </c>
      <c r="H91" s="24">
        <f>(E37*F37/G37*F$7/F$9)</f>
        <v>0.57212121212121214</v>
      </c>
      <c r="I91" s="22">
        <f t="shared" ref="I91" si="52">(D91*H91)</f>
        <v>0.10382387492094042</v>
      </c>
      <c r="J91" s="24">
        <f>IF(I$32&lt;=1+I$131,I91,L91+J$33*(I91-L91))</f>
        <v>0.10382387492094042</v>
      </c>
      <c r="K91" s="22">
        <f t="shared" ref="K91" si="53">(B91)</f>
        <v>0.18147181527494882</v>
      </c>
      <c r="L91" s="22">
        <f t="shared" ref="L91" si="54">(K91*H91)</f>
        <v>0.10382387492094042</v>
      </c>
      <c r="M91" s="227">
        <f t="shared" si="50"/>
        <v>0.10382387492094042</v>
      </c>
      <c r="N91" s="229">
        <v>5</v>
      </c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S91" s="25"/>
      <c r="AT91" s="25"/>
      <c r="AU91" s="25"/>
      <c r="AV91" s="25"/>
      <c r="AW91" s="25"/>
      <c r="AX91" s="25"/>
      <c r="AZ91" s="25"/>
      <c r="BA91" s="25"/>
      <c r="BB91" s="25"/>
      <c r="BC91" s="25"/>
      <c r="BD91" s="25"/>
      <c r="BE91" s="25"/>
      <c r="BI91" s="25"/>
      <c r="BJ91" s="25"/>
      <c r="BK91" s="25"/>
      <c r="BL91" s="25"/>
      <c r="BM91" s="25"/>
      <c r="BN91" s="25"/>
      <c r="BP91" s="25"/>
      <c r="BQ91" s="25"/>
      <c r="BR91" s="25"/>
      <c r="BS91" s="25"/>
      <c r="BT91" s="25"/>
      <c r="BU91" s="25"/>
      <c r="BX91" s="25"/>
      <c r="BY91" s="25"/>
      <c r="BZ91" s="25"/>
      <c r="CA91" s="25"/>
      <c r="CB91" s="25"/>
      <c r="CC91" s="25"/>
      <c r="CE91" s="25"/>
      <c r="CF91" s="25"/>
      <c r="CG91" s="25"/>
      <c r="CH91" s="25"/>
      <c r="CI91" s="25"/>
      <c r="CJ91" s="25"/>
    </row>
    <row r="92" spans="1:88" ht="14" customHeight="1">
      <c r="A92" s="2" t="str">
        <f t="shared" ref="A92:A118" si="55">IF(A38="","",A38)</f>
        <v>Cattle sales - local: no. sold</v>
      </c>
      <c r="B92" s="75">
        <f t="shared" ref="B92:C92" si="56">(B38/$B$83)</f>
        <v>1.4073324449893989</v>
      </c>
      <c r="C92" s="75">
        <f t="shared" si="56"/>
        <v>0.11110519302547887</v>
      </c>
      <c r="D92" s="24">
        <f t="shared" ref="D92:D118" si="57">(B92+C92)</f>
        <v>1.5184376380148779</v>
      </c>
      <c r="H92" s="24">
        <f t="shared" ref="H92:H118" si="58">(E38*F38/G38*F$7/F$9)</f>
        <v>0.57212121212121214</v>
      </c>
      <c r="I92" s="22">
        <f t="shared" ref="I92:I118" si="59">(D92*H92)</f>
        <v>0.86873038199154229</v>
      </c>
      <c r="J92" s="24">
        <f t="shared" ref="J92:J118" si="60">IF(I$32&lt;=1+I$131,I92,L92+J$33*(I92-L92))</f>
        <v>0.80377008291416374</v>
      </c>
      <c r="K92" s="22">
        <f t="shared" ref="K92:K118" si="61">(B92)</f>
        <v>1.4073324449893989</v>
      </c>
      <c r="L92" s="22">
        <f t="shared" ref="L92:L118" si="62">(K92*H92)</f>
        <v>0.80516474428484397</v>
      </c>
      <c r="M92" s="227">
        <f t="shared" ref="M92:M118" si="63">(J92)</f>
        <v>0.80377008291416374</v>
      </c>
      <c r="N92" s="229">
        <v>5</v>
      </c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S92" s="25"/>
      <c r="AT92" s="25"/>
      <c r="AU92" s="25"/>
      <c r="AV92" s="25"/>
      <c r="AW92" s="25"/>
      <c r="AX92" s="25"/>
      <c r="AZ92" s="25"/>
      <c r="BA92" s="25"/>
      <c r="BB92" s="25"/>
      <c r="BC92" s="25"/>
      <c r="BD92" s="25"/>
      <c r="BE92" s="25"/>
      <c r="BI92" s="25"/>
      <c r="BJ92" s="25"/>
      <c r="BK92" s="25"/>
      <c r="BL92" s="25"/>
      <c r="BM92" s="25"/>
      <c r="BN92" s="25"/>
      <c r="BP92" s="25"/>
      <c r="BQ92" s="25"/>
      <c r="BR92" s="25"/>
      <c r="BS92" s="25"/>
      <c r="BT92" s="25"/>
      <c r="BU92" s="25"/>
      <c r="BX92" s="25"/>
      <c r="BY92" s="25"/>
      <c r="BZ92" s="25"/>
      <c r="CA92" s="25"/>
      <c r="CB92" s="25"/>
      <c r="CC92" s="25"/>
      <c r="CE92" s="25"/>
      <c r="CF92" s="25"/>
      <c r="CG92" s="25"/>
      <c r="CH92" s="25"/>
      <c r="CI92" s="25"/>
      <c r="CJ92" s="25"/>
    </row>
    <row r="93" spans="1:88" ht="14" customHeight="1">
      <c r="A93" s="2" t="str">
        <f t="shared" si="55"/>
        <v>Goat sales - local: no. sold</v>
      </c>
      <c r="B93" s="75">
        <f t="shared" ref="B93:C93" si="64">(B39/$B$83)</f>
        <v>0.3722023966353542</v>
      </c>
      <c r="C93" s="75">
        <f t="shared" si="64"/>
        <v>-8.7032401203291782E-2</v>
      </c>
      <c r="D93" s="24">
        <f t="shared" si="57"/>
        <v>0.28516999543206245</v>
      </c>
      <c r="H93" s="24">
        <f t="shared" si="58"/>
        <v>0.57212121212121214</v>
      </c>
      <c r="I93" s="22">
        <f t="shared" si="59"/>
        <v>0.1631518034471921</v>
      </c>
      <c r="J93" s="24">
        <f t="shared" si="60"/>
        <v>0.21403737105780521</v>
      </c>
      <c r="K93" s="22">
        <f t="shared" si="61"/>
        <v>0.3722023966353542</v>
      </c>
      <c r="L93" s="22">
        <f t="shared" si="62"/>
        <v>0.21294488631743902</v>
      </c>
      <c r="M93" s="227">
        <f t="shared" si="63"/>
        <v>0.21403737105780521</v>
      </c>
      <c r="N93" s="229">
        <v>5</v>
      </c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S93" s="25"/>
      <c r="AT93" s="25"/>
      <c r="AU93" s="25"/>
      <c r="AV93" s="25"/>
      <c r="AW93" s="25"/>
      <c r="AX93" s="25"/>
      <c r="AZ93" s="25"/>
      <c r="BA93" s="25"/>
      <c r="BB93" s="25"/>
      <c r="BC93" s="25"/>
      <c r="BD93" s="25"/>
      <c r="BE93" s="25"/>
      <c r="BI93" s="25"/>
      <c r="BJ93" s="25"/>
      <c r="BK93" s="25"/>
      <c r="BL93" s="25"/>
      <c r="BM93" s="25"/>
      <c r="BN93" s="25"/>
      <c r="BP93" s="25"/>
      <c r="BQ93" s="25"/>
      <c r="BR93" s="25"/>
      <c r="BS93" s="25"/>
      <c r="BT93" s="25"/>
      <c r="BU93" s="25"/>
      <c r="BX93" s="25"/>
      <c r="BY93" s="25"/>
      <c r="BZ93" s="25"/>
      <c r="CA93" s="25"/>
      <c r="CB93" s="25"/>
      <c r="CC93" s="25"/>
      <c r="CE93" s="25"/>
      <c r="CF93" s="25"/>
      <c r="CG93" s="25"/>
      <c r="CH93" s="25"/>
      <c r="CI93" s="25"/>
      <c r="CJ93" s="25"/>
    </row>
    <row r="94" spans="1:88" ht="14" customHeight="1">
      <c r="A94" s="2" t="str">
        <f t="shared" si="55"/>
        <v>Chicken sales: no. sold</v>
      </c>
      <c r="B94" s="75">
        <f t="shared" ref="B94:C94" si="65">(B40/$B$83)</f>
        <v>9.1661784246020062E-2</v>
      </c>
      <c r="C94" s="75">
        <f t="shared" si="65"/>
        <v>0</v>
      </c>
      <c r="D94" s="24">
        <f t="shared" si="57"/>
        <v>9.1661784246020062E-2</v>
      </c>
      <c r="H94" s="24">
        <f t="shared" si="58"/>
        <v>0.7151515151515152</v>
      </c>
      <c r="I94" s="22">
        <f t="shared" si="59"/>
        <v>6.5552063885032527E-2</v>
      </c>
      <c r="J94" s="24">
        <f t="shared" si="60"/>
        <v>6.5552063885032527E-2</v>
      </c>
      <c r="K94" s="22">
        <f t="shared" si="61"/>
        <v>9.1661784246020062E-2</v>
      </c>
      <c r="L94" s="22">
        <f t="shared" si="62"/>
        <v>6.5552063885032527E-2</v>
      </c>
      <c r="M94" s="227">
        <f t="shared" si="63"/>
        <v>6.5552063885032527E-2</v>
      </c>
      <c r="N94" s="229">
        <v>5</v>
      </c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S94" s="25"/>
      <c r="AT94" s="25"/>
      <c r="AU94" s="25"/>
      <c r="AV94" s="25"/>
      <c r="AW94" s="25"/>
      <c r="AX94" s="25"/>
      <c r="AZ94" s="25"/>
      <c r="BA94" s="25"/>
      <c r="BB94" s="25"/>
      <c r="BC94" s="25"/>
      <c r="BD94" s="25"/>
      <c r="BE94" s="25"/>
      <c r="BI94" s="25"/>
      <c r="BJ94" s="25"/>
      <c r="BK94" s="25"/>
      <c r="BL94" s="25"/>
      <c r="BM94" s="25"/>
      <c r="BN94" s="25"/>
      <c r="BP94" s="25"/>
      <c r="BQ94" s="25"/>
      <c r="BR94" s="25"/>
      <c r="BS94" s="25"/>
      <c r="BT94" s="25"/>
      <c r="BU94" s="25"/>
      <c r="BX94" s="25"/>
      <c r="BY94" s="25"/>
      <c r="BZ94" s="25"/>
      <c r="CA94" s="25"/>
      <c r="CB94" s="25"/>
      <c r="CC94" s="25"/>
      <c r="CE94" s="25"/>
      <c r="CF94" s="25"/>
      <c r="CG94" s="25"/>
      <c r="CH94" s="25"/>
      <c r="CI94" s="25"/>
      <c r="CJ94" s="25"/>
    </row>
    <row r="95" spans="1:88" ht="14" customHeight="1">
      <c r="A95" s="2" t="str">
        <f t="shared" si="55"/>
        <v>Green maize sold: quantity</v>
      </c>
      <c r="B95" s="75">
        <f t="shared" ref="B95:C95" si="66">(B41/$B$83)</f>
        <v>1.1110519302547888</v>
      </c>
      <c r="C95" s="75">
        <f t="shared" si="66"/>
        <v>0</v>
      </c>
      <c r="D95" s="24">
        <f t="shared" si="57"/>
        <v>1.1110519302547888</v>
      </c>
      <c r="H95" s="24">
        <f t="shared" si="58"/>
        <v>0.84848484848484851</v>
      </c>
      <c r="I95" s="22">
        <f t="shared" si="59"/>
        <v>0.9427107287010329</v>
      </c>
      <c r="J95" s="24">
        <f t="shared" si="60"/>
        <v>0.9427107287010329</v>
      </c>
      <c r="K95" s="22">
        <f t="shared" si="61"/>
        <v>1.1110519302547888</v>
      </c>
      <c r="L95" s="22">
        <f t="shared" si="62"/>
        <v>0.9427107287010329</v>
      </c>
      <c r="M95" s="227">
        <f t="shared" si="63"/>
        <v>0.9427107287010329</v>
      </c>
      <c r="N95" s="229">
        <v>2</v>
      </c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S95" s="25"/>
      <c r="AT95" s="25"/>
      <c r="AU95" s="25"/>
      <c r="AV95" s="25"/>
      <c r="AW95" s="25"/>
      <c r="AX95" s="25"/>
      <c r="AZ95" s="25"/>
      <c r="BA95" s="25"/>
      <c r="BB95" s="25"/>
      <c r="BC95" s="25"/>
      <c r="BD95" s="25"/>
      <c r="BE95" s="25"/>
      <c r="BI95" s="25"/>
      <c r="BJ95" s="25"/>
      <c r="BK95" s="25"/>
      <c r="BL95" s="25"/>
      <c r="BM95" s="25"/>
      <c r="BN95" s="25"/>
      <c r="BP95" s="25"/>
      <c r="BQ95" s="25"/>
      <c r="BR95" s="25"/>
      <c r="BS95" s="25"/>
      <c r="BT95" s="25"/>
      <c r="BU95" s="25"/>
      <c r="BX95" s="25"/>
      <c r="BY95" s="25"/>
      <c r="BZ95" s="25"/>
      <c r="CA95" s="25"/>
      <c r="CB95" s="25"/>
      <c r="CC95" s="25"/>
      <c r="CE95" s="25"/>
      <c r="CF95" s="25"/>
      <c r="CG95" s="25"/>
      <c r="CH95" s="25"/>
      <c r="CI95" s="25"/>
      <c r="CJ95" s="25"/>
    </row>
    <row r="96" spans="1:88" ht="14" customHeight="1">
      <c r="A96" s="2" t="str">
        <f t="shared" si="55"/>
        <v>Maize: kg produced</v>
      </c>
      <c r="B96" s="75">
        <f t="shared" ref="B96:C96" si="67">(B42/$B$83)</f>
        <v>0.55552596512739438</v>
      </c>
      <c r="C96" s="75">
        <f t="shared" si="67"/>
        <v>-0.55552596512739438</v>
      </c>
      <c r="D96" s="24">
        <f t="shared" si="57"/>
        <v>0</v>
      </c>
      <c r="H96" s="24">
        <f t="shared" si="58"/>
        <v>0.92484848484848492</v>
      </c>
      <c r="I96" s="22">
        <f t="shared" si="59"/>
        <v>0</v>
      </c>
      <c r="J96" s="24">
        <f t="shared" si="60"/>
        <v>0.52504987495804833</v>
      </c>
      <c r="K96" s="22">
        <f t="shared" si="61"/>
        <v>0.55552596512739438</v>
      </c>
      <c r="L96" s="22">
        <f t="shared" si="62"/>
        <v>0.51377734714206291</v>
      </c>
      <c r="M96" s="227">
        <f t="shared" si="63"/>
        <v>0.52504987495804833</v>
      </c>
      <c r="N96" s="229">
        <v>2</v>
      </c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S96" s="25"/>
      <c r="AT96" s="25"/>
      <c r="AU96" s="25"/>
      <c r="AV96" s="25"/>
      <c r="AW96" s="25"/>
      <c r="AX96" s="25"/>
      <c r="AZ96" s="25"/>
      <c r="BA96" s="25"/>
      <c r="BB96" s="25"/>
      <c r="BC96" s="25"/>
      <c r="BD96" s="25"/>
      <c r="BE96" s="25"/>
      <c r="BI96" s="25"/>
      <c r="BJ96" s="25"/>
      <c r="BK96" s="25"/>
      <c r="BL96" s="25"/>
      <c r="BM96" s="25"/>
      <c r="BN96" s="25"/>
      <c r="BP96" s="25"/>
      <c r="BQ96" s="25"/>
      <c r="BR96" s="25"/>
      <c r="BS96" s="25"/>
      <c r="BT96" s="25"/>
      <c r="BU96" s="25"/>
      <c r="BX96" s="25"/>
      <c r="BY96" s="25"/>
      <c r="BZ96" s="25"/>
      <c r="CA96" s="25"/>
      <c r="CB96" s="25"/>
      <c r="CC96" s="25"/>
      <c r="CE96" s="25"/>
      <c r="CF96" s="25"/>
      <c r="CG96" s="25"/>
      <c r="CH96" s="25"/>
      <c r="CI96" s="25"/>
      <c r="CJ96" s="25"/>
    </row>
    <row r="97" spans="1:88" ht="14" customHeight="1">
      <c r="A97" s="2" t="str">
        <f t="shared" si="55"/>
        <v>Maize (irrigated): kg produced</v>
      </c>
      <c r="B97" s="75">
        <f t="shared" ref="B97:C97" si="68">(B43/$B$83)</f>
        <v>1.1110519302547887E-2</v>
      </c>
      <c r="C97" s="75">
        <f t="shared" si="68"/>
        <v>-1.1110519302547887E-2</v>
      </c>
      <c r="D97" s="24">
        <f t="shared" si="57"/>
        <v>0</v>
      </c>
      <c r="H97" s="24">
        <f t="shared" si="58"/>
        <v>0.92484848484848492</v>
      </c>
      <c r="I97" s="22">
        <f t="shared" si="59"/>
        <v>0</v>
      </c>
      <c r="J97" s="24">
        <f t="shared" si="60"/>
        <v>1.0500997499160968E-2</v>
      </c>
      <c r="K97" s="22">
        <f t="shared" si="61"/>
        <v>1.1110519302547887E-2</v>
      </c>
      <c r="L97" s="22">
        <f t="shared" si="62"/>
        <v>1.0275546942841258E-2</v>
      </c>
      <c r="M97" s="227">
        <f t="shared" si="63"/>
        <v>1.0500997499160968E-2</v>
      </c>
      <c r="N97" s="229">
        <v>2</v>
      </c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S97" s="25"/>
      <c r="AT97" s="25"/>
      <c r="AU97" s="25"/>
      <c r="AV97" s="25"/>
      <c r="AW97" s="25"/>
      <c r="AX97" s="25"/>
      <c r="AZ97" s="25"/>
      <c r="BA97" s="25"/>
      <c r="BB97" s="25"/>
      <c r="BC97" s="25"/>
      <c r="BD97" s="25"/>
      <c r="BE97" s="25"/>
      <c r="BI97" s="25"/>
      <c r="BJ97" s="25"/>
      <c r="BK97" s="25"/>
      <c r="BL97" s="25"/>
      <c r="BM97" s="25"/>
      <c r="BN97" s="25"/>
      <c r="BP97" s="25"/>
      <c r="BQ97" s="25"/>
      <c r="BR97" s="25"/>
      <c r="BS97" s="25"/>
      <c r="BT97" s="25"/>
      <c r="BU97" s="25"/>
      <c r="BX97" s="25"/>
      <c r="BY97" s="25"/>
      <c r="BZ97" s="25"/>
      <c r="CA97" s="25"/>
      <c r="CB97" s="25"/>
      <c r="CC97" s="25"/>
      <c r="CE97" s="25"/>
      <c r="CF97" s="25"/>
      <c r="CG97" s="25"/>
      <c r="CH97" s="25"/>
      <c r="CI97" s="25"/>
      <c r="CJ97" s="25"/>
    </row>
    <row r="98" spans="1:88" ht="14" customHeight="1">
      <c r="A98" s="2" t="str">
        <f t="shared" si="55"/>
        <v>Beans: kg produced</v>
      </c>
      <c r="B98" s="75">
        <f t="shared" ref="B98:C98" si="69">(B44/$B$83)</f>
        <v>0.20739636031422723</v>
      </c>
      <c r="C98" s="75">
        <f t="shared" si="69"/>
        <v>-8.8884154420383096E-2</v>
      </c>
      <c r="D98" s="24">
        <f t="shared" si="57"/>
        <v>0.11851220589384413</v>
      </c>
      <c r="H98" s="24">
        <f t="shared" si="58"/>
        <v>0.84848484848484851</v>
      </c>
      <c r="I98" s="22">
        <f t="shared" si="59"/>
        <v>0.10055581106144351</v>
      </c>
      <c r="J98" s="24">
        <f t="shared" si="60"/>
        <v>0.17762735233968915</v>
      </c>
      <c r="K98" s="22">
        <f t="shared" si="61"/>
        <v>0.20739636031422723</v>
      </c>
      <c r="L98" s="22">
        <f t="shared" si="62"/>
        <v>0.17597266935752615</v>
      </c>
      <c r="M98" s="227">
        <f t="shared" si="63"/>
        <v>0.17762735233968915</v>
      </c>
      <c r="N98" s="229">
        <v>2</v>
      </c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S98" s="25"/>
      <c r="AT98" s="25"/>
      <c r="AU98" s="25"/>
      <c r="AV98" s="25"/>
      <c r="AW98" s="25"/>
      <c r="AX98" s="25"/>
      <c r="AZ98" s="25"/>
      <c r="BA98" s="25"/>
      <c r="BB98" s="25"/>
      <c r="BC98" s="25"/>
      <c r="BD98" s="25"/>
      <c r="BE98" s="25"/>
      <c r="BI98" s="25"/>
      <c r="BJ98" s="25"/>
      <c r="BK98" s="25"/>
      <c r="BL98" s="25"/>
      <c r="BM98" s="25"/>
      <c r="BN98" s="25"/>
      <c r="BP98" s="25"/>
      <c r="BQ98" s="25"/>
      <c r="BR98" s="25"/>
      <c r="BS98" s="25"/>
      <c r="BT98" s="25"/>
      <c r="BU98" s="25"/>
      <c r="BX98" s="25"/>
      <c r="BY98" s="25"/>
      <c r="BZ98" s="25"/>
      <c r="CA98" s="25"/>
      <c r="CB98" s="25"/>
      <c r="CC98" s="25"/>
      <c r="CE98" s="25"/>
      <c r="CF98" s="25"/>
      <c r="CG98" s="25"/>
      <c r="CH98" s="25"/>
      <c r="CI98" s="25"/>
      <c r="CJ98" s="25"/>
    </row>
    <row r="99" spans="1:88" ht="14" customHeight="1">
      <c r="A99" s="2" t="str">
        <f t="shared" si="55"/>
        <v>Potato: kg produced</v>
      </c>
      <c r="B99" s="75">
        <f t="shared" ref="B99:C99" si="70">(B45/$B$83)</f>
        <v>0.13332623163057464</v>
      </c>
      <c r="C99" s="75">
        <f t="shared" si="70"/>
        <v>-0.13332623163057464</v>
      </c>
      <c r="D99" s="24">
        <f t="shared" si="57"/>
        <v>0</v>
      </c>
      <c r="H99" s="24">
        <f t="shared" si="58"/>
        <v>0.84848484848484851</v>
      </c>
      <c r="I99" s="22">
        <f t="shared" si="59"/>
        <v>0</v>
      </c>
      <c r="J99" s="24">
        <f t="shared" si="60"/>
        <v>0.11560731191736844</v>
      </c>
      <c r="K99" s="22">
        <f t="shared" si="61"/>
        <v>0.13332623163057464</v>
      </c>
      <c r="L99" s="22">
        <f t="shared" si="62"/>
        <v>0.11312528744412394</v>
      </c>
      <c r="M99" s="227">
        <f t="shared" si="63"/>
        <v>0.11560731191736844</v>
      </c>
      <c r="N99" s="229">
        <v>2</v>
      </c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S99" s="25"/>
      <c r="AT99" s="25"/>
      <c r="AU99" s="25"/>
      <c r="AV99" s="25"/>
      <c r="AW99" s="25"/>
      <c r="AX99" s="25"/>
      <c r="AZ99" s="25"/>
      <c r="BA99" s="25"/>
      <c r="BB99" s="25"/>
      <c r="BC99" s="25"/>
      <c r="BD99" s="25"/>
      <c r="BE99" s="25"/>
      <c r="BI99" s="25"/>
      <c r="BJ99" s="25"/>
      <c r="BK99" s="25"/>
      <c r="BL99" s="25"/>
      <c r="BM99" s="25"/>
      <c r="BN99" s="25"/>
      <c r="BP99" s="25"/>
      <c r="BQ99" s="25"/>
      <c r="BR99" s="25"/>
      <c r="BS99" s="25"/>
      <c r="BT99" s="25"/>
      <c r="BU99" s="25"/>
      <c r="BX99" s="25"/>
      <c r="BY99" s="25"/>
      <c r="BZ99" s="25"/>
      <c r="CA99" s="25"/>
      <c r="CB99" s="25"/>
      <c r="CC99" s="25"/>
      <c r="CE99" s="25"/>
      <c r="CF99" s="25"/>
      <c r="CG99" s="25"/>
      <c r="CH99" s="25"/>
      <c r="CI99" s="25"/>
      <c r="CJ99" s="25"/>
    </row>
    <row r="100" spans="1:88" ht="14" customHeight="1">
      <c r="A100" s="2" t="str">
        <f t="shared" si="55"/>
        <v>Sweet potato: no. local meas</v>
      </c>
      <c r="B100" s="75">
        <f t="shared" ref="B100:C100" si="71">(B46/$B$83)</f>
        <v>0.24072791822187087</v>
      </c>
      <c r="C100" s="75">
        <f t="shared" si="71"/>
        <v>-0.24072791822187087</v>
      </c>
      <c r="D100" s="24">
        <f t="shared" si="57"/>
        <v>0</v>
      </c>
      <c r="H100" s="24">
        <f t="shared" si="58"/>
        <v>0.84848484848484851</v>
      </c>
      <c r="I100" s="22">
        <f t="shared" si="59"/>
        <v>0</v>
      </c>
      <c r="J100" s="24">
        <f t="shared" si="60"/>
        <v>0.20873542429524858</v>
      </c>
      <c r="K100" s="22">
        <f t="shared" si="61"/>
        <v>0.24072791822187087</v>
      </c>
      <c r="L100" s="22">
        <f t="shared" si="62"/>
        <v>0.20425399121855711</v>
      </c>
      <c r="M100" s="227">
        <f t="shared" si="63"/>
        <v>0.20873542429524858</v>
      </c>
      <c r="N100" s="229">
        <v>2</v>
      </c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S100" s="25"/>
      <c r="AT100" s="25"/>
      <c r="AU100" s="25"/>
      <c r="AV100" s="25"/>
      <c r="AW100" s="25"/>
      <c r="AX100" s="25"/>
      <c r="AZ100" s="25"/>
      <c r="BA100" s="25"/>
      <c r="BB100" s="25"/>
      <c r="BC100" s="25"/>
      <c r="BD100" s="25"/>
      <c r="BE100" s="25"/>
      <c r="BI100" s="25"/>
      <c r="BJ100" s="25"/>
      <c r="BK100" s="25"/>
      <c r="BL100" s="25"/>
      <c r="BM100" s="25"/>
      <c r="BN100" s="25"/>
      <c r="BP100" s="25"/>
      <c r="BQ100" s="25"/>
      <c r="BR100" s="25"/>
      <c r="BS100" s="25"/>
      <c r="BT100" s="25"/>
      <c r="BU100" s="25"/>
      <c r="BX100" s="25"/>
      <c r="BY100" s="25"/>
      <c r="BZ100" s="25"/>
      <c r="CA100" s="25"/>
      <c r="CB100" s="25"/>
      <c r="CC100" s="25"/>
      <c r="CE100" s="25"/>
      <c r="CF100" s="25"/>
      <c r="CG100" s="25"/>
      <c r="CH100" s="25"/>
      <c r="CI100" s="25"/>
      <c r="CJ100" s="25"/>
    </row>
    <row r="101" spans="1:88" ht="14" customHeight="1">
      <c r="A101" s="2" t="str">
        <f t="shared" si="55"/>
        <v>Groundnuts (dry): no. local meas</v>
      </c>
      <c r="B101" s="75">
        <f t="shared" ref="B101:C101" si="72">(B47/$B$83)</f>
        <v>4.4442077210191548E-2</v>
      </c>
      <c r="C101" s="75">
        <f t="shared" si="72"/>
        <v>-4.4442077210191548E-2</v>
      </c>
      <c r="D101" s="24">
        <f t="shared" si="57"/>
        <v>0</v>
      </c>
      <c r="H101" s="24">
        <f t="shared" si="58"/>
        <v>0.84848484848484851</v>
      </c>
      <c r="I101" s="22">
        <f t="shared" si="59"/>
        <v>0</v>
      </c>
      <c r="J101" s="24">
        <f t="shared" si="60"/>
        <v>3.8535770639122821E-2</v>
      </c>
      <c r="K101" s="22">
        <f t="shared" si="61"/>
        <v>4.4442077210191548E-2</v>
      </c>
      <c r="L101" s="22">
        <f t="shared" si="62"/>
        <v>3.7708429148041317E-2</v>
      </c>
      <c r="M101" s="227">
        <f t="shared" si="63"/>
        <v>3.8535770639122821E-2</v>
      </c>
      <c r="N101" s="229">
        <v>2</v>
      </c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S101" s="25"/>
      <c r="AT101" s="25"/>
      <c r="AU101" s="25"/>
      <c r="AV101" s="25"/>
      <c r="AW101" s="25"/>
      <c r="AX101" s="25"/>
      <c r="AZ101" s="25"/>
      <c r="BA101" s="25"/>
      <c r="BB101" s="25"/>
      <c r="BC101" s="25"/>
      <c r="BD101" s="25"/>
      <c r="BE101" s="25"/>
      <c r="BI101" s="25"/>
      <c r="BJ101" s="25"/>
      <c r="BK101" s="25"/>
      <c r="BL101" s="25"/>
      <c r="BM101" s="25"/>
      <c r="BN101" s="25"/>
      <c r="BP101" s="25"/>
      <c r="BQ101" s="25"/>
      <c r="BR101" s="25"/>
      <c r="BS101" s="25"/>
      <c r="BT101" s="25"/>
      <c r="BU101" s="25"/>
      <c r="BX101" s="25"/>
      <c r="BY101" s="25"/>
      <c r="BZ101" s="25"/>
      <c r="CA101" s="25"/>
      <c r="CB101" s="25"/>
      <c r="CC101" s="25"/>
      <c r="CE101" s="25"/>
      <c r="CF101" s="25"/>
      <c r="CG101" s="25"/>
      <c r="CH101" s="25"/>
      <c r="CI101" s="25"/>
      <c r="CJ101" s="25"/>
    </row>
    <row r="102" spans="1:88" ht="14" customHeight="1">
      <c r="A102" s="2" t="str">
        <f t="shared" si="55"/>
        <v>Other crop: Rape</v>
      </c>
      <c r="B102" s="75">
        <f t="shared" ref="B102:C102" si="73">(B48/$B$83)</f>
        <v>6.4811362598196009E-3</v>
      </c>
      <c r="C102" s="75">
        <f t="shared" si="73"/>
        <v>-6.4811362598196009E-3</v>
      </c>
      <c r="D102" s="24">
        <f t="shared" si="57"/>
        <v>0</v>
      </c>
      <c r="H102" s="24">
        <f t="shared" si="58"/>
        <v>0.84848484848484851</v>
      </c>
      <c r="I102" s="22">
        <f t="shared" si="59"/>
        <v>0</v>
      </c>
      <c r="J102" s="24">
        <f t="shared" si="60"/>
        <v>5.6197998848720775E-3</v>
      </c>
      <c r="K102" s="22">
        <f t="shared" si="61"/>
        <v>6.4811362598196009E-3</v>
      </c>
      <c r="L102" s="22">
        <f t="shared" si="62"/>
        <v>5.4991459174226921E-3</v>
      </c>
      <c r="M102" s="227">
        <f t="shared" si="63"/>
        <v>5.6197998848720775E-3</v>
      </c>
      <c r="N102" s="229">
        <v>2</v>
      </c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S102" s="25"/>
      <c r="AT102" s="25"/>
      <c r="AU102" s="25"/>
      <c r="AV102" s="25"/>
      <c r="AW102" s="25"/>
      <c r="AX102" s="25"/>
      <c r="AZ102" s="25"/>
      <c r="BA102" s="25"/>
      <c r="BB102" s="25"/>
      <c r="BC102" s="25"/>
      <c r="BD102" s="25"/>
      <c r="BE102" s="25"/>
      <c r="BI102" s="25"/>
      <c r="BJ102" s="25"/>
      <c r="BK102" s="25"/>
      <c r="BL102" s="25"/>
      <c r="BM102" s="25"/>
      <c r="BN102" s="25"/>
      <c r="BP102" s="25"/>
      <c r="BQ102" s="25"/>
      <c r="BR102" s="25"/>
      <c r="BS102" s="25"/>
      <c r="BT102" s="25"/>
      <c r="BU102" s="25"/>
      <c r="BX102" s="25"/>
      <c r="BY102" s="25"/>
      <c r="BZ102" s="25"/>
      <c r="CA102" s="25"/>
      <c r="CB102" s="25"/>
      <c r="CC102" s="25"/>
      <c r="CE102" s="25"/>
      <c r="CF102" s="25"/>
      <c r="CG102" s="25"/>
      <c r="CH102" s="25"/>
      <c r="CI102" s="25"/>
      <c r="CJ102" s="25"/>
    </row>
    <row r="103" spans="1:88" ht="14" customHeight="1">
      <c r="A103" s="2" t="str">
        <f t="shared" si="55"/>
        <v>Other cashcrop (cabbage): kg produced</v>
      </c>
      <c r="B103" s="75">
        <f t="shared" ref="B103:C103" si="74">(B49/$B$83)</f>
        <v>2.9628051473461033E-2</v>
      </c>
      <c r="C103" s="75">
        <f t="shared" si="74"/>
        <v>0</v>
      </c>
      <c r="D103" s="24">
        <f t="shared" si="57"/>
        <v>2.9628051473461033E-2</v>
      </c>
      <c r="H103" s="24">
        <f t="shared" si="58"/>
        <v>0.84848484848484851</v>
      </c>
      <c r="I103" s="22">
        <f t="shared" si="59"/>
        <v>2.5138952765360878E-2</v>
      </c>
      <c r="J103" s="24">
        <f t="shared" si="60"/>
        <v>2.5138952765360878E-2</v>
      </c>
      <c r="K103" s="22">
        <f t="shared" si="61"/>
        <v>2.9628051473461033E-2</v>
      </c>
      <c r="L103" s="22">
        <f t="shared" si="62"/>
        <v>2.5138952765360878E-2</v>
      </c>
      <c r="M103" s="227">
        <f t="shared" si="63"/>
        <v>2.5138952765360878E-2</v>
      </c>
      <c r="N103" s="229">
        <v>2</v>
      </c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S103" s="25"/>
      <c r="AT103" s="25"/>
      <c r="AU103" s="25"/>
      <c r="AV103" s="25"/>
      <c r="AW103" s="25"/>
      <c r="AX103" s="25"/>
      <c r="AZ103" s="25"/>
      <c r="BA103" s="25"/>
      <c r="BB103" s="25"/>
      <c r="BC103" s="25"/>
      <c r="BD103" s="25"/>
      <c r="BE103" s="25"/>
      <c r="BI103" s="25"/>
      <c r="BJ103" s="25"/>
      <c r="BK103" s="25"/>
      <c r="BL103" s="25"/>
      <c r="BM103" s="25"/>
      <c r="BN103" s="25"/>
      <c r="BP103" s="25"/>
      <c r="BQ103" s="25"/>
      <c r="BR103" s="25"/>
      <c r="BS103" s="25"/>
      <c r="BT103" s="25"/>
      <c r="BU103" s="25"/>
      <c r="BX103" s="25"/>
      <c r="BY103" s="25"/>
      <c r="BZ103" s="25"/>
      <c r="CA103" s="25"/>
      <c r="CB103" s="25"/>
      <c r="CC103" s="25"/>
      <c r="CE103" s="25"/>
      <c r="CF103" s="25"/>
      <c r="CG103" s="25"/>
      <c r="CH103" s="25"/>
      <c r="CI103" s="25"/>
      <c r="CJ103" s="25"/>
    </row>
    <row r="104" spans="1:88" ht="14" customHeight="1">
      <c r="A104" s="2" t="str">
        <f t="shared" si="55"/>
        <v>Other crop: Amadumbe</v>
      </c>
      <c r="B104" s="75">
        <f t="shared" ref="B104:C104" si="75">(B50/$B$83)</f>
        <v>4.6293830427282863E-2</v>
      </c>
      <c r="C104" s="75">
        <f t="shared" si="75"/>
        <v>-4.6293830427282863E-2</v>
      </c>
      <c r="D104" s="24">
        <f t="shared" si="57"/>
        <v>0</v>
      </c>
      <c r="H104" s="24">
        <f t="shared" si="58"/>
        <v>0.84848484848484851</v>
      </c>
      <c r="I104" s="22">
        <f t="shared" si="59"/>
        <v>0</v>
      </c>
      <c r="J104" s="24">
        <f t="shared" si="60"/>
        <v>4.0141427749086266E-2</v>
      </c>
      <c r="K104" s="22">
        <f t="shared" si="61"/>
        <v>4.6293830427282863E-2</v>
      </c>
      <c r="L104" s="22">
        <f t="shared" si="62"/>
        <v>3.9279613695876368E-2</v>
      </c>
      <c r="M104" s="227">
        <f t="shared" si="63"/>
        <v>4.0141427749086266E-2</v>
      </c>
      <c r="N104" s="229">
        <v>2</v>
      </c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S104" s="25"/>
      <c r="AT104" s="25"/>
      <c r="AU104" s="25"/>
      <c r="AV104" s="25"/>
      <c r="AW104" s="25"/>
      <c r="AX104" s="25"/>
      <c r="AZ104" s="25"/>
      <c r="BA104" s="25"/>
      <c r="BB104" s="25"/>
      <c r="BC104" s="25"/>
      <c r="BD104" s="25"/>
      <c r="BE104" s="25"/>
      <c r="BI104" s="25"/>
      <c r="BJ104" s="25"/>
      <c r="BK104" s="25"/>
      <c r="BL104" s="25"/>
      <c r="BM104" s="25"/>
      <c r="BN104" s="25"/>
      <c r="BP104" s="25"/>
      <c r="BQ104" s="25"/>
      <c r="BR104" s="25"/>
      <c r="BS104" s="25"/>
      <c r="BT104" s="25"/>
      <c r="BU104" s="25"/>
      <c r="BX104" s="25"/>
      <c r="BY104" s="25"/>
      <c r="BZ104" s="25"/>
      <c r="CA104" s="25"/>
      <c r="CB104" s="25"/>
      <c r="CC104" s="25"/>
      <c r="CE104" s="25"/>
      <c r="CF104" s="25"/>
      <c r="CG104" s="25"/>
      <c r="CH104" s="25"/>
      <c r="CI104" s="25"/>
      <c r="CJ104" s="25"/>
    </row>
    <row r="105" spans="1:88" ht="14" customHeight="1">
      <c r="A105" s="2" t="str">
        <f t="shared" si="55"/>
        <v>Water melon: no. local meas</v>
      </c>
      <c r="B105" s="75">
        <f t="shared" ref="B105:C105" si="76">(B51/$B$83)</f>
        <v>0</v>
      </c>
      <c r="C105" s="75">
        <f t="shared" si="76"/>
        <v>0</v>
      </c>
      <c r="D105" s="24">
        <f t="shared" si="57"/>
        <v>0</v>
      </c>
      <c r="H105" s="24">
        <f t="shared" si="58"/>
        <v>0.84848484848484851</v>
      </c>
      <c r="I105" s="22">
        <f t="shared" si="59"/>
        <v>0</v>
      </c>
      <c r="J105" s="24">
        <f t="shared" si="60"/>
        <v>0</v>
      </c>
      <c r="K105" s="22">
        <f t="shared" si="61"/>
        <v>0</v>
      </c>
      <c r="L105" s="22">
        <f t="shared" si="62"/>
        <v>0</v>
      </c>
      <c r="M105" s="227">
        <f t="shared" si="63"/>
        <v>0</v>
      </c>
      <c r="N105" s="229">
        <v>2</v>
      </c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S105" s="25"/>
      <c r="AT105" s="25"/>
      <c r="AU105" s="25"/>
      <c r="AV105" s="25"/>
      <c r="AW105" s="25"/>
      <c r="AX105" s="25"/>
      <c r="AZ105" s="25"/>
      <c r="BA105" s="25"/>
      <c r="BB105" s="25"/>
      <c r="BC105" s="25"/>
      <c r="BD105" s="25"/>
      <c r="BE105" s="25"/>
      <c r="BI105" s="25"/>
      <c r="BJ105" s="25"/>
      <c r="BK105" s="25"/>
      <c r="BL105" s="25"/>
      <c r="BM105" s="25"/>
      <c r="BN105" s="25"/>
      <c r="BP105" s="25"/>
      <c r="BQ105" s="25"/>
      <c r="BR105" s="25"/>
      <c r="BS105" s="25"/>
      <c r="BT105" s="25"/>
      <c r="BU105" s="25"/>
      <c r="BX105" s="25"/>
      <c r="BY105" s="25"/>
      <c r="BZ105" s="25"/>
      <c r="CA105" s="25"/>
      <c r="CB105" s="25"/>
      <c r="CC105" s="25"/>
      <c r="CE105" s="25"/>
      <c r="CF105" s="25"/>
      <c r="CG105" s="25"/>
      <c r="CH105" s="25"/>
      <c r="CI105" s="25"/>
      <c r="CJ105" s="25"/>
    </row>
    <row r="106" spans="1:88" ht="14" customHeight="1">
      <c r="A106" s="2" t="str">
        <f t="shared" si="55"/>
        <v>FISHING -- see worksheet Data 3</v>
      </c>
      <c r="B106" s="75">
        <f t="shared" ref="B106:C106" si="77">(B52/$B$83)</f>
        <v>0</v>
      </c>
      <c r="C106" s="75">
        <f t="shared" si="77"/>
        <v>0</v>
      </c>
      <c r="D106" s="24">
        <f t="shared" si="57"/>
        <v>0</v>
      </c>
      <c r="H106" s="24">
        <f t="shared" si="58"/>
        <v>0.7151515151515152</v>
      </c>
      <c r="I106" s="22">
        <f t="shared" si="59"/>
        <v>0</v>
      </c>
      <c r="J106" s="24">
        <f t="shared" si="60"/>
        <v>0</v>
      </c>
      <c r="K106" s="22">
        <f t="shared" si="61"/>
        <v>0</v>
      </c>
      <c r="L106" s="22">
        <f t="shared" si="62"/>
        <v>0</v>
      </c>
      <c r="M106" s="227">
        <f t="shared" si="63"/>
        <v>0</v>
      </c>
      <c r="N106" s="229">
        <v>6</v>
      </c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S106" s="25"/>
      <c r="AT106" s="25"/>
      <c r="AU106" s="25"/>
      <c r="AV106" s="25"/>
      <c r="AW106" s="25"/>
      <c r="AX106" s="25"/>
      <c r="AZ106" s="25"/>
      <c r="BA106" s="25"/>
      <c r="BB106" s="25"/>
      <c r="BC106" s="25"/>
      <c r="BD106" s="25"/>
      <c r="BE106" s="25"/>
      <c r="BI106" s="25"/>
      <c r="BJ106" s="25"/>
      <c r="BK106" s="25"/>
      <c r="BL106" s="25"/>
      <c r="BM106" s="25"/>
      <c r="BN106" s="25"/>
      <c r="BP106" s="25"/>
      <c r="BQ106" s="25"/>
      <c r="BR106" s="25"/>
      <c r="BS106" s="25"/>
      <c r="BT106" s="25"/>
      <c r="BU106" s="25"/>
      <c r="BX106" s="25"/>
      <c r="BY106" s="25"/>
      <c r="BZ106" s="25"/>
      <c r="CA106" s="25"/>
      <c r="CB106" s="25"/>
      <c r="CC106" s="25"/>
      <c r="CE106" s="25"/>
      <c r="CF106" s="25"/>
      <c r="CG106" s="25"/>
      <c r="CH106" s="25"/>
      <c r="CI106" s="25"/>
      <c r="CJ106" s="25"/>
    </row>
    <row r="107" spans="1:88" ht="14" customHeight="1">
      <c r="A107" s="2" t="str">
        <f t="shared" si="55"/>
        <v>WILD FOODS -- see worksheet Data 3</v>
      </c>
      <c r="B107" s="75">
        <f t="shared" ref="B107:C107" si="78">(B53/$B$83)</f>
        <v>0</v>
      </c>
      <c r="C107" s="75">
        <f t="shared" si="78"/>
        <v>0</v>
      </c>
      <c r="D107" s="24">
        <f t="shared" si="57"/>
        <v>0</v>
      </c>
      <c r="H107" s="24">
        <f t="shared" si="58"/>
        <v>0.7151515151515152</v>
      </c>
      <c r="I107" s="22">
        <f t="shared" si="59"/>
        <v>0</v>
      </c>
      <c r="J107" s="24">
        <f t="shared" si="60"/>
        <v>0</v>
      </c>
      <c r="K107" s="22">
        <f t="shared" si="61"/>
        <v>0</v>
      </c>
      <c r="L107" s="22">
        <f t="shared" si="62"/>
        <v>0</v>
      </c>
      <c r="M107" s="227">
        <f t="shared" si="63"/>
        <v>0</v>
      </c>
      <c r="N107" s="229">
        <v>6</v>
      </c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S107" s="25"/>
      <c r="AT107" s="25"/>
      <c r="AU107" s="25"/>
      <c r="AV107" s="25"/>
      <c r="AW107" s="25"/>
      <c r="AX107" s="25"/>
      <c r="AZ107" s="25"/>
      <c r="BA107" s="25"/>
      <c r="BB107" s="25"/>
      <c r="BC107" s="25"/>
      <c r="BD107" s="25"/>
      <c r="BE107" s="25"/>
      <c r="BI107" s="25"/>
      <c r="BJ107" s="25"/>
      <c r="BK107" s="25"/>
      <c r="BL107" s="25"/>
      <c r="BM107" s="25"/>
      <c r="BN107" s="25"/>
      <c r="BP107" s="25"/>
      <c r="BQ107" s="25"/>
      <c r="BR107" s="25"/>
      <c r="BS107" s="25"/>
      <c r="BT107" s="25"/>
      <c r="BU107" s="25"/>
      <c r="BX107" s="25"/>
      <c r="BY107" s="25"/>
      <c r="BZ107" s="25"/>
      <c r="CA107" s="25"/>
      <c r="CB107" s="25"/>
      <c r="CC107" s="25"/>
      <c r="CE107" s="25"/>
      <c r="CF107" s="25"/>
      <c r="CG107" s="25"/>
      <c r="CH107" s="25"/>
      <c r="CI107" s="25"/>
      <c r="CJ107" s="25"/>
    </row>
    <row r="108" spans="1:88" ht="14" customHeight="1">
      <c r="A108" s="2" t="str">
        <f t="shared" si="55"/>
        <v>Agricultural casual work -- see Data2</v>
      </c>
      <c r="B108" s="75">
        <f t="shared" ref="B108:C108" si="79">(B54/$B$83)</f>
        <v>0</v>
      </c>
      <c r="C108" s="75">
        <f t="shared" si="79"/>
        <v>0</v>
      </c>
      <c r="D108" s="24">
        <f t="shared" si="57"/>
        <v>0</v>
      </c>
      <c r="H108" s="24">
        <f t="shared" si="58"/>
        <v>0.67272727272727284</v>
      </c>
      <c r="I108" s="22">
        <f t="shared" si="59"/>
        <v>0</v>
      </c>
      <c r="J108" s="24">
        <f t="shared" si="60"/>
        <v>0</v>
      </c>
      <c r="K108" s="22">
        <f t="shared" si="61"/>
        <v>0</v>
      </c>
      <c r="L108" s="22">
        <f t="shared" si="62"/>
        <v>0</v>
      </c>
      <c r="M108" s="227">
        <f t="shared" si="63"/>
        <v>0</v>
      </c>
      <c r="N108" s="229">
        <v>7</v>
      </c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S108" s="25"/>
      <c r="AT108" s="25"/>
      <c r="AU108" s="25"/>
      <c r="AV108" s="25"/>
      <c r="AW108" s="25"/>
      <c r="AX108" s="25"/>
      <c r="AZ108" s="25"/>
      <c r="BA108" s="25"/>
      <c r="BB108" s="25"/>
      <c r="BC108" s="25"/>
      <c r="BD108" s="25"/>
      <c r="BE108" s="25"/>
      <c r="BI108" s="25"/>
      <c r="BJ108" s="25"/>
      <c r="BK108" s="25"/>
      <c r="BL108" s="25"/>
      <c r="BM108" s="25"/>
      <c r="BN108" s="25"/>
      <c r="BP108" s="25"/>
      <c r="BQ108" s="25"/>
      <c r="BR108" s="25"/>
      <c r="BS108" s="25"/>
      <c r="BT108" s="25"/>
      <c r="BU108" s="25"/>
      <c r="BX108" s="25"/>
      <c r="BY108" s="25"/>
      <c r="BZ108" s="25"/>
      <c r="CA108" s="25"/>
      <c r="CB108" s="25"/>
      <c r="CC108" s="25"/>
      <c r="CE108" s="25"/>
      <c r="CF108" s="25"/>
      <c r="CG108" s="25"/>
      <c r="CH108" s="25"/>
      <c r="CI108" s="25"/>
      <c r="CJ108" s="25"/>
    </row>
    <row r="109" spans="1:88" ht="14" customHeight="1">
      <c r="A109" s="2" t="str">
        <f t="shared" si="55"/>
        <v>Construction casual work -- see Data2</v>
      </c>
      <c r="B109" s="75">
        <f t="shared" ref="B109:C109" si="80">(B55/$B$83)</f>
        <v>0</v>
      </c>
      <c r="C109" s="75">
        <f t="shared" si="80"/>
        <v>0</v>
      </c>
      <c r="D109" s="24">
        <f t="shared" si="57"/>
        <v>0</v>
      </c>
      <c r="H109" s="24">
        <f t="shared" si="58"/>
        <v>0.67272727272727284</v>
      </c>
      <c r="I109" s="22">
        <f t="shared" si="59"/>
        <v>0</v>
      </c>
      <c r="J109" s="24">
        <f t="shared" si="60"/>
        <v>0</v>
      </c>
      <c r="K109" s="22">
        <f t="shared" si="61"/>
        <v>0</v>
      </c>
      <c r="L109" s="22">
        <f t="shared" si="62"/>
        <v>0</v>
      </c>
      <c r="M109" s="227">
        <f t="shared" si="63"/>
        <v>0</v>
      </c>
      <c r="N109" s="229">
        <v>7</v>
      </c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S109" s="25"/>
      <c r="AT109" s="25"/>
      <c r="AU109" s="25"/>
      <c r="AV109" s="25"/>
      <c r="AW109" s="25"/>
      <c r="AX109" s="25"/>
      <c r="AZ109" s="25"/>
      <c r="BA109" s="25"/>
      <c r="BB109" s="25"/>
      <c r="BC109" s="25"/>
      <c r="BD109" s="25"/>
      <c r="BE109" s="25"/>
      <c r="BI109" s="25"/>
      <c r="BJ109" s="25"/>
      <c r="BK109" s="25"/>
      <c r="BL109" s="25"/>
      <c r="BM109" s="25"/>
      <c r="BN109" s="25"/>
      <c r="BP109" s="25"/>
      <c r="BQ109" s="25"/>
      <c r="BR109" s="25"/>
      <c r="BS109" s="25"/>
      <c r="BT109" s="25"/>
      <c r="BU109" s="25"/>
      <c r="BX109" s="25"/>
      <c r="BY109" s="25"/>
      <c r="BZ109" s="25"/>
      <c r="CA109" s="25"/>
      <c r="CB109" s="25"/>
      <c r="CC109" s="25"/>
      <c r="CE109" s="25"/>
      <c r="CF109" s="25"/>
      <c r="CG109" s="25"/>
      <c r="CH109" s="25"/>
      <c r="CI109" s="25"/>
      <c r="CJ109" s="25"/>
    </row>
    <row r="110" spans="1:88" ht="14" customHeight="1">
      <c r="A110" s="2" t="str">
        <f t="shared" si="55"/>
        <v>Domestic casual work -- see Data2</v>
      </c>
      <c r="B110" s="75">
        <f t="shared" ref="B110:C110" si="81">(B56/$B$83)</f>
        <v>0</v>
      </c>
      <c r="C110" s="75">
        <f t="shared" si="81"/>
        <v>0</v>
      </c>
      <c r="D110" s="24">
        <f t="shared" si="57"/>
        <v>0</v>
      </c>
      <c r="H110" s="24">
        <f t="shared" si="58"/>
        <v>0.67272727272727284</v>
      </c>
      <c r="I110" s="22">
        <f t="shared" si="59"/>
        <v>0</v>
      </c>
      <c r="J110" s="24">
        <f t="shared" si="60"/>
        <v>0</v>
      </c>
      <c r="K110" s="22">
        <f t="shared" si="61"/>
        <v>0</v>
      </c>
      <c r="L110" s="22">
        <f t="shared" si="62"/>
        <v>0</v>
      </c>
      <c r="M110" s="227">
        <f t="shared" si="63"/>
        <v>0</v>
      </c>
      <c r="N110" s="229">
        <v>7</v>
      </c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S110" s="25"/>
      <c r="AT110" s="25"/>
      <c r="AU110" s="25"/>
      <c r="AV110" s="25"/>
      <c r="AW110" s="25"/>
      <c r="AX110" s="25"/>
      <c r="AZ110" s="25"/>
      <c r="BA110" s="25"/>
      <c r="BB110" s="25"/>
      <c r="BC110" s="25"/>
      <c r="BD110" s="25"/>
      <c r="BE110" s="25"/>
      <c r="BI110" s="25"/>
      <c r="BJ110" s="25"/>
      <c r="BK110" s="25"/>
      <c r="BL110" s="25"/>
      <c r="BM110" s="25"/>
      <c r="BN110" s="25"/>
      <c r="BP110" s="25"/>
      <c r="BQ110" s="25"/>
      <c r="BR110" s="25"/>
      <c r="BS110" s="25"/>
      <c r="BT110" s="25"/>
      <c r="BU110" s="25"/>
      <c r="BX110" s="25"/>
      <c r="BY110" s="25"/>
      <c r="BZ110" s="25"/>
      <c r="CA110" s="25"/>
      <c r="CB110" s="25"/>
      <c r="CC110" s="25"/>
      <c r="CE110" s="25"/>
      <c r="CF110" s="25"/>
      <c r="CG110" s="25"/>
      <c r="CH110" s="25"/>
      <c r="CI110" s="25"/>
      <c r="CJ110" s="25"/>
    </row>
    <row r="111" spans="1:88" ht="14" customHeight="1">
      <c r="A111" s="2" t="str">
        <f t="shared" si="55"/>
        <v>Labour migration(formal employment): no. people per HH</v>
      </c>
      <c r="B111" s="75">
        <f t="shared" ref="B111:C111" si="82">(B57/$B$83)</f>
        <v>2.444314246560535</v>
      </c>
      <c r="C111" s="75">
        <f t="shared" si="82"/>
        <v>0</v>
      </c>
      <c r="D111" s="24">
        <f t="shared" si="57"/>
        <v>2.444314246560535</v>
      </c>
      <c r="H111" s="24">
        <f t="shared" si="58"/>
        <v>0.57212121212121214</v>
      </c>
      <c r="I111" s="22">
        <f t="shared" si="59"/>
        <v>1.3984440295473606</v>
      </c>
      <c r="J111" s="24">
        <f t="shared" si="60"/>
        <v>1.3984440295473606</v>
      </c>
      <c r="K111" s="22">
        <f t="shared" si="61"/>
        <v>2.444314246560535</v>
      </c>
      <c r="L111" s="22">
        <f t="shared" si="62"/>
        <v>1.3984440295473606</v>
      </c>
      <c r="M111" s="227">
        <f t="shared" si="63"/>
        <v>1.3984440295473606</v>
      </c>
      <c r="N111" s="229">
        <v>8</v>
      </c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S111" s="25"/>
      <c r="AT111" s="25"/>
      <c r="AU111" s="25"/>
      <c r="AV111" s="25"/>
      <c r="AW111" s="25"/>
      <c r="AX111" s="25"/>
      <c r="AZ111" s="25"/>
      <c r="BA111" s="25"/>
      <c r="BB111" s="25"/>
      <c r="BC111" s="25"/>
      <c r="BD111" s="25"/>
      <c r="BE111" s="25"/>
      <c r="BI111" s="25"/>
      <c r="BJ111" s="25"/>
      <c r="BK111" s="25"/>
      <c r="BL111" s="25"/>
      <c r="BM111" s="25"/>
      <c r="BN111" s="25"/>
      <c r="BP111" s="25"/>
      <c r="BQ111" s="25"/>
      <c r="BR111" s="25"/>
      <c r="BS111" s="25"/>
      <c r="BT111" s="25"/>
      <c r="BU111" s="25"/>
      <c r="BX111" s="25"/>
      <c r="BY111" s="25"/>
      <c r="BZ111" s="25"/>
      <c r="CA111" s="25"/>
      <c r="CB111" s="25"/>
      <c r="CC111" s="25"/>
      <c r="CE111" s="25"/>
      <c r="CF111" s="25"/>
      <c r="CG111" s="25"/>
      <c r="CH111" s="25"/>
      <c r="CI111" s="25"/>
      <c r="CJ111" s="25"/>
    </row>
    <row r="112" spans="1:88" ht="14" customHeight="1">
      <c r="A112" s="2" t="str">
        <f t="shared" si="55"/>
        <v>Formal Employment (e.g. teachers, salaried staff, etc.)</v>
      </c>
      <c r="B112" s="75">
        <f t="shared" ref="B112:C112" si="83">(B58/$B$83)</f>
        <v>11.554940074649803</v>
      </c>
      <c r="C112" s="75">
        <f t="shared" si="83"/>
        <v>0</v>
      </c>
      <c r="D112" s="24">
        <f t="shared" si="57"/>
        <v>11.554940074649803</v>
      </c>
      <c r="H112" s="24">
        <f t="shared" si="58"/>
        <v>0.57212121212121214</v>
      </c>
      <c r="I112" s="22">
        <f t="shared" si="59"/>
        <v>6.6108263214966145</v>
      </c>
      <c r="J112" s="24">
        <f t="shared" si="60"/>
        <v>6.6108263214966145</v>
      </c>
      <c r="K112" s="22">
        <f t="shared" si="61"/>
        <v>11.554940074649803</v>
      </c>
      <c r="L112" s="22">
        <f t="shared" si="62"/>
        <v>6.6108263214966145</v>
      </c>
      <c r="M112" s="227">
        <f t="shared" si="63"/>
        <v>6.6108263214966145</v>
      </c>
      <c r="N112" s="229">
        <v>8</v>
      </c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S112" s="25"/>
      <c r="AT112" s="25"/>
      <c r="AU112" s="25"/>
      <c r="AV112" s="25"/>
      <c r="AW112" s="25"/>
      <c r="AX112" s="25"/>
      <c r="AZ112" s="25"/>
      <c r="BA112" s="25"/>
      <c r="BB112" s="25"/>
      <c r="BC112" s="25"/>
      <c r="BD112" s="25"/>
      <c r="BE112" s="25"/>
      <c r="BI112" s="25"/>
      <c r="BJ112" s="25"/>
      <c r="BK112" s="25"/>
      <c r="BL112" s="25"/>
      <c r="BM112" s="25"/>
      <c r="BN112" s="25"/>
      <c r="BP112" s="25"/>
      <c r="BQ112" s="25"/>
      <c r="BR112" s="25"/>
      <c r="BS112" s="25"/>
      <c r="BT112" s="25"/>
      <c r="BU112" s="25"/>
      <c r="BX112" s="25"/>
      <c r="BY112" s="25"/>
      <c r="BZ112" s="25"/>
      <c r="CA112" s="25"/>
      <c r="CB112" s="25"/>
      <c r="CC112" s="25"/>
      <c r="CE112" s="25"/>
      <c r="CF112" s="25"/>
      <c r="CG112" s="25"/>
      <c r="CH112" s="25"/>
      <c r="CI112" s="25"/>
      <c r="CJ112" s="25"/>
    </row>
    <row r="113" spans="1:88" ht="14" customHeight="1">
      <c r="A113" s="2" t="str">
        <f t="shared" si="55"/>
        <v>Self-employment -- see Data2</v>
      </c>
      <c r="B113" s="75">
        <f t="shared" ref="B113:C113" si="84">(B59/$B$83)</f>
        <v>0</v>
      </c>
      <c r="C113" s="75">
        <f t="shared" si="84"/>
        <v>0</v>
      </c>
      <c r="D113" s="24">
        <f t="shared" si="57"/>
        <v>0</v>
      </c>
      <c r="H113" s="24">
        <f t="shared" si="58"/>
        <v>0.48484848484848486</v>
      </c>
      <c r="I113" s="22">
        <f t="shared" si="59"/>
        <v>0</v>
      </c>
      <c r="J113" s="24">
        <f t="shared" si="60"/>
        <v>0</v>
      </c>
      <c r="K113" s="22">
        <f t="shared" si="61"/>
        <v>0</v>
      </c>
      <c r="L113" s="22">
        <f t="shared" si="62"/>
        <v>0</v>
      </c>
      <c r="M113" s="227">
        <f t="shared" si="63"/>
        <v>0</v>
      </c>
      <c r="N113" s="229">
        <v>10</v>
      </c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S113" s="25"/>
      <c r="AT113" s="25"/>
      <c r="AU113" s="25"/>
      <c r="AV113" s="25"/>
      <c r="AW113" s="25"/>
      <c r="AX113" s="25"/>
      <c r="AZ113" s="25"/>
      <c r="BA113" s="25"/>
      <c r="BB113" s="25"/>
      <c r="BC113" s="25"/>
      <c r="BD113" s="25"/>
      <c r="BE113" s="25"/>
      <c r="BI113" s="25"/>
      <c r="BJ113" s="25"/>
      <c r="BK113" s="25"/>
      <c r="BL113" s="25"/>
      <c r="BM113" s="25"/>
      <c r="BN113" s="25"/>
      <c r="BP113" s="25"/>
      <c r="BQ113" s="25"/>
      <c r="BR113" s="25"/>
      <c r="BS113" s="25"/>
      <c r="BT113" s="25"/>
      <c r="BU113" s="25"/>
      <c r="BX113" s="25"/>
      <c r="BY113" s="25"/>
      <c r="BZ113" s="25"/>
      <c r="CA113" s="25"/>
      <c r="CB113" s="25"/>
      <c r="CC113" s="25"/>
      <c r="CE113" s="25"/>
      <c r="CF113" s="25"/>
      <c r="CG113" s="25"/>
      <c r="CH113" s="25"/>
      <c r="CI113" s="25"/>
      <c r="CJ113" s="25"/>
    </row>
    <row r="114" spans="1:88" ht="14" customHeight="1">
      <c r="A114" s="2" t="str">
        <f t="shared" si="55"/>
        <v>Small business -- see Data2</v>
      </c>
      <c r="B114" s="75">
        <f t="shared" ref="B114:C114" si="85">(B60/$B$83)</f>
        <v>3.7380231141492111</v>
      </c>
      <c r="C114" s="75">
        <f t="shared" si="85"/>
        <v>0</v>
      </c>
      <c r="D114" s="24">
        <f t="shared" si="57"/>
        <v>3.7380231141492111</v>
      </c>
      <c r="H114" s="24">
        <f t="shared" si="58"/>
        <v>0.57212121212121214</v>
      </c>
      <c r="I114" s="22">
        <f t="shared" si="59"/>
        <v>2.1386023150041549</v>
      </c>
      <c r="J114" s="24">
        <f t="shared" si="60"/>
        <v>2.1386023150041549</v>
      </c>
      <c r="K114" s="22">
        <f t="shared" si="61"/>
        <v>3.7380231141492111</v>
      </c>
      <c r="L114" s="22">
        <f t="shared" si="62"/>
        <v>2.1386023150041549</v>
      </c>
      <c r="M114" s="227">
        <f t="shared" si="63"/>
        <v>2.1386023150041549</v>
      </c>
      <c r="N114" s="229">
        <v>11</v>
      </c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S114" s="25"/>
      <c r="AT114" s="25"/>
      <c r="AU114" s="25"/>
      <c r="AV114" s="25"/>
      <c r="AW114" s="25"/>
      <c r="AX114" s="25"/>
      <c r="AZ114" s="25"/>
      <c r="BA114" s="25"/>
      <c r="BB114" s="25"/>
      <c r="BC114" s="25"/>
      <c r="BD114" s="25"/>
      <c r="BE114" s="25"/>
      <c r="BI114" s="25"/>
      <c r="BJ114" s="25"/>
      <c r="BK114" s="25"/>
      <c r="BL114" s="25"/>
      <c r="BM114" s="25"/>
      <c r="BN114" s="25"/>
      <c r="BP114" s="25"/>
      <c r="BQ114" s="25"/>
      <c r="BR114" s="25"/>
      <c r="BS114" s="25"/>
      <c r="BT114" s="25"/>
      <c r="BU114" s="25"/>
      <c r="BX114" s="25"/>
      <c r="BY114" s="25"/>
      <c r="BZ114" s="25"/>
      <c r="CA114" s="25"/>
      <c r="CB114" s="25"/>
      <c r="CC114" s="25"/>
      <c r="CE114" s="25"/>
      <c r="CF114" s="25"/>
      <c r="CG114" s="25"/>
      <c r="CH114" s="25"/>
      <c r="CI114" s="25"/>
      <c r="CJ114" s="25"/>
    </row>
    <row r="115" spans="1:88" ht="14" customHeight="1">
      <c r="A115" s="2" t="str">
        <f t="shared" si="55"/>
        <v>Social development -- see Data2</v>
      </c>
      <c r="B115" s="75">
        <f t="shared" ref="B115:C115" si="86">(B61/$B$83)</f>
        <v>0.87995312876179266</v>
      </c>
      <c r="C115" s="75">
        <f t="shared" si="86"/>
        <v>0</v>
      </c>
      <c r="D115" s="24">
        <f t="shared" si="57"/>
        <v>0.87995312876179266</v>
      </c>
      <c r="H115" s="24">
        <f t="shared" si="58"/>
        <v>0</v>
      </c>
      <c r="I115" s="22">
        <f t="shared" si="59"/>
        <v>0</v>
      </c>
      <c r="J115" s="24">
        <f t="shared" si="60"/>
        <v>0</v>
      </c>
      <c r="K115" s="22">
        <f t="shared" si="61"/>
        <v>0.87995312876179266</v>
      </c>
      <c r="L115" s="22">
        <f t="shared" si="62"/>
        <v>0</v>
      </c>
      <c r="M115" s="227">
        <f t="shared" si="63"/>
        <v>0</v>
      </c>
      <c r="N115" s="229">
        <v>14</v>
      </c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S115" s="25"/>
      <c r="AT115" s="25"/>
      <c r="AU115" s="25"/>
      <c r="AV115" s="25"/>
      <c r="AW115" s="25"/>
      <c r="AX115" s="25"/>
      <c r="AZ115" s="25"/>
      <c r="BA115" s="25"/>
      <c r="BB115" s="25"/>
      <c r="BC115" s="25"/>
      <c r="BD115" s="25"/>
      <c r="BE115" s="25"/>
      <c r="BI115" s="25"/>
      <c r="BJ115" s="25"/>
      <c r="BK115" s="25"/>
      <c r="BL115" s="25"/>
      <c r="BM115" s="25"/>
      <c r="BN115" s="25"/>
      <c r="BP115" s="25"/>
      <c r="BQ115" s="25"/>
      <c r="BR115" s="25"/>
      <c r="BS115" s="25"/>
      <c r="BT115" s="25"/>
      <c r="BU115" s="25"/>
      <c r="BX115" s="25"/>
      <c r="BY115" s="25"/>
      <c r="BZ115" s="25"/>
      <c r="CA115" s="25"/>
      <c r="CB115" s="25"/>
      <c r="CC115" s="25"/>
      <c r="CE115" s="25"/>
      <c r="CF115" s="25"/>
      <c r="CG115" s="25"/>
      <c r="CH115" s="25"/>
      <c r="CI115" s="25"/>
      <c r="CJ115" s="25"/>
    </row>
    <row r="116" spans="1:88" ht="14" customHeight="1">
      <c r="A116" s="2" t="str">
        <f t="shared" si="55"/>
        <v>Public works -- see Data2</v>
      </c>
      <c r="B116" s="75">
        <f t="shared" ref="B116:C116" si="87">(B62/$B$83)</f>
        <v>0</v>
      </c>
      <c r="C116" s="75">
        <f t="shared" si="87"/>
        <v>0</v>
      </c>
      <c r="D116" s="24">
        <f t="shared" si="57"/>
        <v>0</v>
      </c>
      <c r="H116" s="24">
        <f t="shared" si="58"/>
        <v>0.7151515151515152</v>
      </c>
      <c r="I116" s="22">
        <f t="shared" si="59"/>
        <v>0</v>
      </c>
      <c r="J116" s="24">
        <f t="shared" si="60"/>
        <v>0</v>
      </c>
      <c r="K116" s="22">
        <f t="shared" si="61"/>
        <v>0</v>
      </c>
      <c r="L116" s="22">
        <f t="shared" si="62"/>
        <v>0</v>
      </c>
      <c r="M116" s="227">
        <f t="shared" si="63"/>
        <v>0</v>
      </c>
      <c r="N116" s="229">
        <v>9</v>
      </c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S116" s="25"/>
      <c r="AT116" s="25"/>
      <c r="AU116" s="25"/>
      <c r="AV116" s="25"/>
      <c r="AW116" s="25"/>
      <c r="AX116" s="25"/>
      <c r="AZ116" s="25"/>
      <c r="BA116" s="25"/>
      <c r="BB116" s="25"/>
      <c r="BC116" s="25"/>
      <c r="BD116" s="25"/>
      <c r="BE116" s="25"/>
      <c r="BI116" s="25"/>
      <c r="BJ116" s="25"/>
      <c r="BK116" s="25"/>
      <c r="BL116" s="25"/>
      <c r="BM116" s="25"/>
      <c r="BN116" s="25"/>
      <c r="BP116" s="25"/>
      <c r="BQ116" s="25"/>
      <c r="BR116" s="25"/>
      <c r="BS116" s="25"/>
      <c r="BT116" s="25"/>
      <c r="BU116" s="25"/>
      <c r="BX116" s="25"/>
      <c r="BY116" s="25"/>
      <c r="BZ116" s="25"/>
      <c r="CA116" s="25"/>
      <c r="CB116" s="25"/>
      <c r="CC116" s="25"/>
      <c r="CE116" s="25"/>
      <c r="CF116" s="25"/>
      <c r="CG116" s="25"/>
      <c r="CH116" s="25"/>
      <c r="CI116" s="25"/>
      <c r="CJ116" s="25"/>
    </row>
    <row r="117" spans="1:88" ht="14" customHeight="1">
      <c r="A117" s="2" t="str">
        <f t="shared" si="55"/>
        <v>Other income: e.g. Credit (cotton loans)</v>
      </c>
      <c r="B117" s="75">
        <f t="shared" ref="B117:C117" si="88">(B63/$B$83)</f>
        <v>0.23998721693503436</v>
      </c>
      <c r="C117" s="75">
        <f t="shared" si="88"/>
        <v>0</v>
      </c>
      <c r="D117" s="24">
        <f t="shared" si="57"/>
        <v>0.23998721693503436</v>
      </c>
      <c r="H117" s="24">
        <f t="shared" si="58"/>
        <v>0.60606060606060608</v>
      </c>
      <c r="I117" s="22">
        <f t="shared" si="59"/>
        <v>0.14544679814244507</v>
      </c>
      <c r="J117" s="24">
        <f t="shared" si="60"/>
        <v>0.14544679814244507</v>
      </c>
      <c r="K117" s="22">
        <f t="shared" si="61"/>
        <v>0.23998721693503436</v>
      </c>
      <c r="L117" s="22">
        <f t="shared" si="62"/>
        <v>0.14544679814244507</v>
      </c>
      <c r="M117" s="227">
        <f t="shared" si="63"/>
        <v>0.14544679814244507</v>
      </c>
      <c r="N117" s="229">
        <v>16</v>
      </c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S117" s="25"/>
      <c r="AT117" s="25"/>
      <c r="AU117" s="25"/>
      <c r="AV117" s="25"/>
      <c r="AW117" s="25"/>
      <c r="AX117" s="25"/>
      <c r="AZ117" s="25"/>
      <c r="BA117" s="25"/>
      <c r="BB117" s="25"/>
      <c r="BC117" s="25"/>
      <c r="BD117" s="25"/>
      <c r="BE117" s="25"/>
      <c r="BI117" s="25"/>
      <c r="BJ117" s="25"/>
      <c r="BK117" s="25"/>
      <c r="BL117" s="25"/>
      <c r="BM117" s="25"/>
      <c r="BN117" s="25"/>
      <c r="BP117" s="25"/>
      <c r="BQ117" s="25"/>
      <c r="BR117" s="25"/>
      <c r="BS117" s="25"/>
      <c r="BT117" s="25"/>
      <c r="BU117" s="25"/>
      <c r="BX117" s="25"/>
      <c r="BY117" s="25"/>
      <c r="BZ117" s="25"/>
      <c r="CA117" s="25"/>
      <c r="CB117" s="25"/>
      <c r="CC117" s="25"/>
      <c r="CE117" s="25"/>
      <c r="CF117" s="25"/>
      <c r="CG117" s="25"/>
      <c r="CH117" s="25"/>
      <c r="CI117" s="25"/>
      <c r="CJ117" s="25"/>
    </row>
    <row r="118" spans="1:88" ht="14" customHeight="1">
      <c r="A118" s="2" t="str">
        <f t="shared" si="55"/>
        <v>Remittances: no. times per year</v>
      </c>
      <c r="B118" s="75">
        <f t="shared" ref="B118:C118" si="89">(B64/$B$83)</f>
        <v>0.4444207721019155</v>
      </c>
      <c r="C118" s="75">
        <f t="shared" si="89"/>
        <v>0</v>
      </c>
      <c r="D118" s="24">
        <f t="shared" si="57"/>
        <v>0.4444207721019155</v>
      </c>
      <c r="H118" s="24">
        <f t="shared" si="58"/>
        <v>0.67272727272727284</v>
      </c>
      <c r="I118" s="22">
        <f t="shared" si="59"/>
        <v>0.29897397395947045</v>
      </c>
      <c r="J118" s="24">
        <f t="shared" si="60"/>
        <v>0.29897397395947045</v>
      </c>
      <c r="K118" s="22">
        <f t="shared" si="61"/>
        <v>0.4444207721019155</v>
      </c>
      <c r="L118" s="22">
        <f t="shared" si="62"/>
        <v>0.29897397395947045</v>
      </c>
      <c r="M118" s="227">
        <f t="shared" si="63"/>
        <v>0.29897397395947045</v>
      </c>
      <c r="N118" s="229">
        <v>15</v>
      </c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S118" s="25"/>
      <c r="AT118" s="25"/>
      <c r="AU118" s="25"/>
      <c r="AV118" s="25"/>
      <c r="AW118" s="25"/>
      <c r="AX118" s="25"/>
      <c r="AZ118" s="25"/>
      <c r="BA118" s="25"/>
      <c r="BB118" s="25"/>
      <c r="BC118" s="25"/>
      <c r="BD118" s="25"/>
      <c r="BE118" s="25"/>
      <c r="BI118" s="25"/>
      <c r="BJ118" s="25"/>
      <c r="BK118" s="25"/>
      <c r="BL118" s="25"/>
      <c r="BM118" s="25"/>
      <c r="BN118" s="25"/>
      <c r="BP118" s="25"/>
      <c r="BQ118" s="25"/>
      <c r="BR118" s="25"/>
      <c r="BS118" s="25"/>
      <c r="BT118" s="25"/>
      <c r="BU118" s="25"/>
      <c r="BX118" s="25"/>
      <c r="BY118" s="25"/>
      <c r="BZ118" s="25"/>
      <c r="CA118" s="25"/>
      <c r="CB118" s="25"/>
      <c r="CC118" s="25"/>
      <c r="CE118" s="25"/>
      <c r="CF118" s="25"/>
      <c r="CG118" s="25"/>
      <c r="CH118" s="25"/>
      <c r="CI118" s="25"/>
      <c r="CJ118" s="25"/>
    </row>
    <row r="119" spans="1:88" ht="14" customHeight="1">
      <c r="A119" s="2" t="s">
        <v>32</v>
      </c>
      <c r="B119" s="22">
        <f>SUM(B91:B118)</f>
        <v>23.740291014526168</v>
      </c>
      <c r="C119" s="22">
        <f>SUM(C91:C118)</f>
        <v>-1.1027190407778777</v>
      </c>
      <c r="D119" s="24">
        <f>SUM(D91:D118)</f>
        <v>22.63757197374829</v>
      </c>
      <c r="E119" s="22"/>
      <c r="F119" s="2"/>
      <c r="G119" s="2"/>
      <c r="H119" s="31"/>
      <c r="I119" s="22">
        <f>SUM(I91:I118)</f>
        <v>12.861957054922589</v>
      </c>
      <c r="J119" s="24">
        <f>SUM(J91:J118)</f>
        <v>13.869144471676977</v>
      </c>
      <c r="K119" s="22">
        <f>SUM(K91:K118)</f>
        <v>23.740291014526168</v>
      </c>
      <c r="L119" s="22">
        <f>SUM(L91:L118)</f>
        <v>13.847520719891145</v>
      </c>
      <c r="M119" s="57">
        <f t="shared" si="50"/>
        <v>13.869144471676977</v>
      </c>
      <c r="N119" s="58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S119" s="25"/>
      <c r="AT119" s="25"/>
      <c r="AU119" s="25"/>
      <c r="AV119" s="25"/>
      <c r="AW119" s="25"/>
      <c r="AX119" s="25"/>
      <c r="AZ119" s="25"/>
      <c r="BA119" s="25"/>
      <c r="BB119" s="25"/>
      <c r="BC119" s="25"/>
      <c r="BD119" s="25"/>
      <c r="BE119" s="25"/>
      <c r="BI119" s="25"/>
      <c r="BJ119" s="25"/>
      <c r="BK119" s="25"/>
      <c r="BL119" s="25"/>
      <c r="BM119" s="25"/>
      <c r="BN119" s="25"/>
      <c r="BP119" s="25"/>
      <c r="BQ119" s="25"/>
      <c r="BR119" s="25"/>
      <c r="BS119" s="25"/>
      <c r="BT119" s="25"/>
      <c r="BU119" s="25"/>
      <c r="BX119" s="25"/>
      <c r="BY119" s="25"/>
      <c r="BZ119" s="25"/>
      <c r="CA119" s="25"/>
      <c r="CB119" s="25"/>
      <c r="CC119" s="25"/>
      <c r="CE119" s="25"/>
      <c r="CF119" s="25"/>
      <c r="CG119" s="25"/>
      <c r="CH119" s="25"/>
      <c r="CI119" s="25"/>
      <c r="CJ119" s="25"/>
    </row>
    <row r="120" spans="1:88" ht="14" customHeight="1">
      <c r="A120" s="83"/>
      <c r="B120" s="83"/>
      <c r="C120" s="83"/>
      <c r="D120" s="10"/>
      <c r="E120" s="11"/>
      <c r="F120" s="11"/>
      <c r="G120" s="11"/>
      <c r="H120" s="10"/>
      <c r="I120" s="11"/>
      <c r="J120" s="62"/>
      <c r="K120" s="14"/>
      <c r="L120" s="11"/>
      <c r="M120" s="63"/>
      <c r="N120" s="58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S120" s="25"/>
      <c r="AT120" s="25"/>
      <c r="AU120" s="25"/>
      <c r="AV120" s="25"/>
      <c r="AW120" s="25"/>
      <c r="AX120" s="25"/>
      <c r="AZ120" s="25"/>
      <c r="BA120" s="25"/>
      <c r="BB120" s="25"/>
      <c r="BC120" s="25"/>
      <c r="BD120" s="25"/>
      <c r="BE120" s="25"/>
      <c r="BI120" s="25"/>
      <c r="BJ120" s="25"/>
      <c r="BK120" s="25"/>
      <c r="BL120" s="25"/>
      <c r="BM120" s="25"/>
      <c r="BN120" s="25"/>
      <c r="BP120" s="25"/>
      <c r="BQ120" s="25"/>
      <c r="BR120" s="25"/>
      <c r="BS120" s="25"/>
      <c r="BT120" s="25"/>
      <c r="BU120" s="25"/>
      <c r="BX120" s="25"/>
      <c r="BY120" s="25"/>
      <c r="BZ120" s="25"/>
      <c r="CA120" s="25"/>
      <c r="CB120" s="25"/>
      <c r="CC120" s="25"/>
      <c r="CE120" s="25"/>
      <c r="CF120" s="25"/>
      <c r="CG120" s="25"/>
      <c r="CH120" s="25"/>
      <c r="CI120" s="25"/>
      <c r="CJ120" s="25"/>
    </row>
    <row r="121" spans="1:88">
      <c r="A121" s="73" t="str">
        <f>A67</f>
        <v>Expenditure : Better-off HHs</v>
      </c>
      <c r="B121" s="2"/>
      <c r="C121" s="2"/>
      <c r="D121" s="31"/>
      <c r="E121" s="2"/>
      <c r="F121" s="2"/>
      <c r="G121" s="2"/>
      <c r="H121" s="31"/>
      <c r="I121" s="22"/>
      <c r="J121" s="18"/>
      <c r="L121" s="2"/>
      <c r="M121" s="57"/>
      <c r="N121" s="58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2"/>
      <c r="AC121" s="2"/>
      <c r="AD121" s="2"/>
      <c r="AE121" s="2"/>
      <c r="AF121" s="2"/>
      <c r="AG121" s="2"/>
      <c r="AM121" s="21"/>
      <c r="AN121" s="21"/>
      <c r="AO121" s="21"/>
      <c r="AV121" s="21"/>
      <c r="AW121" s="21"/>
      <c r="AX121" s="21"/>
      <c r="BC121" s="21"/>
      <c r="BD121" s="21"/>
      <c r="BE121" s="21"/>
      <c r="BL121" s="21"/>
      <c r="BM121" s="21"/>
      <c r="BN121" s="21"/>
      <c r="BS121" s="21"/>
      <c r="BT121" s="21"/>
      <c r="BU121" s="21"/>
      <c r="CA121" s="21"/>
      <c r="CB121" s="21"/>
      <c r="CC121" s="21"/>
      <c r="CH121" s="21"/>
      <c r="CI121" s="21"/>
      <c r="CJ121" s="21"/>
    </row>
    <row r="122" spans="1:88" ht="14" customHeight="1">
      <c r="A122" s="84"/>
      <c r="B122" s="19" t="s">
        <v>7</v>
      </c>
      <c r="C122" s="2"/>
      <c r="D122" s="16"/>
      <c r="H122" s="16" t="s">
        <v>12</v>
      </c>
      <c r="I122" s="19" t="s">
        <v>13</v>
      </c>
      <c r="J122" s="16" t="s">
        <v>14</v>
      </c>
      <c r="K122" s="19" t="s">
        <v>7</v>
      </c>
      <c r="L122" s="19" t="s">
        <v>15</v>
      </c>
      <c r="M122" s="57" t="str">
        <f t="shared" ref="M122:M130" si="90">(J122)</f>
        <v>Curr.</v>
      </c>
      <c r="N122" s="58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S122" s="25"/>
      <c r="AT122" s="25"/>
      <c r="AU122" s="25"/>
      <c r="AV122" s="25"/>
      <c r="AW122" s="25"/>
      <c r="AX122" s="25"/>
      <c r="AZ122" s="25"/>
      <c r="BA122" s="25"/>
      <c r="BB122" s="25"/>
      <c r="BC122" s="25"/>
      <c r="BD122" s="25"/>
      <c r="BE122" s="25"/>
      <c r="BI122" s="25"/>
      <c r="BJ122" s="25"/>
      <c r="BK122" s="25"/>
      <c r="BL122" s="25"/>
      <c r="BM122" s="25"/>
      <c r="BN122" s="25"/>
      <c r="BP122" s="25"/>
      <c r="BQ122" s="25"/>
      <c r="BR122" s="25"/>
      <c r="BS122" s="25"/>
      <c r="BT122" s="25"/>
      <c r="BU122" s="25"/>
      <c r="BX122" s="25"/>
      <c r="BY122" s="25"/>
      <c r="BZ122" s="25"/>
      <c r="CA122" s="25"/>
      <c r="CB122" s="25"/>
      <c r="CC122" s="25"/>
      <c r="CE122" s="25"/>
      <c r="CF122" s="25"/>
      <c r="CG122" s="25"/>
      <c r="CH122" s="25"/>
      <c r="CI122" s="25"/>
      <c r="CJ122" s="25"/>
    </row>
    <row r="123" spans="1:88" ht="14" customHeight="1">
      <c r="A123" s="2" t="s">
        <v>44</v>
      </c>
      <c r="B123" s="19" t="s">
        <v>35</v>
      </c>
      <c r="C123" s="2"/>
      <c r="D123" s="31"/>
      <c r="H123" s="16" t="s">
        <v>18</v>
      </c>
      <c r="I123" s="19" t="s">
        <v>35</v>
      </c>
      <c r="J123" s="16" t="s">
        <v>35</v>
      </c>
      <c r="K123" s="19" t="s">
        <v>35</v>
      </c>
      <c r="L123" s="19" t="s">
        <v>19</v>
      </c>
      <c r="M123" s="57" t="str">
        <f t="shared" si="90"/>
        <v>Expend</v>
      </c>
      <c r="N123" s="58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2"/>
      <c r="AC123" s="2"/>
      <c r="AD123" s="2"/>
      <c r="AE123" s="2"/>
      <c r="AF123" s="2"/>
      <c r="AG123" s="2"/>
    </row>
    <row r="124" spans="1:88" ht="14" customHeight="1">
      <c r="A124" s="110" t="s">
        <v>131</v>
      </c>
      <c r="B124" s="75">
        <f>B70/B$83</f>
        <v>1.8967898799892267</v>
      </c>
      <c r="C124" s="2"/>
      <c r="D124" s="24"/>
      <c r="H124" s="24">
        <f>(E70*F70/G$37*F$7/F$9)</f>
        <v>0.84848484848484851</v>
      </c>
      <c r="I124" s="29">
        <f>IF(SUMPRODUCT($B$124:$B124,$H$124:$H124)&lt;I$119,($B124*$H124),I$119)</f>
        <v>1.609397473930253</v>
      </c>
      <c r="J124" s="237">
        <f>IF(SUMPRODUCT($B$124:$B124,$H$124:$H124)&lt;J$119,($B124*$H124),J$119)</f>
        <v>1.609397473930253</v>
      </c>
      <c r="K124" s="22">
        <f>(B124)</f>
        <v>1.8967898799892267</v>
      </c>
      <c r="L124" s="29">
        <f>IF(SUMPRODUCT($B$124:$B124,$H$124:$H124)&lt;L$119,($B124*$H124),L$119)</f>
        <v>1.609397473930253</v>
      </c>
      <c r="M124" s="57">
        <f t="shared" si="90"/>
        <v>1.609397473930253</v>
      </c>
      <c r="N124" s="58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2"/>
      <c r="AC124" s="2"/>
      <c r="AD124" s="2"/>
      <c r="AE124" s="2"/>
      <c r="AF124" s="2"/>
      <c r="AG124" s="2"/>
    </row>
    <row r="125" spans="1:88" ht="14" customHeight="1">
      <c r="A125" s="110" t="s">
        <v>132</v>
      </c>
      <c r="B125" s="75">
        <f>B71/B$83</f>
        <v>1.6014455622263581</v>
      </c>
      <c r="C125" s="2"/>
      <c r="D125" s="24"/>
      <c r="H125" s="24">
        <f>(E71*F71/G$37*F$7/F$9)</f>
        <v>0.7151515151515152</v>
      </c>
      <c r="I125" s="29">
        <f>IF(SUMPRODUCT($B$124:$B125,$H$124:$H125)&lt;I$119,($B125*$H125),IF(SUMPRODUCT($B$124:$B124,$H$124:$H124)&lt;I$119,I$119-SUMPRODUCT($B$124:$B124,$H$124:$H124),0))</f>
        <v>1.1452762202588502</v>
      </c>
      <c r="J125" s="237">
        <f>IF(SUMPRODUCT($B$124:$B125,$H$124:$H125)&lt;J$119,($B125*$H125),IF(SUMPRODUCT($B$124:$B124,$H$124:$H124)&lt;J$119,J$119-SUMPRODUCT($B$124:$B124,$H$124:$H124),0))</f>
        <v>1.1452762202588502</v>
      </c>
      <c r="K125" s="22">
        <f t="shared" ref="K125:K126" si="91">(B125)</f>
        <v>1.6014455622263581</v>
      </c>
      <c r="L125" s="29">
        <f>IF(SUMPRODUCT($B$124:$B125,$H$124:$H125)&lt;L$119,($B125*$H125),IF(SUMPRODUCT($B$124:$B124,$H$124:$H124)&lt;L$119,L$119-SUMPRODUCT($B$124:$B124,$H$124:$H124),0))</f>
        <v>1.1452762202588502</v>
      </c>
      <c r="M125" s="57">
        <f t="shared" ref="M125:M126" si="92">(J125)</f>
        <v>1.1452762202588502</v>
      </c>
      <c r="N125" s="58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2"/>
      <c r="AC125" s="2"/>
      <c r="AD125" s="2"/>
      <c r="AE125" s="2"/>
      <c r="AF125" s="2"/>
      <c r="AG125" s="2"/>
    </row>
    <row r="126" spans="1:88" ht="14" customHeight="1">
      <c r="A126" s="110" t="s">
        <v>133</v>
      </c>
      <c r="B126" s="75">
        <f>B72/B$83</f>
        <v>2.8256272690239785</v>
      </c>
      <c r="C126" s="2"/>
      <c r="D126" s="24"/>
      <c r="H126" s="24">
        <f>(E72*F72/G$37*F$7/F$9)</f>
        <v>0.7151515151515152</v>
      </c>
      <c r="I126" s="29">
        <f>IF(SUMPRODUCT($B$124:$B126,$H$124:$H126)&lt;(I$119-I$128),($B126*$H126),IF(SUMPRODUCT($B$124:$B125,$H$124:$H125)&lt;(I$119-I$128),I$119-I$128-SUMPRODUCT($B$124:$B125,$H$124:$H125),0))</f>
        <v>0</v>
      </c>
      <c r="J126" s="237">
        <f>IF(SUMPRODUCT($B$124:$B126,$H$124:$H126)&lt;(J$119-J$128),($B126*$H126),IF(SUMPRODUCT($B$124:$B125,$H$124:$H125)&lt;(J$119-J$128),J$119-J$128-SUMPRODUCT($B$124:$B125,$H$124:$H125),0))</f>
        <v>2.0207516226959363</v>
      </c>
      <c r="K126" s="22">
        <f t="shared" si="91"/>
        <v>2.8256272690239785</v>
      </c>
      <c r="L126" s="29">
        <f>IF(SUMPRODUCT($B$124:$B126,$H$124:$H126)&lt;(L$119-L$128),($B126*$H126),IF(SUMPRODUCT($B$124:$B125,$H$124:$H125)&lt;(L$119-L$128),L$119-L$128-SUMPRODUCT($B$124:$B125,$H$124:$H125),0))</f>
        <v>2.0207516226959363</v>
      </c>
      <c r="M126" s="57">
        <f t="shared" si="92"/>
        <v>2.0207516226959363</v>
      </c>
      <c r="N126" s="58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2"/>
      <c r="AC126" s="2"/>
      <c r="AD126" s="2"/>
      <c r="AE126" s="2"/>
      <c r="AF126" s="2"/>
      <c r="AG126" s="2"/>
    </row>
    <row r="127" spans="1:88" ht="14" customHeight="1">
      <c r="A127" s="110" t="s">
        <v>134</v>
      </c>
      <c r="B127" s="75">
        <f>B73/B83</f>
        <v>5.2673490610805853</v>
      </c>
      <c r="C127" s="2"/>
      <c r="D127" s="24"/>
      <c r="H127" s="24">
        <f>(E73*F73/G$37*F$7/F$9)</f>
        <v>0.7151515151515152</v>
      </c>
      <c r="I127" s="29">
        <f>IF(SUMPRODUCT($B$124:$B127,$H$124:$H127)&lt;(I$119-I$128),($B127*$H127),IF(SUMPRODUCT($B$124:$B126,$H$124:$H126)&lt;(I$119-I128),I$119-I$128-SUMPRODUCT($B$124:$B126,$H$124:$H126),0))</f>
        <v>0</v>
      </c>
      <c r="J127" s="237">
        <f>IF(SUMPRODUCT($B$124:$B127,$H$124:$H127)&lt;(J$119-J$128),($B127*$H127),IF(SUMPRODUCT($B$124:$B126,$H$124:$H126)&lt;(J$119-J128),J$119-J$128-SUMPRODUCT($B$124:$B126,$H$124:$H126),0))</f>
        <v>3.7669526618636917</v>
      </c>
      <c r="K127" s="22">
        <f>(B127)</f>
        <v>5.2673490610805853</v>
      </c>
      <c r="L127" s="29">
        <f>IF(SUMPRODUCT($B$124:$B127,$H$124:$H127)&lt;(L$119-L$128),($B127*$H127),IF(SUMPRODUCT($B$124:$B126,$H$124:$H126)&lt;(L$119-L128),L$119-L$128-SUMPRODUCT($B$124:$B126,$H$124:$H126),0))</f>
        <v>3.7669526618636917</v>
      </c>
      <c r="M127" s="57">
        <f t="shared" si="90"/>
        <v>3.7669526618636917</v>
      </c>
      <c r="N127" s="58"/>
      <c r="Q127" s="2"/>
      <c r="R127" s="22"/>
      <c r="S127" s="2"/>
      <c r="T127" s="2"/>
      <c r="U127" s="2"/>
      <c r="V127" s="2"/>
      <c r="W127" s="2"/>
      <c r="X127" s="2"/>
      <c r="Y127" s="2"/>
      <c r="Z127" s="2"/>
      <c r="AA127" s="2"/>
      <c r="AB127" s="22"/>
      <c r="AC127" s="2"/>
      <c r="AD127" s="2"/>
      <c r="AE127" s="2"/>
      <c r="AF127" s="2"/>
      <c r="AG127" s="2"/>
    </row>
    <row r="128" spans="1:88" ht="14" customHeight="1">
      <c r="A128" s="1" t="s">
        <v>135</v>
      </c>
      <c r="B128" s="22">
        <f>(B30)</f>
        <v>0.65368818174702015</v>
      </c>
      <c r="C128" s="2"/>
      <c r="D128" s="31"/>
      <c r="E128" s="2"/>
      <c r="F128" s="2"/>
      <c r="G128" s="2"/>
      <c r="H128" s="24"/>
      <c r="I128" s="29">
        <f>(I30)</f>
        <v>11.252559580992337</v>
      </c>
      <c r="J128" s="228">
        <f>(J30)</f>
        <v>0.21003537251089532</v>
      </c>
      <c r="K128" s="22">
        <f>(B128)</f>
        <v>0.65368818174702015</v>
      </c>
      <c r="L128" s="22">
        <f>IF(L124=L119,0,(L119-L124)/(B119-B124)*K128)</f>
        <v>0.36623783354946621</v>
      </c>
      <c r="M128" s="57">
        <f t="shared" si="90"/>
        <v>0.21003537251089532</v>
      </c>
      <c r="N128" s="58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2"/>
      <c r="AC128" s="2"/>
      <c r="AD128" s="2"/>
      <c r="AE128" s="2"/>
      <c r="AF128" s="2"/>
      <c r="AG128" s="2"/>
    </row>
    <row r="129" spans="1:33" ht="14" customHeight="1">
      <c r="A129" s="56" t="s">
        <v>55</v>
      </c>
      <c r="B129" s="29">
        <f>IF(SUM(B124:B128)&gt;B130,0,B130-B124-B125-B126-B127-B128)</f>
        <v>11.495391060458996</v>
      </c>
      <c r="C129" s="2"/>
      <c r="D129" s="31"/>
      <c r="E129" s="2"/>
      <c r="F129" s="2"/>
      <c r="G129" s="2"/>
      <c r="H129" s="24"/>
      <c r="I129" s="29"/>
      <c r="J129" s="228">
        <f>IF(SUM(J124:J128)&gt;J130,0,J130-SUM(J124:J128))</f>
        <v>5.1167311204173505</v>
      </c>
      <c r="K129" s="29">
        <f>(B129)</f>
        <v>11.495391060458996</v>
      </c>
      <c r="L129" s="60">
        <f>IF(SUM(L124:L128)&gt;L130,0,L130-SUM(L124:L128))</f>
        <v>4.9389049075929474</v>
      </c>
      <c r="M129" s="57">
        <f t="shared" si="90"/>
        <v>5.1167311204173505</v>
      </c>
      <c r="N129" s="58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2"/>
      <c r="AC129" s="2"/>
      <c r="AD129" s="2"/>
      <c r="AE129" s="2"/>
      <c r="AF129" s="2"/>
      <c r="AG129" s="2"/>
    </row>
    <row r="130" spans="1:33" ht="14" customHeight="1">
      <c r="A130" s="2" t="s">
        <v>32</v>
      </c>
      <c r="B130" s="22">
        <f>(B119)</f>
        <v>23.740291014526168</v>
      </c>
      <c r="C130" s="2"/>
      <c r="D130" s="31"/>
      <c r="E130" s="2"/>
      <c r="F130" s="2"/>
      <c r="G130" s="2"/>
      <c r="H130" s="24"/>
      <c r="I130" s="29">
        <f>(I119)</f>
        <v>12.861957054922589</v>
      </c>
      <c r="J130" s="228">
        <f>(J119)</f>
        <v>13.869144471676977</v>
      </c>
      <c r="K130" s="22">
        <f>(B130)</f>
        <v>23.740291014526168</v>
      </c>
      <c r="L130" s="22">
        <f>(L119)</f>
        <v>13.847520719891145</v>
      </c>
      <c r="M130" s="57">
        <f t="shared" si="90"/>
        <v>13.869144471676977</v>
      </c>
      <c r="N130" s="58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2"/>
      <c r="AC130" s="2"/>
      <c r="AD130" s="2"/>
      <c r="AE130" s="2"/>
      <c r="AF130" s="2"/>
      <c r="AG130" s="2"/>
    </row>
    <row r="131" spans="1:33" ht="14" customHeight="1">
      <c r="A131" s="2" t="s">
        <v>36</v>
      </c>
      <c r="B131" s="22"/>
      <c r="C131" s="2"/>
      <c r="D131" s="31"/>
      <c r="E131" s="2"/>
      <c r="F131" s="2"/>
      <c r="G131" s="2"/>
      <c r="H131" s="24"/>
      <c r="I131" s="29">
        <f>IF(SUMPRODUCT($B124:$B125,$H124:$H125)&gt;(I119-I128),SUMPRODUCT($B124:$B125,$H124:$H125)+I128-I119,0)</f>
        <v>1.1452762202588502</v>
      </c>
      <c r="J131" s="237">
        <f>IF(SUMPRODUCT($B124:$B125,$H124:$H125)&gt;(J119-J128),SUMPRODUCT($B124:$B125,$H124:$H125)+J128-J119,0)</f>
        <v>0</v>
      </c>
      <c r="K131" s="29"/>
      <c r="L131" s="29">
        <f>IF(I131&lt;SUM(L126:L127),0,I131-(SUM(L126:L127)))</f>
        <v>0</v>
      </c>
      <c r="M131" s="237">
        <f>IF(I131&lt;SUM(M126:M127),0,I131-(SUM(M126:M127)))</f>
        <v>0</v>
      </c>
      <c r="N131" s="58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2"/>
      <c r="AC131" s="2"/>
      <c r="AD131" s="2"/>
      <c r="AE131" s="2"/>
      <c r="AF131" s="2"/>
      <c r="AG131" s="2"/>
    </row>
    <row r="132" spans="1:33" ht="14" customHeight="1">
      <c r="A132" s="14"/>
      <c r="B132" s="14"/>
      <c r="C132" s="14"/>
      <c r="D132" s="12"/>
      <c r="E132" s="14"/>
      <c r="F132" s="14"/>
      <c r="G132" s="14"/>
      <c r="H132" s="12"/>
      <c r="I132" s="14"/>
      <c r="J132" s="12"/>
      <c r="K132" s="14"/>
      <c r="L132" s="14"/>
      <c r="M132" s="66"/>
      <c r="N132" s="58"/>
    </row>
    <row r="142" spans="1:33">
      <c r="A142" s="2"/>
      <c r="B142" s="2"/>
      <c r="C142" s="2"/>
      <c r="D142" s="2"/>
      <c r="E142" s="2"/>
      <c r="F142" s="2"/>
      <c r="G142" s="2"/>
      <c r="H142" s="2"/>
      <c r="I142" s="2"/>
      <c r="J142" s="2"/>
      <c r="L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</row>
    <row r="143" spans="1:33">
      <c r="B143" s="22"/>
      <c r="C143" s="22"/>
      <c r="D143" s="2"/>
      <c r="E143" s="2"/>
      <c r="F143" s="2"/>
      <c r="G143" s="2"/>
      <c r="H143" s="2"/>
      <c r="I143" s="22"/>
      <c r="J143" s="2"/>
      <c r="L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68"/>
      <c r="AC143" s="2"/>
      <c r="AD143" s="2"/>
      <c r="AE143" s="2"/>
      <c r="AF143" s="2"/>
      <c r="AG143" s="2"/>
    </row>
    <row r="144" spans="1:33">
      <c r="B144" s="22"/>
      <c r="C144" s="22"/>
      <c r="D144" s="2"/>
      <c r="E144" s="2"/>
      <c r="F144" s="2"/>
      <c r="G144" s="2"/>
      <c r="H144" s="2"/>
      <c r="I144" s="2"/>
      <c r="J144" s="2"/>
      <c r="L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68"/>
      <c r="AC144" s="2"/>
      <c r="AD144" s="2"/>
      <c r="AE144" s="2"/>
      <c r="AF144" s="2"/>
      <c r="AG144" s="2"/>
    </row>
    <row r="145" spans="1:33">
      <c r="B145" s="22"/>
      <c r="C145" s="22"/>
      <c r="D145" s="2"/>
      <c r="E145" s="2"/>
      <c r="F145" s="2"/>
      <c r="G145" s="2"/>
      <c r="H145" s="2"/>
      <c r="I145" s="22"/>
      <c r="J145" s="2"/>
      <c r="L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68"/>
      <c r="AC145" s="2"/>
      <c r="AD145" s="2"/>
      <c r="AE145" s="2"/>
      <c r="AF145" s="2"/>
      <c r="AG145" s="2"/>
    </row>
    <row r="146" spans="1:33">
      <c r="B146" s="2"/>
      <c r="C146" s="2"/>
      <c r="D146" s="2"/>
      <c r="E146" s="2"/>
      <c r="F146" s="2"/>
      <c r="G146" s="2"/>
      <c r="H146" s="2"/>
      <c r="I146" s="2"/>
      <c r="J146" s="2"/>
      <c r="L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68"/>
      <c r="AC146" s="2"/>
      <c r="AD146" s="2"/>
      <c r="AE146" s="2"/>
      <c r="AF146" s="2"/>
      <c r="AG146" s="2"/>
    </row>
    <row r="147" spans="1:33">
      <c r="B147" s="22"/>
      <c r="C147" s="22"/>
      <c r="D147" s="2"/>
      <c r="E147" s="2"/>
      <c r="F147" s="2"/>
      <c r="G147" s="2"/>
      <c r="H147" s="2"/>
      <c r="I147" s="2"/>
      <c r="J147" s="2"/>
      <c r="L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68"/>
      <c r="AC147" s="2"/>
      <c r="AD147" s="2"/>
      <c r="AE147" s="2"/>
      <c r="AF147" s="2"/>
      <c r="AG147" s="2"/>
    </row>
    <row r="148" spans="1:33">
      <c r="B148" s="22"/>
      <c r="C148" s="22"/>
      <c r="D148" s="2"/>
      <c r="E148" s="2"/>
      <c r="F148" s="2"/>
      <c r="G148" s="2"/>
      <c r="H148" s="2"/>
      <c r="I148" s="2"/>
      <c r="J148" s="2"/>
      <c r="L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68"/>
      <c r="AC148" s="2"/>
      <c r="AD148" s="2"/>
      <c r="AE148" s="2"/>
      <c r="AF148" s="2"/>
      <c r="AG148" s="2"/>
    </row>
    <row r="149" spans="1:33">
      <c r="B149" s="22"/>
      <c r="C149" s="22"/>
      <c r="D149" s="2"/>
      <c r="E149" s="2"/>
      <c r="F149" s="2"/>
      <c r="G149" s="2"/>
      <c r="H149" s="2"/>
      <c r="I149" s="2"/>
      <c r="J149" s="2"/>
      <c r="L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68"/>
      <c r="AC149" s="2"/>
      <c r="AD149" s="2"/>
      <c r="AE149" s="2"/>
      <c r="AF149" s="2"/>
      <c r="AG149" s="2"/>
    </row>
    <row r="150" spans="1:33">
      <c r="B150" s="22"/>
      <c r="C150" s="22"/>
      <c r="D150" s="2"/>
      <c r="E150" s="2"/>
      <c r="F150" s="2"/>
      <c r="G150" s="2"/>
      <c r="H150" s="2"/>
      <c r="I150" s="2"/>
      <c r="J150" s="2"/>
      <c r="L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68"/>
      <c r="AC150" s="2"/>
      <c r="AD150" s="2"/>
      <c r="AE150" s="2"/>
      <c r="AF150" s="2"/>
      <c r="AG150" s="2"/>
    </row>
    <row r="151" spans="1:33">
      <c r="B151" s="22"/>
      <c r="C151" s="22"/>
      <c r="D151" s="2"/>
      <c r="E151" s="2"/>
      <c r="F151" s="2"/>
      <c r="G151" s="2"/>
      <c r="H151" s="2"/>
      <c r="I151" s="2"/>
      <c r="J151" s="2"/>
      <c r="L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68"/>
      <c r="AC151" s="2"/>
      <c r="AD151" s="2"/>
      <c r="AE151" s="2"/>
      <c r="AF151" s="2"/>
      <c r="AG151" s="2"/>
    </row>
    <row r="152" spans="1:33">
      <c r="B152" s="22"/>
      <c r="C152" s="22"/>
      <c r="D152" s="2"/>
      <c r="E152" s="2"/>
      <c r="F152" s="2"/>
      <c r="G152" s="2"/>
      <c r="H152" s="2"/>
      <c r="I152" s="2"/>
      <c r="J152" s="2"/>
      <c r="L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68"/>
      <c r="AC152" s="2"/>
      <c r="AD152" s="2"/>
      <c r="AE152" s="2"/>
      <c r="AF152" s="2"/>
      <c r="AG152" s="2"/>
    </row>
    <row r="153" spans="1:33">
      <c r="A153" s="2"/>
      <c r="B153" s="2"/>
      <c r="C153" s="2"/>
      <c r="D153" s="2"/>
      <c r="E153" s="2"/>
      <c r="F153" s="2"/>
      <c r="G153" s="2"/>
      <c r="H153" s="2"/>
      <c r="I153" s="2"/>
      <c r="J153" s="2"/>
      <c r="L153" s="2"/>
      <c r="O153" s="2"/>
      <c r="P153" s="2"/>
      <c r="Q153" s="2"/>
      <c r="R153" s="2"/>
      <c r="S153" s="2"/>
      <c r="T153" s="2"/>
      <c r="U153" s="2"/>
      <c r="V153" s="2"/>
      <c r="W153" s="69"/>
      <c r="X153" s="2"/>
      <c r="Y153" s="2"/>
      <c r="Z153" s="2"/>
      <c r="AA153" s="2"/>
      <c r="AB153" s="2"/>
      <c r="AC153" s="2"/>
      <c r="AD153" s="2"/>
      <c r="AE153" s="2"/>
      <c r="AF153" s="2"/>
      <c r="AG153" s="2"/>
    </row>
    <row r="154" spans="1:33">
      <c r="A154" s="3"/>
      <c r="B154" s="2"/>
      <c r="C154" s="2"/>
      <c r="D154" s="2"/>
      <c r="E154" s="2"/>
      <c r="F154" s="2"/>
      <c r="H154" s="2"/>
      <c r="I154" s="2"/>
      <c r="J154" s="2"/>
      <c r="L154" s="2"/>
      <c r="W154" s="71"/>
    </row>
    <row r="155" spans="1:33">
      <c r="A155" s="2"/>
      <c r="B155" s="2"/>
      <c r="C155" s="2"/>
      <c r="D155" s="2"/>
      <c r="E155" s="2"/>
      <c r="F155" s="2"/>
      <c r="H155" s="2"/>
      <c r="I155" s="2"/>
      <c r="J155" s="2"/>
      <c r="L155" s="2"/>
      <c r="W155" s="71"/>
    </row>
    <row r="156" spans="1:33">
      <c r="A156" s="2"/>
      <c r="B156" s="2"/>
      <c r="C156" s="2"/>
      <c r="D156" s="2"/>
      <c r="E156" s="2"/>
      <c r="F156" s="2"/>
      <c r="H156" s="2"/>
      <c r="I156" s="2"/>
      <c r="J156" s="2"/>
      <c r="L156" s="2"/>
      <c r="W156" s="71"/>
    </row>
    <row r="157" spans="1:33">
      <c r="A157" s="22"/>
      <c r="B157" s="2"/>
      <c r="C157" s="2"/>
      <c r="D157" s="2"/>
      <c r="E157" s="2"/>
      <c r="F157" s="2"/>
      <c r="H157" s="2"/>
      <c r="I157" s="2"/>
      <c r="J157" s="2"/>
      <c r="L157" s="2"/>
      <c r="W157" s="71"/>
    </row>
    <row r="158" spans="1:33">
      <c r="A158" s="2"/>
      <c r="B158" s="2"/>
      <c r="C158" s="2"/>
      <c r="D158" s="2"/>
      <c r="E158" s="2"/>
      <c r="F158" s="2"/>
      <c r="H158" s="2"/>
      <c r="I158" s="2"/>
      <c r="J158" s="2"/>
      <c r="L158" s="2"/>
      <c r="W158" s="71"/>
    </row>
    <row r="159" spans="1:33">
      <c r="A159" s="2"/>
      <c r="B159" s="2"/>
      <c r="C159" s="2"/>
      <c r="D159" s="2"/>
      <c r="E159" s="2"/>
      <c r="F159" s="2"/>
      <c r="H159" s="2"/>
      <c r="I159" s="2"/>
      <c r="J159" s="2"/>
      <c r="L159" s="2"/>
    </row>
    <row r="160" spans="1:33">
      <c r="A160" s="2"/>
      <c r="B160" s="2"/>
      <c r="C160" s="2"/>
      <c r="D160" s="2"/>
      <c r="E160" s="2"/>
      <c r="F160" s="2"/>
      <c r="H160" s="2"/>
      <c r="I160" s="2"/>
      <c r="J160" s="2"/>
      <c r="L160" s="2"/>
    </row>
    <row r="161" spans="1:28">
      <c r="A161" s="2"/>
      <c r="B161" s="2"/>
      <c r="C161" s="2"/>
      <c r="D161" s="2"/>
      <c r="E161" s="2"/>
      <c r="F161" s="2"/>
      <c r="H161" s="2"/>
      <c r="I161" s="2"/>
      <c r="J161" s="2"/>
      <c r="L161" s="2"/>
      <c r="AB161" s="71"/>
    </row>
    <row r="162" spans="1:28">
      <c r="A162" s="2"/>
      <c r="B162" s="2"/>
      <c r="C162" s="2"/>
      <c r="D162" s="2"/>
      <c r="E162" s="2"/>
      <c r="F162" s="2"/>
      <c r="H162" s="2"/>
      <c r="I162" s="2"/>
      <c r="J162" s="2"/>
      <c r="L162" s="2"/>
      <c r="AB162" s="71"/>
    </row>
    <row r="163" spans="1:28">
      <c r="A163" s="2"/>
      <c r="B163" s="2"/>
      <c r="C163" s="2"/>
      <c r="D163" s="2"/>
      <c r="E163" s="2"/>
      <c r="F163" s="2"/>
      <c r="H163" s="2"/>
      <c r="I163" s="2"/>
      <c r="J163" s="2"/>
      <c r="L163" s="2"/>
      <c r="AB163" s="71"/>
    </row>
    <row r="164" spans="1:28">
      <c r="A164" s="2"/>
      <c r="B164" s="2"/>
      <c r="C164" s="2"/>
      <c r="D164" s="2"/>
      <c r="E164" s="2"/>
      <c r="F164" s="2"/>
      <c r="H164" s="2"/>
      <c r="I164" s="2"/>
      <c r="J164" s="2"/>
      <c r="L164" s="2"/>
      <c r="AB164" s="71"/>
    </row>
    <row r="165" spans="1:28">
      <c r="A165" s="2"/>
      <c r="B165" s="2"/>
      <c r="C165" s="2"/>
      <c r="D165" s="2"/>
      <c r="E165" s="2"/>
      <c r="F165" s="2"/>
      <c r="H165" s="2"/>
      <c r="I165" s="2"/>
      <c r="J165" s="2"/>
      <c r="L165" s="2"/>
      <c r="W165" s="72"/>
      <c r="AB165" s="71"/>
    </row>
    <row r="166" spans="1:28">
      <c r="A166" s="2"/>
      <c r="B166" s="2"/>
      <c r="C166" s="2"/>
      <c r="D166" s="2"/>
      <c r="E166" s="2"/>
      <c r="F166" s="2"/>
      <c r="H166" s="2"/>
      <c r="I166" s="2"/>
      <c r="J166" s="2"/>
      <c r="L166" s="2"/>
      <c r="W166" s="72"/>
      <c r="AB166" s="71"/>
    </row>
    <row r="167" spans="1:28">
      <c r="A167" s="2"/>
      <c r="B167" s="2"/>
      <c r="C167" s="2"/>
      <c r="D167" s="2"/>
      <c r="E167" s="2"/>
      <c r="F167" s="2"/>
      <c r="H167" s="2"/>
      <c r="I167" s="2"/>
      <c r="J167" s="2"/>
      <c r="L167" s="2"/>
      <c r="AB167" s="71"/>
    </row>
    <row r="168" spans="1:28">
      <c r="A168" s="2"/>
      <c r="B168" s="2"/>
      <c r="C168" s="2"/>
      <c r="D168" s="2"/>
      <c r="E168" s="2"/>
      <c r="F168" s="2"/>
      <c r="H168" s="2"/>
      <c r="I168" s="2"/>
      <c r="J168" s="2"/>
      <c r="L168" s="2"/>
      <c r="AB168" s="71"/>
    </row>
    <row r="169" spans="1:28">
      <c r="A169" s="2"/>
      <c r="B169" s="2"/>
      <c r="C169" s="2"/>
      <c r="D169" s="2"/>
      <c r="E169" s="2"/>
      <c r="F169" s="2"/>
      <c r="H169" s="2"/>
      <c r="I169" s="2"/>
      <c r="J169" s="2"/>
      <c r="L169" s="2"/>
      <c r="AB169" s="71"/>
    </row>
    <row r="170" spans="1:28">
      <c r="A170" s="2"/>
      <c r="B170" s="2"/>
      <c r="C170" s="2"/>
      <c r="D170" s="2"/>
      <c r="E170" s="2"/>
      <c r="F170" s="2"/>
      <c r="H170" s="2"/>
      <c r="I170" s="2"/>
      <c r="J170" s="2"/>
      <c r="L170" s="2"/>
    </row>
    <row r="171" spans="1:28">
      <c r="A171" s="2"/>
      <c r="B171" s="2"/>
      <c r="C171" s="2"/>
      <c r="D171" s="2"/>
      <c r="E171" s="2"/>
      <c r="F171" s="2"/>
      <c r="H171" s="2"/>
      <c r="I171" s="2"/>
      <c r="J171" s="2"/>
      <c r="L171" s="2"/>
      <c r="W171" s="72"/>
      <c r="AB171" s="71"/>
    </row>
    <row r="172" spans="1:28">
      <c r="A172" s="2"/>
      <c r="B172" s="2"/>
      <c r="C172" s="2"/>
      <c r="D172" s="2"/>
      <c r="E172" s="2"/>
      <c r="F172" s="2"/>
      <c r="H172" s="2"/>
      <c r="I172" s="2"/>
      <c r="J172" s="2"/>
      <c r="L172" s="2"/>
      <c r="W172" s="72"/>
    </row>
    <row r="173" spans="1:28">
      <c r="A173" s="2"/>
      <c r="B173" s="2"/>
      <c r="C173" s="2"/>
      <c r="D173" s="2"/>
      <c r="E173" s="2"/>
      <c r="F173" s="2"/>
      <c r="H173" s="2"/>
      <c r="I173" s="2"/>
      <c r="J173" s="2"/>
      <c r="L173" s="2"/>
    </row>
    <row r="174" spans="1:28">
      <c r="A174" s="2"/>
      <c r="B174" s="2"/>
      <c r="C174" s="2"/>
      <c r="D174" s="2"/>
      <c r="E174" s="2"/>
      <c r="F174" s="2"/>
      <c r="H174" s="2"/>
      <c r="I174" s="2"/>
      <c r="J174" s="2"/>
      <c r="L174" s="2"/>
    </row>
    <row r="175" spans="1:28">
      <c r="A175" s="2"/>
      <c r="B175" s="2"/>
      <c r="C175" s="2"/>
      <c r="D175" s="2"/>
      <c r="E175" s="2"/>
      <c r="F175" s="2"/>
      <c r="H175" s="2"/>
      <c r="I175" s="2"/>
      <c r="J175" s="2"/>
      <c r="L175" s="2"/>
      <c r="AB175" s="71"/>
    </row>
    <row r="176" spans="1:28">
      <c r="A176" s="2"/>
      <c r="B176" s="2"/>
      <c r="C176" s="2"/>
      <c r="D176" s="2"/>
      <c r="E176" s="2"/>
      <c r="F176" s="2"/>
      <c r="H176" s="2"/>
      <c r="I176" s="2"/>
      <c r="J176" s="2"/>
      <c r="L176" s="2"/>
      <c r="AB176" s="71"/>
    </row>
    <row r="177" spans="1:28">
      <c r="A177" s="2"/>
      <c r="B177" s="2"/>
      <c r="C177" s="2"/>
      <c r="D177" s="2"/>
      <c r="E177" s="2"/>
      <c r="F177" s="2"/>
      <c r="H177" s="2"/>
      <c r="I177" s="2"/>
      <c r="J177" s="2"/>
      <c r="L177" s="2"/>
      <c r="W177" s="72"/>
      <c r="AB177" s="71"/>
    </row>
    <row r="178" spans="1:28">
      <c r="A178" s="2"/>
      <c r="B178" s="2"/>
      <c r="C178" s="2"/>
      <c r="D178" s="2"/>
      <c r="E178" s="2"/>
      <c r="F178" s="2"/>
      <c r="H178" s="2"/>
      <c r="I178" s="2"/>
      <c r="J178" s="2"/>
      <c r="L178" s="2"/>
      <c r="W178" s="72"/>
      <c r="AB178" s="71"/>
    </row>
    <row r="179" spans="1:28">
      <c r="A179" s="2"/>
      <c r="B179" s="2"/>
      <c r="C179" s="2"/>
      <c r="D179" s="2"/>
      <c r="E179" s="2"/>
      <c r="F179" s="2"/>
      <c r="H179" s="2"/>
      <c r="I179" s="2"/>
      <c r="J179" s="2"/>
      <c r="L179" s="2"/>
      <c r="AB179" s="71"/>
    </row>
    <row r="180" spans="1:28">
      <c r="A180" s="2"/>
      <c r="B180" s="2"/>
      <c r="C180" s="2"/>
      <c r="D180" s="2"/>
      <c r="E180" s="2"/>
      <c r="F180" s="2"/>
      <c r="H180" s="2"/>
      <c r="I180" s="2"/>
      <c r="J180" s="2"/>
      <c r="L180" s="2"/>
      <c r="AB180" s="71"/>
    </row>
    <row r="181" spans="1:28">
      <c r="A181" s="2"/>
      <c r="B181" s="2"/>
      <c r="C181" s="2"/>
      <c r="D181" s="2"/>
      <c r="E181" s="2"/>
      <c r="F181" s="2"/>
      <c r="H181" s="2"/>
      <c r="I181" s="2"/>
      <c r="J181" s="2"/>
      <c r="L181" s="2"/>
    </row>
    <row r="182" spans="1:28">
      <c r="A182" s="2"/>
      <c r="B182" s="2"/>
      <c r="C182" s="2"/>
      <c r="D182" s="2"/>
      <c r="E182" s="2"/>
      <c r="F182" s="2"/>
      <c r="H182" s="2"/>
      <c r="I182" s="2"/>
      <c r="J182" s="2"/>
      <c r="L182" s="2"/>
    </row>
    <row r="183" spans="1:28">
      <c r="A183" s="2"/>
      <c r="B183" s="2"/>
      <c r="C183" s="2"/>
      <c r="D183" s="2"/>
      <c r="E183" s="2"/>
      <c r="F183" s="2"/>
      <c r="H183" s="2"/>
      <c r="I183" s="2"/>
      <c r="J183" s="2"/>
      <c r="L183" s="2"/>
    </row>
    <row r="184" spans="1:28">
      <c r="A184" s="2"/>
      <c r="B184" s="2"/>
      <c r="C184" s="2"/>
      <c r="D184" s="2"/>
      <c r="E184" s="2"/>
      <c r="F184" s="2"/>
      <c r="H184" s="2"/>
      <c r="I184" s="2"/>
      <c r="J184" s="2"/>
      <c r="L184" s="2"/>
    </row>
    <row r="185" spans="1:28">
      <c r="AB185" s="71"/>
    </row>
    <row r="186" spans="1:28">
      <c r="AB186" s="71"/>
    </row>
    <row r="187" spans="1:28">
      <c r="AB187" s="71"/>
    </row>
    <row r="188" spans="1:28">
      <c r="AB188" s="71"/>
    </row>
    <row r="189" spans="1:28">
      <c r="W189" s="72"/>
      <c r="AB189" s="71"/>
    </row>
    <row r="190" spans="1:28">
      <c r="W190" s="72"/>
      <c r="AB190" s="71"/>
    </row>
    <row r="191" spans="1:28">
      <c r="W191" s="72"/>
    </row>
    <row r="193" spans="23:28">
      <c r="AB193" s="71"/>
    </row>
    <row r="194" spans="23:28">
      <c r="AB194" s="71"/>
    </row>
    <row r="195" spans="23:28">
      <c r="AB195" s="71"/>
    </row>
    <row r="196" spans="23:28">
      <c r="AB196" s="71"/>
    </row>
    <row r="197" spans="23:28">
      <c r="AB197" s="71"/>
    </row>
    <row r="198" spans="23:28">
      <c r="W198" s="72"/>
      <c r="AB198" s="71"/>
    </row>
    <row r="199" spans="23:28">
      <c r="W199" s="72"/>
    </row>
    <row r="200" spans="23:28">
      <c r="W200" s="72"/>
    </row>
    <row r="207" spans="23:28">
      <c r="W207" s="72"/>
    </row>
    <row r="208" spans="23:28">
      <c r="W208" s="72"/>
    </row>
    <row r="209" spans="23:23">
      <c r="W209" s="72"/>
    </row>
    <row r="219" spans="23:23">
      <c r="W219" s="72"/>
    </row>
    <row r="220" spans="23:23">
      <c r="W220" s="72"/>
    </row>
    <row r="221" spans="23:23">
      <c r="W221" s="72"/>
    </row>
    <row r="228" spans="23:23">
      <c r="W228" s="72"/>
    </row>
    <row r="229" spans="23:23">
      <c r="W229" s="72"/>
    </row>
    <row r="230" spans="23:23">
      <c r="W230" s="72"/>
    </row>
    <row r="237" spans="23:23">
      <c r="W237" s="72"/>
    </row>
    <row r="238" spans="23:23">
      <c r="W238" s="72"/>
    </row>
    <row r="239" spans="23:23">
      <c r="W239" s="72"/>
    </row>
    <row r="249" spans="23:23">
      <c r="W249" s="72"/>
    </row>
    <row r="250" spans="23:23">
      <c r="W250" s="72"/>
    </row>
    <row r="251" spans="23:23">
      <c r="W251" s="72"/>
    </row>
    <row r="258" spans="23:23">
      <c r="W258" s="72"/>
    </row>
    <row r="259" spans="23:23">
      <c r="W259" s="72"/>
    </row>
    <row r="260" spans="23:23">
      <c r="W260" s="72"/>
    </row>
    <row r="267" spans="23:23">
      <c r="W267" s="72"/>
    </row>
    <row r="268" spans="23:23">
      <c r="W268" s="72"/>
    </row>
    <row r="269" spans="23:23">
      <c r="W269" s="72"/>
    </row>
  </sheetData>
  <sheetProtection sheet="1" formatCells="0" formatColumns="0" formatRows="0" insertHyperlinks="0"/>
  <scenarios current="0" show="0">
    <scenario name="1999" locked="1" count="23" user="Mark Lawrence" comment="Created by Mark Lawrence on 24/08/00_x000d_Modified by Mark Lawrence on 24/08/00_x000d_Modified by Mark Lawrence on 25/08/00">
      <inputCells r="E6" val="3" numFmtId="9"/>
      <inputCells r="E7" val="1" numFmtId="9"/>
      <inputCells r="E13" val="1.25" numFmtId="9"/>
      <inputCells r="F9" val="1900" numFmtId="1"/>
      <inputCells r="E14" val="1" numFmtId="9"/>
      <inputCells r="E27" val="1" numFmtId="9"/>
      <inputCells r="E28" val="1" numFmtId="9"/>
      <inputCells r="E29" val="1" numFmtId="9"/>
      <inputCells r="E40" val="1" numFmtId="9"/>
      <inputCells r="E44" val="1" numFmtId="9"/>
      <inputCells r="E45" val="1" numFmtId="9"/>
      <inputCells r="E46" val="1" numFmtId="9"/>
      <inputCells r="E64" val="1" numFmtId="9"/>
      <inputCells r="F38" val="1" numFmtId="9"/>
      <inputCells r="F39" val="2" numFmtId="9"/>
      <inputCells r="F40" val="1.25" numFmtId="9"/>
      <inputCells r="F44" val="1" numFmtId="9"/>
      <inputCells r="F45" val="0.4" numFmtId="9"/>
      <inputCells r="F46" val="1" numFmtId="9"/>
      <inputCells r="F64" val="1" numFmtId="9"/>
      <inputCells r="F37" val="2.5" numFmtId="9"/>
      <inputCells r="G37" val="2" numFmtId="9"/>
      <inputCells r="F70" val="1.37" numFmtId="9"/>
    </scenario>
    <scenario name="Normal" locked="1" count="23" user="Mark Lawrence" comment="Created by Mark Lawrence on 24/08/00_x000d_Modified by Mark Lawrence on 25/08/00">
      <inputCells r="E6" val="1" numFmtId="9"/>
      <inputCells r="E7" val="1" numFmtId="9"/>
      <inputCells r="E13" val="1" numFmtId="9"/>
      <inputCells r="F9" val="1900" numFmtId="1"/>
      <inputCells r="E14" val="1" numFmtId="9"/>
      <inputCells r="E27" val="1" numFmtId="9"/>
      <inputCells r="E28" val="1" numFmtId="9"/>
      <inputCells r="E29" val="1" numFmtId="9"/>
      <inputCells r="E40" val="1" numFmtId="9"/>
      <inputCells r="E44" val="1" numFmtId="9"/>
      <inputCells r="E45" val="1" numFmtId="9"/>
      <inputCells r="E46" val="1" numFmtId="9"/>
      <inputCells r="E64" val="1" numFmtId="9"/>
      <inputCells r="F37" val="1" numFmtId="9"/>
      <inputCells r="F38" val="1" numFmtId="9"/>
      <inputCells r="F39" val="1" numFmtId="9"/>
      <inputCells r="F40" val="1" numFmtId="9"/>
      <inputCells r="F44" val="1" numFmtId="9"/>
      <inputCells r="F45" val="1" numFmtId="9"/>
      <inputCells r="F46" val="1" numFmtId="9"/>
      <inputCells r="F64" val="1" numFmtId="9"/>
      <inputCells r="G37" val="1" numFmtId="9"/>
      <inputCells r="F70" val="1" numFmtId="9"/>
    </scenario>
  </scenarios>
  <mergeCells count="4">
    <mergeCell ref="Z2:AA2"/>
    <mergeCell ref="AB2:AC2"/>
    <mergeCell ref="AD2:AE2"/>
    <mergeCell ref="AF2:AG2"/>
  </mergeCells>
  <phoneticPr fontId="1" type="noConversion"/>
  <conditionalFormatting sqref="U7:U22">
    <cfRule type="cellIs" dxfId="146" priority="212" operator="equal">
      <formula>16</formula>
    </cfRule>
    <cfRule type="cellIs" dxfId="145" priority="213" operator="equal">
      <formula>15</formula>
    </cfRule>
    <cfRule type="cellIs" dxfId="144" priority="214" operator="equal">
      <formula>14</formula>
    </cfRule>
    <cfRule type="cellIs" dxfId="143" priority="215" operator="equal">
      <formula>13</formula>
    </cfRule>
    <cfRule type="cellIs" dxfId="142" priority="216" operator="equal">
      <formula>12</formula>
    </cfRule>
    <cfRule type="cellIs" dxfId="141" priority="217" operator="equal">
      <formula>11</formula>
    </cfRule>
    <cfRule type="cellIs" dxfId="140" priority="218" operator="equal">
      <formula>10</formula>
    </cfRule>
    <cfRule type="cellIs" dxfId="139" priority="219" operator="equal">
      <formula>9</formula>
    </cfRule>
    <cfRule type="cellIs" dxfId="138" priority="220" operator="equal">
      <formula>8</formula>
    </cfRule>
    <cfRule type="cellIs" dxfId="137" priority="221" operator="equal">
      <formula>7</formula>
    </cfRule>
    <cfRule type="cellIs" dxfId="136" priority="222" operator="equal">
      <formula>6</formula>
    </cfRule>
    <cfRule type="cellIs" dxfId="135" priority="223" operator="equal">
      <formula>5</formula>
    </cfRule>
    <cfRule type="cellIs" dxfId="134" priority="224" operator="equal">
      <formula>4</formula>
    </cfRule>
    <cfRule type="cellIs" dxfId="133" priority="225" operator="equal">
      <formula>3</formula>
    </cfRule>
    <cfRule type="cellIs" dxfId="132" priority="226" operator="equal">
      <formula>2</formula>
    </cfRule>
    <cfRule type="cellIs" dxfId="131" priority="227" operator="equal">
      <formula>1</formula>
    </cfRule>
  </conditionalFormatting>
  <conditionalFormatting sqref="N29">
    <cfRule type="cellIs" dxfId="130" priority="196" operator="equal">
      <formula>16</formula>
    </cfRule>
    <cfRule type="cellIs" dxfId="129" priority="197" operator="equal">
      <formula>15</formula>
    </cfRule>
    <cfRule type="cellIs" dxfId="128" priority="198" operator="equal">
      <formula>14</formula>
    </cfRule>
    <cfRule type="cellIs" dxfId="127" priority="199" operator="equal">
      <formula>13</formula>
    </cfRule>
    <cfRule type="cellIs" dxfId="126" priority="200" operator="equal">
      <formula>12</formula>
    </cfRule>
    <cfRule type="cellIs" dxfId="125" priority="201" operator="equal">
      <formula>11</formula>
    </cfRule>
    <cfRule type="cellIs" dxfId="124" priority="202" operator="equal">
      <formula>10</formula>
    </cfRule>
    <cfRule type="cellIs" dxfId="123" priority="203" operator="equal">
      <formula>9</formula>
    </cfRule>
    <cfRule type="cellIs" dxfId="122" priority="204" operator="equal">
      <formula>8</formula>
    </cfRule>
    <cfRule type="cellIs" dxfId="121" priority="205" operator="equal">
      <formula>7</formula>
    </cfRule>
    <cfRule type="cellIs" dxfId="120" priority="206" operator="equal">
      <formula>6</formula>
    </cfRule>
    <cfRule type="cellIs" dxfId="119" priority="207" operator="equal">
      <formula>5</formula>
    </cfRule>
    <cfRule type="cellIs" dxfId="118" priority="208" operator="equal">
      <formula>4</formula>
    </cfRule>
    <cfRule type="cellIs" dxfId="117" priority="209" operator="equal">
      <formula>3</formula>
    </cfRule>
    <cfRule type="cellIs" dxfId="116" priority="210" operator="equal">
      <formula>2</formula>
    </cfRule>
    <cfRule type="cellIs" dxfId="115" priority="211" operator="equal">
      <formula>1</formula>
    </cfRule>
  </conditionalFormatting>
  <conditionalFormatting sqref="N113:N118">
    <cfRule type="cellIs" dxfId="114" priority="148" operator="equal">
      <formula>16</formula>
    </cfRule>
    <cfRule type="cellIs" dxfId="113" priority="149" operator="equal">
      <formula>15</formula>
    </cfRule>
    <cfRule type="cellIs" dxfId="112" priority="150" operator="equal">
      <formula>14</formula>
    </cfRule>
    <cfRule type="cellIs" dxfId="111" priority="151" operator="equal">
      <formula>13</formula>
    </cfRule>
    <cfRule type="cellIs" dxfId="110" priority="152" operator="equal">
      <formula>12</formula>
    </cfRule>
    <cfRule type="cellIs" dxfId="109" priority="153" operator="equal">
      <formula>11</formula>
    </cfRule>
    <cfRule type="cellIs" dxfId="108" priority="154" operator="equal">
      <formula>10</formula>
    </cfRule>
    <cfRule type="cellIs" dxfId="107" priority="155" operator="equal">
      <formula>9</formula>
    </cfRule>
    <cfRule type="cellIs" dxfId="106" priority="156" operator="equal">
      <formula>8</formula>
    </cfRule>
    <cfRule type="cellIs" dxfId="105" priority="157" operator="equal">
      <formula>7</formula>
    </cfRule>
    <cfRule type="cellIs" dxfId="104" priority="158" operator="equal">
      <formula>6</formula>
    </cfRule>
    <cfRule type="cellIs" dxfId="103" priority="159" operator="equal">
      <formula>5</formula>
    </cfRule>
    <cfRule type="cellIs" dxfId="102" priority="160" operator="equal">
      <formula>4</formula>
    </cfRule>
    <cfRule type="cellIs" dxfId="101" priority="161" operator="equal">
      <formula>3</formula>
    </cfRule>
    <cfRule type="cellIs" dxfId="100" priority="162" operator="equal">
      <formula>2</formula>
    </cfRule>
    <cfRule type="cellIs" dxfId="99" priority="163" operator="equal">
      <formula>1</formula>
    </cfRule>
  </conditionalFormatting>
  <conditionalFormatting sqref="N112">
    <cfRule type="cellIs" dxfId="98" priority="100" operator="equal">
      <formula>16</formula>
    </cfRule>
    <cfRule type="cellIs" dxfId="97" priority="101" operator="equal">
      <formula>15</formula>
    </cfRule>
    <cfRule type="cellIs" dxfId="96" priority="102" operator="equal">
      <formula>14</formula>
    </cfRule>
    <cfRule type="cellIs" dxfId="95" priority="103" operator="equal">
      <formula>13</formula>
    </cfRule>
    <cfRule type="cellIs" dxfId="94" priority="104" operator="equal">
      <formula>12</formula>
    </cfRule>
    <cfRule type="cellIs" dxfId="93" priority="105" operator="equal">
      <formula>11</formula>
    </cfRule>
    <cfRule type="cellIs" dxfId="92" priority="106" operator="equal">
      <formula>10</formula>
    </cfRule>
    <cfRule type="cellIs" dxfId="91" priority="107" operator="equal">
      <formula>9</formula>
    </cfRule>
    <cfRule type="cellIs" dxfId="90" priority="108" operator="equal">
      <formula>8</formula>
    </cfRule>
    <cfRule type="cellIs" dxfId="89" priority="109" operator="equal">
      <formula>7</formula>
    </cfRule>
    <cfRule type="cellIs" dxfId="88" priority="110" operator="equal">
      <formula>6</formula>
    </cfRule>
    <cfRule type="cellIs" dxfId="87" priority="111" operator="equal">
      <formula>5</formula>
    </cfRule>
    <cfRule type="cellIs" dxfId="86" priority="112" operator="equal">
      <formula>4</formula>
    </cfRule>
    <cfRule type="cellIs" dxfId="85" priority="113" operator="equal">
      <formula>3</formula>
    </cfRule>
    <cfRule type="cellIs" dxfId="84" priority="114" operator="equal">
      <formula>2</formula>
    </cfRule>
    <cfRule type="cellIs" dxfId="83" priority="115" operator="equal">
      <formula>1</formula>
    </cfRule>
  </conditionalFormatting>
  <conditionalFormatting sqref="N111">
    <cfRule type="cellIs" dxfId="82" priority="68" operator="equal">
      <formula>16</formula>
    </cfRule>
    <cfRule type="cellIs" dxfId="81" priority="69" operator="equal">
      <formula>15</formula>
    </cfRule>
    <cfRule type="cellIs" dxfId="80" priority="70" operator="equal">
      <formula>14</formula>
    </cfRule>
    <cfRule type="cellIs" dxfId="79" priority="71" operator="equal">
      <formula>13</formula>
    </cfRule>
    <cfRule type="cellIs" dxfId="78" priority="72" operator="equal">
      <formula>12</formula>
    </cfRule>
    <cfRule type="cellIs" dxfId="77" priority="73" operator="equal">
      <formula>11</formula>
    </cfRule>
    <cfRule type="cellIs" dxfId="76" priority="74" operator="equal">
      <formula>10</formula>
    </cfRule>
    <cfRule type="cellIs" dxfId="75" priority="75" operator="equal">
      <formula>9</formula>
    </cfRule>
    <cfRule type="cellIs" dxfId="74" priority="76" operator="equal">
      <formula>8</formula>
    </cfRule>
    <cfRule type="cellIs" dxfId="73" priority="77" operator="equal">
      <formula>7</formula>
    </cfRule>
    <cfRule type="cellIs" dxfId="72" priority="78" operator="equal">
      <formula>6</formula>
    </cfRule>
    <cfRule type="cellIs" dxfId="71" priority="79" operator="equal">
      <formula>5</formula>
    </cfRule>
    <cfRule type="cellIs" dxfId="70" priority="80" operator="equal">
      <formula>4</formula>
    </cfRule>
    <cfRule type="cellIs" dxfId="69" priority="81" operator="equal">
      <formula>3</formula>
    </cfRule>
    <cfRule type="cellIs" dxfId="68" priority="82" operator="equal">
      <formula>2</formula>
    </cfRule>
    <cfRule type="cellIs" dxfId="67" priority="83" operator="equal">
      <formula>1</formula>
    </cfRule>
  </conditionalFormatting>
  <conditionalFormatting sqref="N91:N104">
    <cfRule type="cellIs" dxfId="66" priority="52" operator="equal">
      <formula>16</formula>
    </cfRule>
    <cfRule type="cellIs" dxfId="65" priority="53" operator="equal">
      <formula>15</formula>
    </cfRule>
    <cfRule type="cellIs" dxfId="64" priority="54" operator="equal">
      <formula>14</formula>
    </cfRule>
    <cfRule type="cellIs" dxfId="63" priority="55" operator="equal">
      <formula>13</formula>
    </cfRule>
    <cfRule type="cellIs" dxfId="62" priority="56" operator="equal">
      <formula>12</formula>
    </cfRule>
    <cfRule type="cellIs" dxfId="61" priority="57" operator="equal">
      <formula>11</formula>
    </cfRule>
    <cfRule type="cellIs" dxfId="60" priority="58" operator="equal">
      <formula>10</formula>
    </cfRule>
    <cfRule type="cellIs" dxfId="59" priority="59" operator="equal">
      <formula>9</formula>
    </cfRule>
    <cfRule type="cellIs" dxfId="58" priority="60" operator="equal">
      <formula>8</formula>
    </cfRule>
    <cfRule type="cellIs" dxfId="57" priority="61" operator="equal">
      <formula>7</formula>
    </cfRule>
    <cfRule type="cellIs" dxfId="56" priority="62" operator="equal">
      <formula>6</formula>
    </cfRule>
    <cfRule type="cellIs" dxfId="55" priority="63" operator="equal">
      <formula>5</formula>
    </cfRule>
    <cfRule type="cellIs" dxfId="54" priority="64" operator="equal">
      <formula>4</formula>
    </cfRule>
    <cfRule type="cellIs" dxfId="53" priority="65" operator="equal">
      <formula>3</formula>
    </cfRule>
    <cfRule type="cellIs" dxfId="52" priority="66" operator="equal">
      <formula>2</formula>
    </cfRule>
    <cfRule type="cellIs" dxfId="51" priority="67" operator="equal">
      <formula>1</formula>
    </cfRule>
  </conditionalFormatting>
  <conditionalFormatting sqref="N105:N110">
    <cfRule type="cellIs" dxfId="50" priority="36" operator="equal">
      <formula>16</formula>
    </cfRule>
    <cfRule type="cellIs" dxfId="49" priority="37" operator="equal">
      <formula>15</formula>
    </cfRule>
    <cfRule type="cellIs" dxfId="48" priority="38" operator="equal">
      <formula>14</formula>
    </cfRule>
    <cfRule type="cellIs" dxfId="47" priority="39" operator="equal">
      <formula>13</formula>
    </cfRule>
    <cfRule type="cellIs" dxfId="46" priority="40" operator="equal">
      <formula>12</formula>
    </cfRule>
    <cfRule type="cellIs" dxfId="45" priority="41" operator="equal">
      <formula>11</formula>
    </cfRule>
    <cfRule type="cellIs" dxfId="44" priority="42" operator="equal">
      <formula>10</formula>
    </cfRule>
    <cfRule type="cellIs" dxfId="43" priority="43" operator="equal">
      <formula>9</formula>
    </cfRule>
    <cfRule type="cellIs" dxfId="42" priority="44" operator="equal">
      <formula>8</formula>
    </cfRule>
    <cfRule type="cellIs" dxfId="41" priority="45" operator="equal">
      <formula>7</formula>
    </cfRule>
    <cfRule type="cellIs" dxfId="40" priority="46" operator="equal">
      <formula>6</formula>
    </cfRule>
    <cfRule type="cellIs" dxfId="39" priority="47" operator="equal">
      <formula>5</formula>
    </cfRule>
    <cfRule type="cellIs" dxfId="38" priority="48" operator="equal">
      <formula>4</formula>
    </cfRule>
    <cfRule type="cellIs" dxfId="37" priority="49" operator="equal">
      <formula>3</formula>
    </cfRule>
    <cfRule type="cellIs" dxfId="36" priority="50" operator="equal">
      <formula>2</formula>
    </cfRule>
    <cfRule type="cellIs" dxfId="35" priority="51" operator="equal">
      <formula>1</formula>
    </cfRule>
  </conditionalFormatting>
  <conditionalFormatting sqref="N27:N28">
    <cfRule type="cellIs" dxfId="34" priority="20" operator="equal">
      <formula>16</formula>
    </cfRule>
    <cfRule type="cellIs" dxfId="33" priority="21" operator="equal">
      <formula>15</formula>
    </cfRule>
    <cfRule type="cellIs" dxfId="32" priority="22" operator="equal">
      <formula>14</formula>
    </cfRule>
    <cfRule type="cellIs" dxfId="31" priority="23" operator="equal">
      <formula>13</formula>
    </cfRule>
    <cfRule type="cellIs" dxfId="30" priority="24" operator="equal">
      <formula>12</formula>
    </cfRule>
    <cfRule type="cellIs" dxfId="29" priority="25" operator="equal">
      <formula>11</formula>
    </cfRule>
    <cfRule type="cellIs" dxfId="28" priority="26" operator="equal">
      <formula>10</formula>
    </cfRule>
    <cfRule type="cellIs" dxfId="27" priority="27" operator="equal">
      <formula>9</formula>
    </cfRule>
    <cfRule type="cellIs" dxfId="26" priority="28" operator="equal">
      <formula>8</formula>
    </cfRule>
    <cfRule type="cellIs" dxfId="25" priority="29" operator="equal">
      <formula>7</formula>
    </cfRule>
    <cfRule type="cellIs" dxfId="24" priority="30" operator="equal">
      <formula>6</formula>
    </cfRule>
    <cfRule type="cellIs" dxfId="23" priority="31" operator="equal">
      <formula>5</formula>
    </cfRule>
    <cfRule type="cellIs" dxfId="22" priority="32" operator="equal">
      <formula>4</formula>
    </cfRule>
    <cfRule type="cellIs" dxfId="21" priority="33" operator="equal">
      <formula>3</formula>
    </cfRule>
    <cfRule type="cellIs" dxfId="20" priority="34" operator="equal">
      <formula>2</formula>
    </cfRule>
    <cfRule type="cellIs" dxfId="19" priority="35" operator="equal">
      <formula>1</formula>
    </cfRule>
  </conditionalFormatting>
  <conditionalFormatting sqref="N6:N26">
    <cfRule type="cellIs" dxfId="18" priority="4" operator="equal">
      <formula>16</formula>
    </cfRule>
    <cfRule type="cellIs" dxfId="17" priority="5" operator="equal">
      <formula>15</formula>
    </cfRule>
    <cfRule type="cellIs" dxfId="16" priority="6" operator="equal">
      <formula>14</formula>
    </cfRule>
    <cfRule type="cellIs" dxfId="15" priority="7" operator="equal">
      <formula>13</formula>
    </cfRule>
    <cfRule type="cellIs" dxfId="14" priority="8" operator="equal">
      <formula>12</formula>
    </cfRule>
    <cfRule type="cellIs" dxfId="13" priority="9" operator="equal">
      <formula>11</formula>
    </cfRule>
    <cfRule type="cellIs" dxfId="12" priority="10" operator="equal">
      <formula>10</formula>
    </cfRule>
    <cfRule type="cellIs" dxfId="11" priority="11" operator="equal">
      <formula>9</formula>
    </cfRule>
    <cfRule type="cellIs" dxfId="10" priority="12" operator="equal">
      <formula>8</formula>
    </cfRule>
    <cfRule type="cellIs" dxfId="9" priority="13" operator="equal">
      <formula>7</formula>
    </cfRule>
    <cfRule type="cellIs" dxfId="8" priority="14" operator="equal">
      <formula>6</formula>
    </cfRule>
    <cfRule type="cellIs" dxfId="7" priority="15" operator="equal">
      <formula>5</formula>
    </cfRule>
    <cfRule type="cellIs" dxfId="6" priority="16" operator="equal">
      <formula>4</formula>
    </cfRule>
    <cfRule type="cellIs" dxfId="5" priority="17" operator="equal">
      <formula>3</formula>
    </cfRule>
    <cfRule type="cellIs" dxfId="4" priority="18" operator="equal">
      <formula>2</formula>
    </cfRule>
    <cfRule type="cellIs" dxfId="3" priority="19" operator="equal">
      <formula>1</formula>
    </cfRule>
  </conditionalFormatting>
  <conditionalFormatting sqref="R31:T31">
    <cfRule type="cellIs" dxfId="2" priority="3" operator="greaterThan">
      <formula>0</formula>
    </cfRule>
  </conditionalFormatting>
  <conditionalFormatting sqref="R32:T32">
    <cfRule type="cellIs" dxfId="1" priority="2" operator="greaterThan">
      <formula>0</formula>
    </cfRule>
  </conditionalFormatting>
  <conditionalFormatting sqref="R30:T30">
    <cfRule type="cellIs" dxfId="0" priority="1" operator="greaterThan">
      <formula>0</formula>
    </cfRule>
  </conditionalFormatting>
  <pageMargins left="0.74803149606299213" right="0.74803149606299213" top="0.39370078740157483" bottom="0.39370078740157483" header="0.19685039370078741" footer="0.19685039370078741"/>
  <pageSetup paperSize="9" scale="62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2"/>
  <sheetViews>
    <sheetView zoomScale="90" zoomScaleNormal="90" zoomScalePageLayoutView="90" workbookViewId="0">
      <selection activeCell="W26" sqref="W26"/>
    </sheetView>
  </sheetViews>
  <sheetFormatPr baseColWidth="10" defaultColWidth="8.7109375" defaultRowHeight="15" x14ac:dyDescent="0"/>
  <cols>
    <col min="5" max="5" width="13.28515625" customWidth="1"/>
  </cols>
  <sheetData>
    <row r="1" spans="1:22">
      <c r="A1" s="87"/>
      <c r="B1" s="87"/>
      <c r="C1" s="87"/>
      <c r="D1" s="87"/>
      <c r="E1" s="87"/>
      <c r="F1" s="88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</row>
    <row r="2" spans="1:22" ht="19">
      <c r="A2" s="248"/>
      <c r="B2" s="248"/>
      <c r="C2" s="248"/>
      <c r="D2" s="248"/>
      <c r="E2" s="248"/>
      <c r="F2" s="249"/>
      <c r="G2" s="246"/>
      <c r="H2" s="246"/>
      <c r="I2" s="246"/>
      <c r="J2" s="246"/>
      <c r="K2" s="264" t="str">
        <f>Poor!A1</f>
        <v>ZA3XX: 59300</v>
      </c>
      <c r="L2" s="264"/>
      <c r="M2" s="264"/>
      <c r="N2" s="264"/>
      <c r="O2" s="264"/>
      <c r="P2" s="264"/>
      <c r="Q2" s="264"/>
      <c r="R2" s="248"/>
      <c r="S2" s="248"/>
      <c r="T2" s="248"/>
      <c r="U2" s="248"/>
      <c r="V2" s="248"/>
    </row>
    <row r="3" spans="1:22" s="92" customFormat="1" ht="17">
      <c r="A3" s="90"/>
      <c r="B3" s="265" t="str">
        <f>V.Poor!A3</f>
        <v>Sources of Food : Very Poor HHs</v>
      </c>
      <c r="C3" s="266"/>
      <c r="D3" s="266"/>
      <c r="E3" s="266"/>
      <c r="F3" s="245"/>
      <c r="G3" s="263" t="str">
        <f>Poor!A3</f>
        <v>Sources of Food : Poor HHs</v>
      </c>
      <c r="H3" s="263"/>
      <c r="I3" s="263"/>
      <c r="J3" s="263"/>
      <c r="K3" s="246"/>
      <c r="L3" s="263" t="str">
        <f>Middle!A3</f>
        <v>Sources of Food : Middle HHs</v>
      </c>
      <c r="M3" s="263"/>
      <c r="N3" s="263"/>
      <c r="O3" s="263"/>
      <c r="P3" s="263"/>
      <c r="Q3" s="247"/>
      <c r="R3" s="263" t="str">
        <f>Rich!A3</f>
        <v>Sources of Food : Better-off HHs</v>
      </c>
      <c r="S3" s="263"/>
      <c r="T3" s="263"/>
      <c r="U3" s="263"/>
      <c r="V3" s="90"/>
    </row>
    <row r="4" spans="1:22">
      <c r="A4" s="87"/>
      <c r="B4" s="87"/>
      <c r="C4" s="87"/>
      <c r="D4" s="87"/>
      <c r="E4" s="87"/>
      <c r="F4" s="88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</row>
    <row r="5" spans="1:22">
      <c r="A5" s="87"/>
      <c r="B5" s="87"/>
      <c r="C5" s="87"/>
      <c r="D5" s="87"/>
      <c r="E5" s="87"/>
      <c r="F5" s="88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</row>
    <row r="6" spans="1:22">
      <c r="A6" s="87"/>
      <c r="B6" s="87"/>
      <c r="C6" s="87"/>
      <c r="D6" s="87"/>
      <c r="E6" s="87"/>
      <c r="F6" s="88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</row>
    <row r="7" spans="1:22">
      <c r="A7" s="87"/>
      <c r="B7" s="87"/>
      <c r="C7" s="87"/>
      <c r="D7" s="87"/>
      <c r="E7" s="87"/>
      <c r="F7" s="88"/>
      <c r="G7" s="87"/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</row>
    <row r="8" spans="1:22">
      <c r="A8" s="87"/>
      <c r="B8" s="87"/>
      <c r="C8" s="87"/>
      <c r="D8" s="87"/>
      <c r="E8" s="87"/>
      <c r="F8" s="88"/>
      <c r="G8" s="87"/>
      <c r="H8" s="87"/>
      <c r="I8" s="87"/>
      <c r="J8" s="87"/>
      <c r="K8" s="87"/>
      <c r="L8" s="87"/>
      <c r="M8" s="87"/>
      <c r="N8" s="87"/>
      <c r="O8" s="87"/>
      <c r="P8" s="87"/>
      <c r="Q8" s="87"/>
      <c r="R8" s="87"/>
      <c r="S8" s="87"/>
      <c r="T8" s="87"/>
      <c r="U8" s="87"/>
      <c r="V8" s="87"/>
    </row>
    <row r="9" spans="1:22">
      <c r="A9" s="87"/>
      <c r="B9" s="87"/>
      <c r="C9" s="87"/>
      <c r="D9" s="87"/>
      <c r="E9" s="87"/>
      <c r="F9" s="88"/>
      <c r="G9" s="87"/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</row>
    <row r="10" spans="1:22">
      <c r="A10" s="87"/>
      <c r="B10" s="87"/>
      <c r="C10" s="87"/>
      <c r="D10" s="87"/>
      <c r="E10" s="87"/>
      <c r="F10" s="88"/>
      <c r="G10" s="87"/>
      <c r="H10" s="87"/>
      <c r="I10" s="87"/>
      <c r="J10" s="87"/>
      <c r="K10" s="87"/>
      <c r="L10" s="87"/>
      <c r="M10" s="87"/>
      <c r="N10" s="87"/>
      <c r="O10" s="87"/>
      <c r="P10" s="87"/>
      <c r="Q10" s="87"/>
      <c r="R10" s="87"/>
      <c r="S10" s="87"/>
      <c r="T10" s="87"/>
      <c r="U10" s="87"/>
      <c r="V10" s="87"/>
    </row>
    <row r="11" spans="1:22">
      <c r="A11" s="87"/>
      <c r="B11" s="87"/>
      <c r="C11" s="87"/>
      <c r="D11" s="87"/>
      <c r="E11" s="87"/>
      <c r="F11" s="88"/>
      <c r="G11" s="87"/>
      <c r="H11" s="87"/>
      <c r="I11" s="87"/>
      <c r="J11" s="87"/>
      <c r="K11" s="87"/>
      <c r="L11" s="87"/>
      <c r="M11" s="87"/>
      <c r="N11" s="87"/>
      <c r="O11" s="87"/>
      <c r="P11" s="87"/>
      <c r="Q11" s="87"/>
      <c r="R11" s="87"/>
      <c r="S11" s="87"/>
      <c r="T11" s="87"/>
      <c r="U11" s="87"/>
      <c r="V11" s="87"/>
    </row>
    <row r="12" spans="1:22">
      <c r="A12" s="87"/>
      <c r="B12" s="87"/>
      <c r="C12" s="87"/>
      <c r="D12" s="87"/>
      <c r="E12" s="87"/>
      <c r="F12" s="88"/>
      <c r="G12" s="87"/>
      <c r="H12" s="87"/>
      <c r="I12" s="87"/>
      <c r="J12" s="87"/>
      <c r="K12" s="87"/>
      <c r="L12" s="87"/>
      <c r="M12" s="87"/>
      <c r="N12" s="87"/>
      <c r="O12" s="87"/>
      <c r="P12" s="87"/>
      <c r="Q12" s="87"/>
      <c r="R12" s="87"/>
      <c r="S12" s="87"/>
      <c r="T12" s="87"/>
      <c r="U12" s="87"/>
      <c r="V12" s="87"/>
    </row>
    <row r="13" spans="1:22">
      <c r="A13" s="87"/>
      <c r="B13" s="87"/>
      <c r="C13" s="87"/>
      <c r="D13" s="87"/>
      <c r="E13" s="87"/>
      <c r="F13" s="88"/>
      <c r="G13" s="87"/>
      <c r="H13" s="87"/>
      <c r="I13" s="87"/>
      <c r="J13" s="87"/>
      <c r="K13" s="87"/>
      <c r="L13" s="87"/>
      <c r="M13" s="87"/>
      <c r="N13" s="87"/>
      <c r="O13" s="87"/>
      <c r="P13" s="87"/>
      <c r="Q13" s="87"/>
      <c r="R13" s="87"/>
      <c r="S13" s="87"/>
      <c r="T13" s="87"/>
      <c r="U13" s="87"/>
      <c r="V13" s="87"/>
    </row>
    <row r="14" spans="1:22">
      <c r="A14" s="87"/>
      <c r="B14" s="87"/>
      <c r="C14" s="87"/>
      <c r="D14" s="87"/>
      <c r="E14" s="87"/>
      <c r="F14" s="88"/>
      <c r="G14" s="87"/>
      <c r="H14" s="87"/>
      <c r="I14" s="87"/>
      <c r="J14" s="87"/>
      <c r="K14" s="87"/>
      <c r="L14" s="87"/>
      <c r="M14" s="87"/>
      <c r="N14" s="87"/>
      <c r="O14" s="87"/>
      <c r="P14" s="87"/>
      <c r="Q14" s="87"/>
      <c r="R14" s="87"/>
      <c r="S14" s="87"/>
      <c r="T14" s="87"/>
      <c r="U14" s="87"/>
      <c r="V14" s="87"/>
    </row>
    <row r="15" spans="1:22">
      <c r="A15" s="87"/>
      <c r="B15" s="87"/>
      <c r="C15" s="87"/>
      <c r="D15" s="87"/>
      <c r="E15" s="87"/>
      <c r="F15" s="88"/>
      <c r="G15" s="87"/>
      <c r="H15" s="87"/>
      <c r="I15" s="87"/>
      <c r="J15" s="87"/>
      <c r="K15" s="87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</row>
    <row r="16" spans="1:22">
      <c r="A16" s="87"/>
      <c r="B16" s="87"/>
      <c r="C16" s="87"/>
      <c r="D16" s="87"/>
      <c r="E16" s="87"/>
      <c r="F16" s="88"/>
      <c r="G16" s="87"/>
      <c r="H16" s="87"/>
      <c r="I16" s="87"/>
      <c r="J16" s="87"/>
      <c r="K16" s="87"/>
      <c r="L16" s="87"/>
      <c r="M16" s="87"/>
      <c r="N16" s="87"/>
      <c r="O16" s="87"/>
      <c r="P16" s="87"/>
      <c r="Q16" s="87"/>
      <c r="R16" s="87"/>
      <c r="S16" s="87"/>
      <c r="T16" s="87"/>
      <c r="U16" s="87"/>
      <c r="V16" s="87"/>
    </row>
    <row r="17" spans="1:22">
      <c r="A17" s="87"/>
      <c r="B17" s="87"/>
      <c r="C17" s="87"/>
      <c r="D17" s="87"/>
      <c r="E17" s="87"/>
      <c r="F17" s="88"/>
      <c r="G17" s="87"/>
      <c r="H17" s="87"/>
      <c r="I17" s="87"/>
      <c r="J17" s="87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7"/>
      <c r="V17" s="87"/>
    </row>
    <row r="18" spans="1:22">
      <c r="A18" s="87"/>
      <c r="B18" s="87"/>
      <c r="C18" s="87"/>
      <c r="D18" s="87"/>
      <c r="E18" s="87"/>
      <c r="F18" s="88"/>
      <c r="G18" s="87"/>
      <c r="H18" s="87"/>
      <c r="I18" s="87"/>
      <c r="J18" s="87"/>
      <c r="K18" s="87"/>
      <c r="L18" s="87"/>
      <c r="M18" s="87"/>
      <c r="N18" s="87"/>
      <c r="O18" s="87"/>
      <c r="P18" s="87"/>
      <c r="Q18" s="87"/>
      <c r="R18" s="87"/>
      <c r="S18" s="87"/>
      <c r="T18" s="87"/>
      <c r="U18" s="87"/>
      <c r="V18" s="87"/>
    </row>
    <row r="19" spans="1:22">
      <c r="A19" s="87"/>
      <c r="B19" s="87"/>
      <c r="C19" s="87"/>
      <c r="D19" s="87"/>
      <c r="E19" s="87"/>
      <c r="F19" s="88"/>
      <c r="G19" s="87"/>
      <c r="H19" s="87"/>
      <c r="I19" s="87"/>
      <c r="J19" s="87"/>
      <c r="K19" s="87"/>
      <c r="L19" s="87"/>
      <c r="M19" s="87"/>
      <c r="N19" s="87"/>
      <c r="O19" s="87"/>
      <c r="P19" s="87"/>
      <c r="Q19" s="87"/>
      <c r="R19" s="87"/>
      <c r="S19" s="87"/>
      <c r="T19" s="87"/>
      <c r="U19" s="87"/>
      <c r="V19" s="87"/>
    </row>
    <row r="20" spans="1:22">
      <c r="A20" s="87"/>
      <c r="B20" s="87"/>
      <c r="C20" s="87"/>
      <c r="D20" s="87"/>
      <c r="E20" s="87"/>
      <c r="F20" s="88"/>
      <c r="G20" s="87"/>
      <c r="H20" s="87"/>
      <c r="I20" s="87"/>
      <c r="J20" s="87"/>
      <c r="K20" s="87"/>
      <c r="L20" s="87"/>
      <c r="M20" s="87"/>
      <c r="N20" s="87"/>
      <c r="O20" s="87"/>
      <c r="P20" s="87"/>
      <c r="Q20" s="87"/>
      <c r="R20" s="87"/>
      <c r="S20" s="87"/>
      <c r="T20" s="87"/>
      <c r="U20" s="87"/>
      <c r="V20" s="87"/>
    </row>
    <row r="21" spans="1:22">
      <c r="A21" s="87"/>
      <c r="B21" s="87"/>
      <c r="C21" s="87"/>
      <c r="D21" s="87"/>
      <c r="E21" s="87"/>
      <c r="F21" s="88"/>
      <c r="G21" s="87"/>
      <c r="H21" s="87"/>
      <c r="I21" s="87"/>
      <c r="J21" s="87"/>
      <c r="K21" s="87"/>
      <c r="L21" s="87"/>
      <c r="M21" s="87"/>
      <c r="N21" s="87"/>
      <c r="O21" s="87"/>
      <c r="P21" s="87"/>
      <c r="Q21" s="87"/>
      <c r="R21" s="87"/>
      <c r="S21" s="87"/>
      <c r="T21" s="87"/>
      <c r="U21" s="87"/>
      <c r="V21" s="87"/>
    </row>
    <row r="22" spans="1:22">
      <c r="A22" s="87"/>
      <c r="B22" s="87"/>
      <c r="C22" s="87"/>
      <c r="D22" s="87"/>
      <c r="E22" s="87"/>
      <c r="F22" s="88"/>
      <c r="G22" s="87"/>
      <c r="H22" s="87"/>
      <c r="I22" s="87"/>
      <c r="J22" s="87"/>
      <c r="K22" s="87"/>
      <c r="L22" s="87"/>
      <c r="M22" s="87"/>
      <c r="N22" s="87"/>
      <c r="O22" s="87"/>
      <c r="P22" s="87"/>
      <c r="Q22" s="87"/>
      <c r="R22" s="87"/>
      <c r="S22" s="87"/>
      <c r="T22" s="87"/>
      <c r="U22" s="87"/>
      <c r="V22" s="87"/>
    </row>
    <row r="23" spans="1:22">
      <c r="A23" s="87"/>
      <c r="B23" s="87"/>
      <c r="C23" s="87"/>
      <c r="D23" s="87"/>
      <c r="E23" s="87"/>
      <c r="F23" s="88"/>
      <c r="G23" s="87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7"/>
      <c r="S23" s="87"/>
      <c r="T23" s="87"/>
      <c r="U23" s="87"/>
      <c r="V23" s="87"/>
    </row>
    <row r="24" spans="1:22">
      <c r="A24" s="87"/>
      <c r="B24" s="87"/>
      <c r="C24" s="87"/>
      <c r="D24" s="87"/>
      <c r="E24" s="87"/>
      <c r="F24" s="88"/>
      <c r="G24" s="87"/>
      <c r="H24" s="87"/>
      <c r="I24" s="87"/>
      <c r="J24" s="87"/>
      <c r="K24" s="87"/>
      <c r="L24" s="87"/>
      <c r="M24" s="87"/>
      <c r="N24" s="87"/>
      <c r="O24" s="87"/>
      <c r="P24" s="87"/>
      <c r="Q24" s="87"/>
      <c r="R24" s="87"/>
      <c r="S24" s="87"/>
      <c r="T24" s="87"/>
      <c r="U24" s="87"/>
      <c r="V24" s="87"/>
    </row>
    <row r="25" spans="1:22">
      <c r="A25" s="87"/>
      <c r="B25" s="87"/>
      <c r="C25" s="87"/>
      <c r="D25" s="87"/>
      <c r="E25" s="87"/>
      <c r="F25" s="88"/>
      <c r="G25" s="87"/>
      <c r="H25" s="87"/>
      <c r="I25" s="87"/>
      <c r="J25" s="87"/>
      <c r="K25" s="87"/>
      <c r="L25" s="87"/>
      <c r="M25" s="87"/>
      <c r="N25" s="87"/>
      <c r="O25" s="87"/>
      <c r="P25" s="87"/>
      <c r="Q25" s="87"/>
      <c r="R25" s="87"/>
      <c r="S25" s="87"/>
      <c r="T25" s="87"/>
      <c r="U25" s="87"/>
      <c r="V25" s="87"/>
    </row>
    <row r="26" spans="1:22">
      <c r="A26" s="87"/>
      <c r="B26" s="87"/>
      <c r="C26" s="87"/>
      <c r="D26" s="87"/>
      <c r="E26" s="87"/>
      <c r="F26" s="88"/>
      <c r="G26" s="87"/>
      <c r="H26" s="87"/>
      <c r="I26" s="87"/>
      <c r="J26" s="87"/>
      <c r="K26" s="87"/>
      <c r="L26" s="87"/>
      <c r="M26" s="87"/>
      <c r="N26" s="87"/>
      <c r="O26" s="87"/>
      <c r="P26" s="87"/>
      <c r="Q26" s="87"/>
      <c r="R26" s="87"/>
      <c r="S26" s="87"/>
      <c r="T26" s="87"/>
      <c r="U26" s="87"/>
      <c r="V26" s="87"/>
    </row>
    <row r="27" spans="1:22">
      <c r="A27" s="87"/>
      <c r="B27" s="87"/>
      <c r="C27" s="87"/>
      <c r="D27" s="87"/>
      <c r="E27" s="87"/>
      <c r="F27" s="88"/>
      <c r="G27" s="87"/>
      <c r="H27" s="87"/>
      <c r="I27" s="87"/>
      <c r="J27" s="87"/>
      <c r="K27" s="87"/>
      <c r="L27" s="87"/>
      <c r="M27" s="87"/>
      <c r="N27" s="87"/>
      <c r="O27" s="87"/>
      <c r="P27" s="87"/>
      <c r="Q27" s="87"/>
      <c r="R27" s="87"/>
      <c r="S27" s="87"/>
      <c r="T27" s="87"/>
      <c r="U27" s="87"/>
      <c r="V27" s="87"/>
    </row>
    <row r="28" spans="1:22">
      <c r="A28" s="87"/>
      <c r="B28" s="87"/>
      <c r="C28" s="87"/>
      <c r="D28" s="87"/>
      <c r="E28" s="87"/>
      <c r="F28" s="88"/>
      <c r="G28" s="87"/>
      <c r="H28" s="87"/>
      <c r="I28" s="87"/>
      <c r="J28" s="87"/>
      <c r="K28" s="87"/>
      <c r="L28" s="87"/>
      <c r="M28" s="87"/>
      <c r="N28" s="87"/>
      <c r="O28" s="87"/>
      <c r="P28" s="87"/>
      <c r="Q28" s="87"/>
      <c r="R28" s="87"/>
      <c r="S28" s="87"/>
      <c r="T28" s="87"/>
      <c r="U28" s="87"/>
      <c r="V28" s="87"/>
    </row>
    <row r="29" spans="1:22">
      <c r="A29" s="87"/>
      <c r="B29" s="87"/>
      <c r="C29" s="87"/>
      <c r="D29" s="87"/>
      <c r="E29" s="87"/>
      <c r="F29" s="88"/>
      <c r="G29" s="87"/>
      <c r="H29" s="87"/>
      <c r="I29" s="87"/>
      <c r="J29" s="87"/>
      <c r="K29" s="87"/>
      <c r="L29" s="87"/>
      <c r="M29" s="87"/>
      <c r="N29" s="87"/>
      <c r="O29" s="87"/>
      <c r="P29" s="87"/>
      <c r="Q29" s="87"/>
      <c r="R29" s="87"/>
      <c r="S29" s="87"/>
      <c r="T29" s="87"/>
      <c r="U29" s="87"/>
      <c r="V29" s="87"/>
    </row>
    <row r="30" spans="1:22">
      <c r="A30" s="87"/>
      <c r="B30" s="87"/>
      <c r="C30" s="87"/>
      <c r="D30" s="87"/>
      <c r="E30" s="87"/>
      <c r="F30" s="88"/>
      <c r="G30" s="87"/>
      <c r="H30" s="87"/>
      <c r="I30" s="87"/>
      <c r="J30" s="87"/>
      <c r="K30" s="87"/>
      <c r="L30" s="87"/>
      <c r="M30" s="87"/>
      <c r="N30" s="87"/>
      <c r="O30" s="87"/>
      <c r="P30" s="87"/>
      <c r="Q30" s="87"/>
      <c r="R30" s="87"/>
      <c r="S30" s="87"/>
      <c r="T30" s="87"/>
      <c r="U30" s="87"/>
      <c r="V30" s="87"/>
    </row>
    <row r="31" spans="1:22">
      <c r="A31" s="87"/>
      <c r="B31" s="87"/>
      <c r="C31" s="87"/>
      <c r="D31" s="87"/>
      <c r="E31" s="87"/>
      <c r="F31" s="88"/>
      <c r="G31" s="87"/>
      <c r="H31" s="87"/>
      <c r="I31" s="87"/>
      <c r="J31" s="87"/>
      <c r="K31" s="87"/>
      <c r="L31" s="87"/>
      <c r="M31" s="87"/>
      <c r="N31" s="87"/>
      <c r="O31" s="87"/>
      <c r="P31" s="87"/>
      <c r="Q31" s="87"/>
      <c r="R31" s="87"/>
      <c r="S31" s="87"/>
      <c r="T31" s="87"/>
      <c r="U31" s="87"/>
      <c r="V31" s="87"/>
    </row>
    <row r="32" spans="1:22">
      <c r="A32" s="87"/>
      <c r="B32" s="87"/>
      <c r="C32" s="87"/>
      <c r="D32" s="87"/>
      <c r="E32" s="87"/>
      <c r="F32" s="88"/>
      <c r="G32" s="87"/>
      <c r="H32" s="87"/>
      <c r="I32" s="87"/>
      <c r="J32" s="87"/>
      <c r="K32" s="87"/>
      <c r="L32" s="87"/>
      <c r="M32" s="87"/>
      <c r="N32" s="87"/>
      <c r="O32" s="87"/>
      <c r="P32" s="87"/>
      <c r="Q32" s="87"/>
      <c r="R32" s="87"/>
      <c r="S32" s="87"/>
      <c r="T32" s="87"/>
      <c r="U32" s="87"/>
      <c r="V32" s="87"/>
    </row>
    <row r="33" spans="1:22">
      <c r="A33" s="87"/>
      <c r="B33" s="87"/>
      <c r="C33" s="87"/>
      <c r="D33" s="87"/>
      <c r="E33" s="87"/>
      <c r="F33" s="88"/>
      <c r="G33" s="87"/>
      <c r="H33" s="87"/>
      <c r="I33" s="87"/>
      <c r="J33" s="87"/>
      <c r="K33" s="87"/>
      <c r="L33" s="87"/>
      <c r="M33" s="87"/>
      <c r="N33" s="87"/>
      <c r="O33" s="87"/>
      <c r="P33" s="87"/>
      <c r="Q33" s="87"/>
      <c r="R33" s="87"/>
      <c r="S33" s="87"/>
      <c r="T33" s="87"/>
      <c r="U33" s="87"/>
      <c r="V33" s="87"/>
    </row>
    <row r="34" spans="1:22">
      <c r="A34" s="87"/>
      <c r="B34" s="87"/>
      <c r="C34" s="87"/>
      <c r="D34" s="87"/>
      <c r="E34" s="87"/>
      <c r="F34" s="88"/>
      <c r="G34" s="87"/>
      <c r="H34" s="87"/>
      <c r="I34" s="87"/>
      <c r="J34" s="87"/>
      <c r="K34" s="87"/>
      <c r="L34" s="87"/>
      <c r="M34" s="87"/>
      <c r="N34" s="87"/>
      <c r="O34" s="87"/>
      <c r="P34" s="87"/>
      <c r="Q34" s="87"/>
      <c r="R34" s="87"/>
      <c r="S34" s="87"/>
      <c r="T34" s="87"/>
      <c r="U34" s="87"/>
      <c r="V34" s="87"/>
    </row>
    <row r="35" spans="1:22">
      <c r="A35" s="87"/>
      <c r="B35" s="87"/>
      <c r="C35" s="87"/>
      <c r="D35" s="87"/>
      <c r="E35" s="87"/>
      <c r="F35" s="88"/>
      <c r="G35" s="87"/>
      <c r="H35" s="87"/>
      <c r="I35" s="87"/>
      <c r="J35" s="87"/>
      <c r="K35" s="87"/>
      <c r="L35" s="87"/>
      <c r="M35" s="87"/>
      <c r="N35" s="87"/>
      <c r="O35" s="87"/>
      <c r="P35" s="87"/>
      <c r="Q35" s="87"/>
      <c r="R35" s="87"/>
      <c r="S35" s="87"/>
      <c r="T35" s="87"/>
      <c r="U35" s="87"/>
      <c r="V35" s="87"/>
    </row>
    <row r="36" spans="1:22">
      <c r="A36" s="87"/>
      <c r="B36" s="87"/>
      <c r="C36" s="87"/>
      <c r="D36" s="87"/>
      <c r="E36" s="87"/>
      <c r="F36" s="88"/>
      <c r="G36" s="87"/>
      <c r="H36" s="87"/>
      <c r="I36" s="87"/>
      <c r="J36" s="87"/>
      <c r="K36" s="87"/>
      <c r="L36" s="87"/>
      <c r="M36" s="87"/>
      <c r="N36" s="87"/>
      <c r="O36" s="87"/>
      <c r="P36" s="87"/>
      <c r="Q36" s="87"/>
      <c r="R36" s="87"/>
      <c r="S36" s="87"/>
      <c r="T36" s="87"/>
      <c r="U36" s="87"/>
      <c r="V36" s="87"/>
    </row>
    <row r="37" spans="1:22">
      <c r="A37" s="87"/>
      <c r="B37" s="87"/>
      <c r="C37" s="87"/>
      <c r="D37" s="87"/>
      <c r="E37" s="87"/>
      <c r="F37" s="88"/>
      <c r="G37" s="87"/>
      <c r="H37" s="87"/>
      <c r="I37" s="87"/>
      <c r="J37" s="87"/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7"/>
    </row>
    <row r="38" spans="1:22">
      <c r="A38" s="87"/>
      <c r="B38" s="87"/>
      <c r="C38" s="87"/>
      <c r="D38" s="87"/>
      <c r="E38" s="87"/>
      <c r="F38" s="88"/>
      <c r="G38" s="87"/>
      <c r="H38" s="87"/>
      <c r="I38" s="87"/>
      <c r="J38" s="87"/>
      <c r="K38" s="87"/>
      <c r="L38" s="87"/>
      <c r="M38" s="87"/>
      <c r="N38" s="87"/>
      <c r="O38" s="87"/>
      <c r="P38" s="87"/>
      <c r="Q38" s="87"/>
      <c r="R38" s="87"/>
      <c r="S38" s="87"/>
      <c r="T38" s="87"/>
      <c r="U38" s="87"/>
      <c r="V38" s="87"/>
    </row>
    <row r="39" spans="1:22">
      <c r="A39" s="87"/>
      <c r="B39" s="87"/>
      <c r="C39" s="87"/>
      <c r="D39" s="87"/>
      <c r="E39" s="87"/>
      <c r="F39" s="88"/>
      <c r="G39" s="87"/>
      <c r="H39" s="87"/>
      <c r="I39" s="87"/>
      <c r="J39" s="87"/>
      <c r="K39" s="87"/>
      <c r="L39" s="87"/>
      <c r="M39" s="87"/>
      <c r="N39" s="87"/>
      <c r="O39" s="87"/>
      <c r="P39" s="87"/>
      <c r="Q39" s="87"/>
      <c r="R39" s="87"/>
      <c r="S39" s="87"/>
      <c r="T39" s="87"/>
      <c r="U39" s="87"/>
      <c r="V39" s="87"/>
    </row>
    <row r="40" spans="1:22">
      <c r="A40" s="87"/>
      <c r="B40" s="87"/>
      <c r="C40" s="87"/>
      <c r="D40" s="87"/>
      <c r="E40" s="87"/>
      <c r="F40" s="88"/>
      <c r="G40" s="87"/>
      <c r="H40" s="87"/>
      <c r="I40" s="87"/>
      <c r="J40" s="87"/>
      <c r="K40" s="87"/>
      <c r="L40" s="87"/>
      <c r="M40" s="87"/>
      <c r="N40" s="87"/>
      <c r="O40" s="87"/>
      <c r="P40" s="87"/>
      <c r="Q40" s="87"/>
      <c r="R40" s="87"/>
      <c r="S40" s="87"/>
      <c r="T40" s="87"/>
      <c r="U40" s="87"/>
      <c r="V40" s="87"/>
    </row>
    <row r="41" spans="1:22">
      <c r="A41" s="87"/>
      <c r="B41" s="87"/>
      <c r="C41" s="87"/>
      <c r="D41" s="87"/>
      <c r="E41" s="87"/>
      <c r="F41" s="88"/>
      <c r="G41" s="87"/>
      <c r="H41" s="87"/>
      <c r="I41" s="87"/>
      <c r="J41" s="87"/>
      <c r="K41" s="87"/>
      <c r="L41" s="87"/>
      <c r="M41" s="87"/>
      <c r="N41" s="87"/>
      <c r="O41" s="87"/>
      <c r="P41" s="87"/>
      <c r="Q41" s="87"/>
      <c r="R41" s="87"/>
      <c r="S41" s="87"/>
      <c r="T41" s="87"/>
      <c r="U41" s="87"/>
      <c r="V41" s="87"/>
    </row>
    <row r="42" spans="1:22">
      <c r="A42" s="87"/>
      <c r="B42" s="87"/>
      <c r="C42" s="87"/>
      <c r="D42" s="87"/>
      <c r="E42" s="87"/>
      <c r="F42" s="88"/>
      <c r="G42" s="87"/>
      <c r="H42" s="87"/>
      <c r="I42" s="87"/>
      <c r="J42" s="87"/>
      <c r="K42" s="87"/>
      <c r="L42" s="87"/>
      <c r="M42" s="87"/>
      <c r="N42" s="87"/>
      <c r="O42" s="87"/>
      <c r="P42" s="87"/>
      <c r="Q42" s="87"/>
      <c r="R42" s="87"/>
      <c r="S42" s="87"/>
      <c r="T42" s="87"/>
      <c r="U42" s="87"/>
      <c r="V42" s="87"/>
    </row>
    <row r="43" spans="1:22">
      <c r="A43" s="87"/>
      <c r="B43" s="87"/>
      <c r="C43" s="87"/>
      <c r="D43" s="87"/>
      <c r="E43" s="87"/>
      <c r="F43" s="88"/>
      <c r="G43" s="87"/>
      <c r="H43" s="87"/>
      <c r="I43" s="87"/>
      <c r="J43" s="87"/>
      <c r="K43" s="87"/>
      <c r="L43" s="87"/>
      <c r="M43" s="87"/>
      <c r="N43" s="87"/>
      <c r="O43" s="87"/>
      <c r="P43" s="87"/>
      <c r="Q43" s="87"/>
      <c r="R43" s="87"/>
      <c r="S43" s="87"/>
      <c r="T43" s="87"/>
      <c r="U43" s="87"/>
      <c r="V43" s="87"/>
    </row>
    <row r="44" spans="1:22">
      <c r="A44" s="87"/>
      <c r="B44" s="87"/>
      <c r="C44" s="87"/>
      <c r="D44" s="87"/>
      <c r="E44" s="87"/>
      <c r="F44" s="88"/>
      <c r="G44" s="87"/>
      <c r="H44" s="87"/>
      <c r="I44" s="87"/>
      <c r="J44" s="87"/>
      <c r="K44" s="87"/>
      <c r="L44" s="87"/>
      <c r="M44" s="87"/>
      <c r="N44" s="87"/>
      <c r="O44" s="87"/>
      <c r="P44" s="87"/>
      <c r="Q44" s="87"/>
      <c r="R44" s="87"/>
      <c r="S44" s="87"/>
      <c r="T44" s="87"/>
      <c r="U44" s="87"/>
      <c r="V44" s="87"/>
    </row>
    <row r="45" spans="1:22">
      <c r="A45" s="87"/>
      <c r="B45" s="87"/>
      <c r="C45" s="87"/>
      <c r="D45" s="87"/>
      <c r="E45" s="87"/>
      <c r="F45" s="88"/>
      <c r="G45" s="87"/>
      <c r="H45" s="87"/>
      <c r="I45" s="87"/>
      <c r="J45" s="87"/>
      <c r="K45" s="87"/>
      <c r="L45" s="87"/>
      <c r="M45" s="87"/>
      <c r="N45" s="87"/>
      <c r="O45" s="87"/>
      <c r="P45" s="87"/>
      <c r="Q45" s="87"/>
      <c r="R45" s="87"/>
      <c r="S45" s="87"/>
      <c r="T45" s="87"/>
      <c r="U45" s="87"/>
      <c r="V45" s="87"/>
    </row>
    <row r="46" spans="1:22">
      <c r="A46" s="87"/>
      <c r="B46" s="87"/>
      <c r="C46" s="87"/>
      <c r="D46" s="87"/>
      <c r="E46" s="87"/>
      <c r="F46" s="88"/>
      <c r="G46" s="87"/>
      <c r="H46" s="87"/>
      <c r="I46" s="87"/>
      <c r="J46" s="87"/>
      <c r="K46" s="87"/>
      <c r="L46" s="87"/>
      <c r="M46" s="87"/>
      <c r="N46" s="87"/>
      <c r="O46" s="87"/>
      <c r="P46" s="87"/>
      <c r="Q46" s="87"/>
      <c r="R46" s="87"/>
      <c r="S46" s="87"/>
      <c r="T46" s="87"/>
      <c r="U46" s="87"/>
      <c r="V46" s="87"/>
    </row>
    <row r="47" spans="1:22">
      <c r="A47" s="87"/>
      <c r="B47" s="87"/>
      <c r="C47" s="87"/>
      <c r="D47" s="87"/>
      <c r="E47" s="87"/>
      <c r="F47" s="88"/>
      <c r="G47" s="87"/>
      <c r="H47" s="87"/>
      <c r="I47" s="87"/>
      <c r="J47" s="87"/>
      <c r="K47" s="87"/>
      <c r="L47" s="87"/>
      <c r="M47" s="87"/>
      <c r="N47" s="87"/>
      <c r="O47" s="87"/>
      <c r="P47" s="87"/>
      <c r="Q47" s="87"/>
      <c r="R47" s="87"/>
      <c r="S47" s="87"/>
      <c r="T47" s="87"/>
      <c r="U47" s="87"/>
      <c r="V47" s="87"/>
    </row>
    <row r="48" spans="1:22">
      <c r="A48" s="87"/>
      <c r="B48" s="87"/>
      <c r="C48" s="87"/>
      <c r="D48" s="87"/>
      <c r="E48" s="87"/>
      <c r="F48" s="88"/>
      <c r="G48" s="87"/>
      <c r="H48" s="87"/>
      <c r="I48" s="87"/>
      <c r="J48" s="87"/>
      <c r="K48" s="87"/>
      <c r="L48" s="87"/>
      <c r="M48" s="87"/>
      <c r="N48" s="87"/>
      <c r="O48" s="87"/>
      <c r="P48" s="87"/>
      <c r="Q48" s="87"/>
      <c r="R48" s="87"/>
      <c r="S48" s="87"/>
      <c r="T48" s="87"/>
      <c r="U48" s="87"/>
      <c r="V48" s="87"/>
    </row>
    <row r="49" spans="1:22">
      <c r="A49" s="87"/>
      <c r="B49" s="87"/>
      <c r="C49" s="87"/>
      <c r="D49" s="87"/>
      <c r="E49" s="87"/>
      <c r="F49" s="88"/>
      <c r="G49" s="87"/>
      <c r="H49" s="87"/>
      <c r="I49" s="87"/>
      <c r="J49" s="87"/>
      <c r="K49" s="87"/>
      <c r="L49" s="87"/>
      <c r="M49" s="87"/>
      <c r="N49" s="87"/>
      <c r="O49" s="87"/>
      <c r="P49" s="87"/>
      <c r="Q49" s="87"/>
      <c r="R49" s="87"/>
      <c r="S49" s="87"/>
      <c r="T49" s="87"/>
      <c r="U49" s="87"/>
      <c r="V49" s="87"/>
    </row>
    <row r="50" spans="1:22">
      <c r="A50" s="87"/>
      <c r="B50" s="87"/>
      <c r="C50" s="87"/>
      <c r="D50" s="87"/>
      <c r="E50" s="87"/>
      <c r="F50" s="87"/>
      <c r="G50" s="87"/>
      <c r="H50" s="87"/>
      <c r="I50" s="87"/>
      <c r="J50" s="87"/>
      <c r="K50" s="87"/>
      <c r="L50" s="87"/>
      <c r="M50" s="87"/>
      <c r="N50" s="87"/>
      <c r="O50" s="87"/>
      <c r="P50" s="87"/>
      <c r="Q50" s="87"/>
      <c r="R50" s="87"/>
      <c r="S50" s="87"/>
      <c r="T50" s="87"/>
      <c r="U50" s="87"/>
      <c r="V50" s="87"/>
    </row>
    <row r="51" spans="1:22">
      <c r="A51" s="87"/>
      <c r="B51" s="87"/>
      <c r="C51" s="87"/>
      <c r="D51" s="87"/>
      <c r="E51" s="87"/>
      <c r="F51" s="87"/>
      <c r="G51" s="87"/>
      <c r="H51" s="87"/>
      <c r="I51" s="87"/>
      <c r="J51" s="87"/>
      <c r="K51" s="87"/>
      <c r="L51" s="87"/>
      <c r="M51" s="87"/>
      <c r="N51" s="87"/>
      <c r="O51" s="87"/>
      <c r="P51" s="87"/>
      <c r="Q51" s="87"/>
      <c r="R51" s="87"/>
      <c r="S51" s="87"/>
      <c r="T51" s="87"/>
      <c r="U51" s="87"/>
      <c r="V51" s="87"/>
    </row>
    <row r="52" spans="1:22">
      <c r="A52" s="87"/>
      <c r="B52" s="87"/>
      <c r="C52" s="87"/>
      <c r="D52" s="87"/>
      <c r="E52" s="87"/>
      <c r="F52" s="87"/>
      <c r="G52" s="87"/>
      <c r="H52" s="87"/>
      <c r="I52" s="87"/>
      <c r="J52" s="87"/>
      <c r="K52" s="87"/>
      <c r="L52" s="87"/>
      <c r="M52" s="87"/>
      <c r="N52" s="87"/>
      <c r="O52" s="87"/>
      <c r="P52" s="87"/>
      <c r="Q52" s="87"/>
      <c r="R52" s="87"/>
      <c r="S52" s="87"/>
      <c r="T52" s="87"/>
      <c r="U52" s="87"/>
      <c r="V52" s="87"/>
    </row>
    <row r="53" spans="1:22">
      <c r="A53" s="87"/>
      <c r="B53" s="87"/>
      <c r="C53" s="87"/>
      <c r="D53" s="87"/>
      <c r="E53" s="87"/>
      <c r="F53" s="87"/>
      <c r="G53" s="87"/>
      <c r="H53" s="87"/>
      <c r="I53" s="87"/>
      <c r="J53" s="87"/>
      <c r="K53" s="87"/>
      <c r="L53" s="87"/>
      <c r="M53" s="87"/>
      <c r="N53" s="87"/>
      <c r="O53" s="87"/>
      <c r="P53" s="87"/>
      <c r="Q53" s="87"/>
      <c r="R53" s="87"/>
      <c r="S53" s="87"/>
      <c r="T53" s="87"/>
      <c r="U53" s="87"/>
      <c r="V53" s="87"/>
    </row>
    <row r="54" spans="1:22">
      <c r="A54" s="87"/>
      <c r="B54" s="87"/>
      <c r="C54" s="87"/>
      <c r="D54" s="87"/>
      <c r="E54" s="87"/>
      <c r="F54" s="87"/>
      <c r="G54" s="87"/>
      <c r="H54" s="87"/>
      <c r="I54" s="87"/>
      <c r="J54" s="87"/>
      <c r="K54" s="87"/>
      <c r="L54" s="87"/>
      <c r="M54" s="87"/>
      <c r="N54" s="87"/>
      <c r="O54" s="87"/>
      <c r="P54" s="87"/>
      <c r="Q54" s="87"/>
      <c r="R54" s="87"/>
      <c r="S54" s="87"/>
      <c r="T54" s="87"/>
      <c r="U54" s="87"/>
      <c r="V54" s="87"/>
    </row>
    <row r="55" spans="1:22">
      <c r="A55" s="87"/>
      <c r="B55" s="87"/>
      <c r="C55" s="87"/>
      <c r="D55" s="87"/>
      <c r="E55" s="87"/>
      <c r="F55" s="87"/>
      <c r="G55" s="87"/>
      <c r="H55" s="87"/>
      <c r="I55" s="87"/>
      <c r="J55" s="87"/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</row>
    <row r="56" spans="1:22">
      <c r="A56" s="87"/>
      <c r="B56" s="87"/>
      <c r="C56" s="87"/>
      <c r="D56" s="87"/>
      <c r="E56" s="87"/>
      <c r="F56" s="87"/>
      <c r="G56" s="87"/>
      <c r="H56" s="87"/>
      <c r="I56" s="87"/>
      <c r="J56" s="87"/>
      <c r="K56" s="87"/>
      <c r="L56" s="87"/>
      <c r="M56" s="87"/>
      <c r="N56" s="87"/>
      <c r="O56" s="87"/>
      <c r="P56" s="87"/>
      <c r="Q56" s="87"/>
      <c r="R56" s="87"/>
      <c r="S56" s="87"/>
      <c r="T56" s="87"/>
      <c r="U56" s="87"/>
      <c r="V56" s="87"/>
    </row>
    <row r="57" spans="1:22">
      <c r="A57" s="87"/>
      <c r="B57" s="87"/>
      <c r="C57" s="87"/>
      <c r="D57" s="87"/>
      <c r="E57" s="87"/>
      <c r="F57" s="87"/>
      <c r="G57" s="87"/>
      <c r="H57" s="87"/>
      <c r="I57" s="87"/>
      <c r="J57" s="87"/>
      <c r="K57" s="87"/>
      <c r="L57" s="87"/>
      <c r="M57" s="87"/>
      <c r="N57" s="87"/>
      <c r="O57" s="87"/>
      <c r="P57" s="87"/>
      <c r="Q57" s="87"/>
      <c r="R57" s="87"/>
      <c r="S57" s="87"/>
      <c r="T57" s="87"/>
      <c r="U57" s="87"/>
      <c r="V57" s="87"/>
    </row>
    <row r="58" spans="1:22">
      <c r="A58" s="87"/>
      <c r="B58" s="87"/>
      <c r="C58" s="87"/>
      <c r="D58" s="87"/>
      <c r="E58" s="87"/>
      <c r="F58" s="87"/>
      <c r="G58" s="87"/>
      <c r="H58" s="87"/>
      <c r="I58" s="87"/>
      <c r="J58" s="87"/>
      <c r="K58" s="87"/>
      <c r="L58" s="87"/>
      <c r="M58" s="87"/>
      <c r="N58" s="87"/>
      <c r="O58" s="87"/>
      <c r="P58" s="87"/>
      <c r="Q58" s="87"/>
      <c r="R58" s="87"/>
      <c r="S58" s="87"/>
      <c r="T58" s="87"/>
      <c r="U58" s="87"/>
      <c r="V58" s="87"/>
    </row>
    <row r="59" spans="1:22">
      <c r="A59" s="87"/>
      <c r="B59" s="87"/>
      <c r="C59" s="87"/>
      <c r="D59" s="87"/>
      <c r="E59" s="87"/>
      <c r="F59" s="87"/>
      <c r="G59" s="87"/>
      <c r="H59" s="87"/>
      <c r="I59" s="87"/>
      <c r="J59" s="87"/>
      <c r="K59" s="87"/>
      <c r="L59" s="87"/>
      <c r="M59" s="87"/>
      <c r="N59" s="87"/>
      <c r="O59" s="87"/>
      <c r="P59" s="87"/>
      <c r="Q59" s="87"/>
      <c r="R59" s="87"/>
      <c r="S59" s="87"/>
      <c r="T59" s="87"/>
      <c r="U59" s="87"/>
      <c r="V59" s="87"/>
    </row>
    <row r="60" spans="1:22">
      <c r="A60" s="87"/>
      <c r="B60" s="87"/>
      <c r="C60" s="87"/>
      <c r="D60" s="87"/>
      <c r="E60" s="87"/>
      <c r="F60" s="87"/>
      <c r="G60" s="87"/>
      <c r="H60" s="87"/>
      <c r="I60" s="87"/>
      <c r="J60" s="87"/>
      <c r="K60" s="87"/>
      <c r="L60" s="87"/>
      <c r="M60" s="87"/>
      <c r="N60" s="87"/>
      <c r="O60" s="87"/>
      <c r="P60" s="87"/>
      <c r="Q60" s="87"/>
      <c r="R60" s="87"/>
      <c r="S60" s="87"/>
      <c r="T60" s="87"/>
      <c r="U60" s="87"/>
      <c r="V60" s="87"/>
    </row>
    <row r="61" spans="1:22">
      <c r="A61" s="87"/>
      <c r="B61" s="87"/>
      <c r="C61" s="87"/>
      <c r="D61" s="87"/>
      <c r="E61" s="87"/>
      <c r="F61" s="87"/>
      <c r="G61" s="87"/>
      <c r="H61" s="87"/>
      <c r="I61" s="87"/>
      <c r="J61" s="87"/>
      <c r="K61" s="87"/>
      <c r="L61" s="87"/>
      <c r="M61" s="87"/>
      <c r="N61" s="87"/>
      <c r="O61" s="87"/>
      <c r="P61" s="87"/>
      <c r="Q61" s="87"/>
      <c r="R61" s="87"/>
      <c r="S61" s="87"/>
      <c r="T61" s="87"/>
      <c r="U61" s="87"/>
      <c r="V61" s="87"/>
    </row>
    <row r="62" spans="1:22">
      <c r="A62" s="87"/>
      <c r="B62" s="87"/>
      <c r="C62" s="87"/>
      <c r="D62" s="87"/>
      <c r="E62" s="87"/>
      <c r="F62" s="87"/>
      <c r="G62" s="87"/>
      <c r="H62" s="87"/>
      <c r="I62" s="87"/>
      <c r="J62" s="87"/>
      <c r="K62" s="87"/>
      <c r="L62" s="87"/>
      <c r="M62" s="87"/>
      <c r="N62" s="87"/>
      <c r="O62" s="87"/>
      <c r="P62" s="87"/>
      <c r="Q62" s="87"/>
      <c r="R62" s="87"/>
      <c r="S62" s="87"/>
      <c r="T62" s="87"/>
      <c r="U62" s="87"/>
      <c r="V62" s="87"/>
    </row>
  </sheetData>
  <mergeCells count="5">
    <mergeCell ref="R3:U3"/>
    <mergeCell ref="K2:Q2"/>
    <mergeCell ref="B3:E3"/>
    <mergeCell ref="G3:J3"/>
    <mergeCell ref="L3:P3"/>
  </mergeCells>
  <phoneticPr fontId="1" type="noConversion"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1"/>
  <sheetViews>
    <sheetView tabSelected="1" topLeftCell="G54" workbookViewId="0">
      <selection activeCell="H64" sqref="H64"/>
    </sheetView>
  </sheetViews>
  <sheetFormatPr baseColWidth="10" defaultColWidth="8.7109375" defaultRowHeight="15" x14ac:dyDescent="0"/>
  <cols>
    <col min="1" max="1" width="24.42578125" bestFit="1" customWidth="1"/>
    <col min="5" max="5" width="13.28515625" customWidth="1"/>
  </cols>
  <sheetData>
    <row r="1" spans="1:22">
      <c r="A1" s="87"/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</row>
    <row r="2" spans="1:22" ht="21">
      <c r="A2" s="87"/>
      <c r="B2" s="87"/>
      <c r="C2" s="87"/>
      <c r="D2" s="87"/>
      <c r="E2" s="87"/>
      <c r="F2" s="87"/>
      <c r="G2" s="89"/>
      <c r="H2" s="89"/>
      <c r="I2" s="89"/>
      <c r="J2" s="89"/>
      <c r="K2" s="268" t="str">
        <f>Poor!A1</f>
        <v>ZA3XX: 59300</v>
      </c>
      <c r="L2" s="268"/>
      <c r="M2" s="268"/>
      <c r="N2" s="268"/>
      <c r="O2" s="268"/>
      <c r="P2" s="268"/>
      <c r="Q2" s="268"/>
      <c r="R2" s="87"/>
      <c r="S2" s="87"/>
      <c r="T2" s="87"/>
      <c r="U2" s="87"/>
      <c r="V2" s="87"/>
    </row>
    <row r="3" spans="1:22" s="92" customFormat="1" ht="17">
      <c r="A3" s="90"/>
      <c r="B3" s="89"/>
      <c r="C3" s="269" t="str">
        <f>V.Poor!A34</f>
        <v>Income : Very Poor HHs</v>
      </c>
      <c r="D3" s="269"/>
      <c r="E3" s="269"/>
      <c r="F3" s="90"/>
      <c r="G3" s="267" t="str">
        <f>Poor!A34</f>
        <v>Income : Poor HHs</v>
      </c>
      <c r="H3" s="267"/>
      <c r="I3" s="267"/>
      <c r="J3" s="267"/>
      <c r="K3" s="89"/>
      <c r="L3" s="267" t="str">
        <f>Middle!A34</f>
        <v>Income : Middle HHs</v>
      </c>
      <c r="M3" s="267"/>
      <c r="N3" s="267"/>
      <c r="O3" s="267"/>
      <c r="P3" s="267"/>
      <c r="Q3" s="91"/>
      <c r="R3" s="267" t="str">
        <f>Rich!A34</f>
        <v>Income : Better-off HHs</v>
      </c>
      <c r="S3" s="267"/>
      <c r="T3" s="267"/>
      <c r="U3" s="267"/>
      <c r="V3" s="90"/>
    </row>
    <row r="4" spans="1:22">
      <c r="A4" s="87"/>
      <c r="B4" s="87"/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</row>
    <row r="5" spans="1:22">
      <c r="A5" s="87"/>
      <c r="B5" s="87"/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</row>
    <row r="6" spans="1:22">
      <c r="A6" s="87"/>
      <c r="B6" s="87"/>
      <c r="C6" s="87"/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</row>
    <row r="7" spans="1:22">
      <c r="A7" s="87"/>
      <c r="B7" s="87"/>
      <c r="C7" s="87"/>
      <c r="D7" s="87"/>
      <c r="E7" s="87"/>
      <c r="F7" s="87"/>
      <c r="G7" s="87"/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</row>
    <row r="8" spans="1:22">
      <c r="A8" s="87"/>
      <c r="B8" s="87"/>
      <c r="C8" s="87"/>
      <c r="D8" s="87"/>
      <c r="E8" s="87"/>
      <c r="F8" s="87"/>
      <c r="G8" s="87"/>
      <c r="H8" s="87"/>
      <c r="I8" s="87"/>
      <c r="J8" s="87"/>
      <c r="K8" s="87"/>
      <c r="L8" s="87"/>
      <c r="M8" s="87"/>
      <c r="N8" s="87"/>
      <c r="O8" s="87"/>
      <c r="P8" s="87"/>
      <c r="Q8" s="87"/>
      <c r="R8" s="87"/>
      <c r="S8" s="87"/>
      <c r="T8" s="87"/>
      <c r="U8" s="87"/>
      <c r="V8" s="87"/>
    </row>
    <row r="9" spans="1:22">
      <c r="A9" s="87"/>
      <c r="B9" s="87"/>
      <c r="C9" s="87"/>
      <c r="D9" s="87"/>
      <c r="E9" s="87"/>
      <c r="F9" s="87"/>
      <c r="G9" s="87"/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</row>
    <row r="10" spans="1:22">
      <c r="A10" s="87"/>
      <c r="B10" s="87"/>
      <c r="C10" s="87"/>
      <c r="D10" s="87"/>
      <c r="E10" s="87"/>
      <c r="F10" s="87"/>
      <c r="G10" s="87"/>
      <c r="H10" s="87"/>
      <c r="I10" s="87"/>
      <c r="J10" s="87"/>
      <c r="K10" s="87"/>
      <c r="L10" s="87"/>
      <c r="M10" s="87"/>
      <c r="N10" s="87"/>
      <c r="O10" s="87"/>
      <c r="P10" s="87"/>
      <c r="Q10" s="87"/>
      <c r="R10" s="87"/>
      <c r="S10" s="87"/>
      <c r="T10" s="87"/>
      <c r="U10" s="87"/>
      <c r="V10" s="87"/>
    </row>
    <row r="11" spans="1:22">
      <c r="A11" s="87"/>
      <c r="B11" s="87"/>
      <c r="C11" s="87"/>
      <c r="D11" s="87"/>
      <c r="E11" s="87"/>
      <c r="F11" s="87"/>
      <c r="G11" s="87"/>
      <c r="H11" s="87"/>
      <c r="I11" s="87"/>
      <c r="J11" s="87"/>
      <c r="K11" s="87"/>
      <c r="L11" s="87"/>
      <c r="M11" s="87"/>
      <c r="N11" s="87"/>
      <c r="O11" s="87"/>
      <c r="P11" s="87"/>
      <c r="Q11" s="87"/>
      <c r="R11" s="87"/>
      <c r="S11" s="87"/>
      <c r="T11" s="87"/>
      <c r="U11" s="87"/>
      <c r="V11" s="87"/>
    </row>
    <row r="12" spans="1:22">
      <c r="A12" s="87"/>
      <c r="B12" s="87"/>
      <c r="C12" s="87"/>
      <c r="D12" s="87"/>
      <c r="E12" s="87"/>
      <c r="F12" s="87"/>
      <c r="G12" s="87"/>
      <c r="H12" s="87"/>
      <c r="I12" s="87"/>
      <c r="J12" s="87"/>
      <c r="K12" s="87"/>
      <c r="L12" s="87"/>
      <c r="M12" s="87"/>
      <c r="N12" s="87"/>
      <c r="O12" s="87"/>
      <c r="P12" s="87"/>
      <c r="Q12" s="87"/>
      <c r="R12" s="87"/>
      <c r="S12" s="87"/>
      <c r="T12" s="87"/>
      <c r="U12" s="87"/>
      <c r="V12" s="87"/>
    </row>
    <row r="13" spans="1:22">
      <c r="A13" s="87"/>
      <c r="B13" s="87"/>
      <c r="C13" s="87"/>
      <c r="D13" s="87"/>
      <c r="E13" s="87"/>
      <c r="F13" s="87"/>
      <c r="G13" s="87"/>
      <c r="H13" s="87"/>
      <c r="I13" s="87"/>
      <c r="J13" s="87"/>
      <c r="K13" s="87"/>
      <c r="L13" s="87"/>
      <c r="M13" s="87"/>
      <c r="N13" s="87"/>
      <c r="O13" s="87"/>
      <c r="P13" s="87"/>
      <c r="Q13" s="87"/>
      <c r="R13" s="87"/>
      <c r="S13" s="87"/>
      <c r="T13" s="87"/>
      <c r="U13" s="87"/>
      <c r="V13" s="87"/>
    </row>
    <row r="14" spans="1:22">
      <c r="A14" s="87"/>
      <c r="B14" s="87"/>
      <c r="C14" s="87"/>
      <c r="D14" s="87"/>
      <c r="E14" s="87"/>
      <c r="F14" s="87"/>
      <c r="G14" s="87"/>
      <c r="H14" s="87"/>
      <c r="I14" s="87"/>
      <c r="J14" s="87"/>
      <c r="K14" s="87"/>
      <c r="L14" s="87"/>
      <c r="M14" s="87"/>
      <c r="N14" s="87"/>
      <c r="O14" s="87"/>
      <c r="P14" s="87"/>
      <c r="Q14" s="87"/>
      <c r="R14" s="87"/>
      <c r="S14" s="87"/>
      <c r="T14" s="87"/>
      <c r="U14" s="87"/>
      <c r="V14" s="87"/>
    </row>
    <row r="15" spans="1:22">
      <c r="A15" s="87"/>
      <c r="B15" s="87"/>
      <c r="C15" s="87"/>
      <c r="D15" s="87"/>
      <c r="E15" s="87"/>
      <c r="F15" s="87"/>
      <c r="G15" s="87"/>
      <c r="H15" s="87"/>
      <c r="I15" s="87"/>
      <c r="J15" s="87"/>
      <c r="K15" s="87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</row>
    <row r="16" spans="1:22">
      <c r="A16" s="87"/>
      <c r="B16" s="87"/>
      <c r="C16" s="87"/>
      <c r="D16" s="87"/>
      <c r="E16" s="87"/>
      <c r="F16" s="87"/>
      <c r="G16" s="87"/>
      <c r="H16" s="87"/>
      <c r="I16" s="87"/>
      <c r="J16" s="87"/>
      <c r="K16" s="87"/>
      <c r="L16" s="87"/>
      <c r="M16" s="87"/>
      <c r="N16" s="87"/>
      <c r="O16" s="87"/>
      <c r="P16" s="87"/>
      <c r="Q16" s="87"/>
      <c r="R16" s="87"/>
      <c r="S16" s="87"/>
      <c r="T16" s="87"/>
      <c r="U16" s="87"/>
      <c r="V16" s="87"/>
    </row>
    <row r="17" spans="1:22">
      <c r="A17" s="87"/>
      <c r="B17" s="87"/>
      <c r="C17" s="87"/>
      <c r="D17" s="87"/>
      <c r="E17" s="87"/>
      <c r="F17" s="87"/>
      <c r="G17" s="87"/>
      <c r="H17" s="87"/>
      <c r="I17" s="87"/>
      <c r="J17" s="87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7"/>
      <c r="V17" s="87"/>
    </row>
    <row r="18" spans="1:22">
      <c r="A18" s="87"/>
      <c r="B18" s="87"/>
      <c r="C18" s="87"/>
      <c r="D18" s="87"/>
      <c r="E18" s="87"/>
      <c r="F18" s="87"/>
      <c r="G18" s="87"/>
      <c r="H18" s="87"/>
      <c r="I18" s="87"/>
      <c r="J18" s="87"/>
      <c r="K18" s="87"/>
      <c r="L18" s="87"/>
      <c r="M18" s="87"/>
      <c r="N18" s="87"/>
      <c r="O18" s="87"/>
      <c r="P18" s="87"/>
      <c r="Q18" s="87"/>
      <c r="R18" s="87"/>
      <c r="S18" s="87"/>
      <c r="T18" s="87"/>
      <c r="U18" s="87"/>
      <c r="V18" s="87"/>
    </row>
    <row r="19" spans="1:22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7"/>
      <c r="M19" s="87"/>
      <c r="N19" s="87"/>
      <c r="O19" s="87"/>
      <c r="P19" s="87"/>
      <c r="Q19" s="87"/>
      <c r="R19" s="87"/>
      <c r="S19" s="87"/>
      <c r="T19" s="87"/>
      <c r="U19" s="87"/>
      <c r="V19" s="87"/>
    </row>
    <row r="20" spans="1:22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7"/>
      <c r="M20" s="87"/>
      <c r="N20" s="87"/>
      <c r="O20" s="87"/>
      <c r="P20" s="87"/>
      <c r="Q20" s="87"/>
      <c r="R20" s="87"/>
      <c r="S20" s="87"/>
      <c r="T20" s="87"/>
      <c r="U20" s="87"/>
      <c r="V20" s="87"/>
    </row>
    <row r="21" spans="1:22">
      <c r="A21" s="87"/>
      <c r="B21" s="87"/>
      <c r="C21" s="87"/>
      <c r="D21" s="87"/>
      <c r="E21" s="87"/>
      <c r="F21" s="87"/>
      <c r="G21" s="87"/>
      <c r="H21" s="87"/>
      <c r="I21" s="87"/>
      <c r="J21" s="87"/>
      <c r="K21" s="87"/>
      <c r="L21" s="87"/>
      <c r="M21" s="87"/>
      <c r="N21" s="87"/>
      <c r="O21" s="87"/>
      <c r="P21" s="87"/>
      <c r="Q21" s="87"/>
      <c r="R21" s="87"/>
      <c r="S21" s="87"/>
      <c r="T21" s="87"/>
      <c r="U21" s="87"/>
      <c r="V21" s="87"/>
    </row>
    <row r="22" spans="1:22">
      <c r="A22" s="87"/>
      <c r="B22" s="87"/>
      <c r="C22" s="87"/>
      <c r="D22" s="87"/>
      <c r="E22" s="87"/>
      <c r="F22" s="87"/>
      <c r="G22" s="87"/>
      <c r="H22" s="87"/>
      <c r="I22" s="87"/>
      <c r="J22" s="87"/>
      <c r="K22" s="87"/>
      <c r="L22" s="87"/>
      <c r="M22" s="87"/>
      <c r="N22" s="87"/>
      <c r="O22" s="87"/>
      <c r="P22" s="87"/>
      <c r="Q22" s="87"/>
      <c r="R22" s="87"/>
      <c r="S22" s="87"/>
      <c r="T22" s="87"/>
      <c r="U22" s="87"/>
      <c r="V22" s="87"/>
    </row>
    <row r="23" spans="1:22">
      <c r="A23" s="87"/>
      <c r="B23" s="87"/>
      <c r="C23" s="87"/>
      <c r="D23" s="87"/>
      <c r="E23" s="87"/>
      <c r="F23" s="87"/>
      <c r="G23" s="87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7"/>
      <c r="S23" s="87"/>
      <c r="T23" s="87"/>
      <c r="U23" s="87"/>
      <c r="V23" s="87"/>
    </row>
    <row r="24" spans="1:22">
      <c r="A24" s="87"/>
      <c r="B24" s="87"/>
      <c r="C24" s="87"/>
      <c r="D24" s="87"/>
      <c r="E24" s="87"/>
      <c r="F24" s="87"/>
      <c r="G24" s="87"/>
      <c r="H24" s="87"/>
      <c r="I24" s="87"/>
      <c r="J24" s="87"/>
      <c r="K24" s="87"/>
      <c r="L24" s="87"/>
      <c r="M24" s="87"/>
      <c r="N24" s="87"/>
      <c r="O24" s="87"/>
      <c r="P24" s="87"/>
      <c r="Q24" s="87"/>
      <c r="R24" s="87"/>
      <c r="S24" s="87"/>
      <c r="T24" s="87"/>
      <c r="U24" s="87"/>
      <c r="V24" s="87"/>
    </row>
    <row r="25" spans="1:22">
      <c r="A25" s="87"/>
      <c r="B25" s="87"/>
      <c r="C25" s="87"/>
      <c r="D25" s="87"/>
      <c r="E25" s="87"/>
      <c r="F25" s="87"/>
      <c r="G25" s="87"/>
      <c r="H25" s="87"/>
      <c r="I25" s="87"/>
      <c r="J25" s="87"/>
      <c r="K25" s="87"/>
      <c r="L25" s="87"/>
      <c r="M25" s="87"/>
      <c r="N25" s="87"/>
      <c r="O25" s="87"/>
      <c r="P25" s="87"/>
      <c r="Q25" s="87"/>
      <c r="R25" s="87"/>
      <c r="S25" s="87"/>
      <c r="T25" s="87"/>
      <c r="U25" s="87"/>
      <c r="V25" s="87"/>
    </row>
    <row r="26" spans="1:22">
      <c r="A26" s="87"/>
      <c r="B26" s="87"/>
      <c r="C26" s="87"/>
      <c r="D26" s="87"/>
      <c r="E26" s="87"/>
      <c r="F26" s="87"/>
      <c r="G26" s="87"/>
      <c r="H26" s="87"/>
      <c r="I26" s="87"/>
      <c r="J26" s="87"/>
      <c r="K26" s="87"/>
      <c r="L26" s="87"/>
      <c r="M26" s="87"/>
      <c r="N26" s="87"/>
      <c r="O26" s="87"/>
      <c r="P26" s="87"/>
      <c r="Q26" s="87"/>
      <c r="R26" s="87"/>
      <c r="S26" s="87"/>
      <c r="T26" s="87"/>
      <c r="U26" s="87"/>
      <c r="V26" s="87"/>
    </row>
    <row r="27" spans="1:22">
      <c r="A27" s="87"/>
      <c r="B27" s="87"/>
      <c r="C27" s="87"/>
      <c r="D27" s="87"/>
      <c r="E27" s="87"/>
      <c r="F27" s="87"/>
      <c r="G27" s="87"/>
      <c r="H27" s="87"/>
      <c r="I27" s="87"/>
      <c r="J27" s="87"/>
      <c r="K27" s="87"/>
      <c r="L27" s="87"/>
      <c r="M27" s="87"/>
      <c r="N27" s="87"/>
      <c r="O27" s="87"/>
      <c r="P27" s="87"/>
      <c r="Q27" s="87"/>
      <c r="R27" s="87"/>
      <c r="S27" s="87"/>
      <c r="T27" s="87"/>
      <c r="U27" s="87"/>
      <c r="V27" s="87"/>
    </row>
    <row r="28" spans="1:22">
      <c r="A28" s="87"/>
      <c r="B28" s="87"/>
      <c r="C28" s="87"/>
      <c r="D28" s="87"/>
      <c r="E28" s="87"/>
      <c r="F28" s="87"/>
      <c r="G28" s="87"/>
      <c r="H28" s="87"/>
      <c r="I28" s="87"/>
      <c r="J28" s="87"/>
      <c r="K28" s="87"/>
      <c r="L28" s="87"/>
      <c r="M28" s="87"/>
      <c r="N28" s="87"/>
      <c r="O28" s="87"/>
      <c r="P28" s="87"/>
      <c r="Q28" s="87"/>
      <c r="R28" s="87"/>
      <c r="S28" s="87"/>
      <c r="T28" s="87"/>
      <c r="U28" s="87"/>
      <c r="V28" s="87"/>
    </row>
    <row r="29" spans="1:22">
      <c r="A29" s="87"/>
      <c r="B29" s="87"/>
      <c r="C29" s="87"/>
      <c r="D29" s="87"/>
      <c r="E29" s="87"/>
      <c r="F29" s="87"/>
      <c r="G29" s="87"/>
      <c r="H29" s="87"/>
      <c r="I29" s="87"/>
      <c r="J29" s="87"/>
      <c r="K29" s="87"/>
      <c r="L29" s="87"/>
      <c r="M29" s="87"/>
      <c r="N29" s="87"/>
      <c r="O29" s="87"/>
      <c r="P29" s="87"/>
      <c r="Q29" s="87"/>
      <c r="R29" s="87"/>
      <c r="S29" s="87"/>
      <c r="T29" s="87"/>
      <c r="U29" s="87"/>
      <c r="V29" s="87"/>
    </row>
    <row r="30" spans="1:22">
      <c r="A30" s="87"/>
      <c r="B30" s="87"/>
      <c r="C30" s="87"/>
      <c r="D30" s="87"/>
      <c r="E30" s="87"/>
      <c r="F30" s="87"/>
      <c r="G30" s="87"/>
      <c r="H30" s="87"/>
      <c r="I30" s="87"/>
      <c r="J30" s="87"/>
      <c r="K30" s="87"/>
      <c r="L30" s="87"/>
      <c r="M30" s="87"/>
      <c r="N30" s="87"/>
      <c r="O30" s="87"/>
      <c r="P30" s="87"/>
      <c r="Q30" s="87"/>
      <c r="R30" s="87"/>
      <c r="S30" s="87"/>
      <c r="T30" s="87"/>
      <c r="U30" s="87"/>
      <c r="V30" s="87"/>
    </row>
    <row r="31" spans="1:22">
      <c r="A31" s="87"/>
      <c r="B31" s="87"/>
      <c r="C31" s="87"/>
      <c r="D31" s="87"/>
      <c r="E31" s="87"/>
      <c r="F31" s="87"/>
      <c r="G31" s="87"/>
      <c r="H31" s="87"/>
      <c r="I31" s="87"/>
      <c r="J31" s="87"/>
      <c r="K31" s="87"/>
      <c r="L31" s="87"/>
      <c r="M31" s="87"/>
      <c r="N31" s="87"/>
      <c r="O31" s="87"/>
      <c r="P31" s="87"/>
      <c r="Q31" s="87"/>
      <c r="R31" s="87"/>
      <c r="S31" s="87"/>
      <c r="T31" s="87"/>
      <c r="U31" s="87"/>
      <c r="V31" s="87"/>
    </row>
    <row r="32" spans="1:22">
      <c r="A32" s="87"/>
      <c r="B32" s="87"/>
      <c r="C32" s="87"/>
      <c r="D32" s="87"/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7"/>
      <c r="Q32" s="87"/>
      <c r="R32" s="87"/>
      <c r="S32" s="87"/>
      <c r="T32" s="87"/>
      <c r="U32" s="87"/>
      <c r="V32" s="87"/>
    </row>
    <row r="33" spans="1:22">
      <c r="A33" s="87"/>
      <c r="B33" s="87"/>
      <c r="C33" s="87"/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87"/>
      <c r="P33" s="87"/>
      <c r="Q33" s="87"/>
      <c r="R33" s="87"/>
      <c r="S33" s="87"/>
      <c r="T33" s="87"/>
      <c r="U33" s="87"/>
      <c r="V33" s="87"/>
    </row>
    <row r="34" spans="1:22">
      <c r="A34" s="87"/>
      <c r="B34" s="87"/>
      <c r="C34" s="87"/>
      <c r="D34" s="87"/>
      <c r="E34" s="87"/>
      <c r="F34" s="87"/>
      <c r="G34" s="87"/>
      <c r="H34" s="87"/>
      <c r="I34" s="87"/>
      <c r="J34" s="87"/>
      <c r="K34" s="87"/>
      <c r="L34" s="87"/>
      <c r="M34" s="87"/>
      <c r="N34" s="87"/>
      <c r="O34" s="87"/>
      <c r="P34" s="87"/>
      <c r="Q34" s="87"/>
      <c r="R34" s="87"/>
      <c r="S34" s="87"/>
      <c r="T34" s="87"/>
      <c r="U34" s="87"/>
      <c r="V34" s="87"/>
    </row>
    <row r="35" spans="1:22">
      <c r="A35" s="87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7"/>
      <c r="Q35" s="87"/>
      <c r="R35" s="87"/>
      <c r="S35" s="87"/>
      <c r="T35" s="87"/>
      <c r="U35" s="87"/>
      <c r="V35" s="87"/>
    </row>
    <row r="36" spans="1:22">
      <c r="A36" s="87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87"/>
      <c r="Q36" s="87"/>
      <c r="R36" s="87"/>
      <c r="S36" s="87"/>
      <c r="T36" s="87"/>
      <c r="U36" s="87"/>
      <c r="V36" s="87"/>
    </row>
    <row r="37" spans="1:22">
      <c r="A37" s="87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7"/>
    </row>
    <row r="38" spans="1:22">
      <c r="A38" s="87"/>
      <c r="B38" s="87"/>
      <c r="C38" s="87"/>
      <c r="D38" s="87"/>
      <c r="E38" s="87"/>
      <c r="F38" s="87"/>
      <c r="G38" s="87"/>
      <c r="H38" s="87"/>
      <c r="I38" s="87"/>
      <c r="J38" s="87"/>
      <c r="K38" s="87"/>
      <c r="L38" s="87"/>
      <c r="M38" s="87"/>
      <c r="N38" s="87"/>
      <c r="O38" s="87"/>
      <c r="P38" s="87"/>
      <c r="Q38" s="87"/>
      <c r="R38" s="87"/>
      <c r="S38" s="87"/>
      <c r="T38" s="87"/>
      <c r="U38" s="87"/>
      <c r="V38" s="87"/>
    </row>
    <row r="39" spans="1:22">
      <c r="A39" s="87"/>
      <c r="B39" s="87"/>
      <c r="C39" s="87"/>
      <c r="D39" s="87"/>
      <c r="E39" s="87"/>
      <c r="F39" s="87"/>
      <c r="G39" s="87"/>
      <c r="H39" s="87"/>
      <c r="I39" s="87"/>
      <c r="J39" s="87"/>
      <c r="K39" s="87"/>
      <c r="L39" s="87"/>
      <c r="M39" s="87"/>
      <c r="N39" s="87"/>
      <c r="O39" s="87"/>
      <c r="P39" s="87"/>
      <c r="Q39" s="87"/>
      <c r="R39" s="87"/>
      <c r="S39" s="87"/>
      <c r="T39" s="87"/>
      <c r="U39" s="87"/>
      <c r="V39" s="87"/>
    </row>
    <row r="40" spans="1:22">
      <c r="A40" s="87"/>
      <c r="B40" s="87"/>
      <c r="C40" s="87"/>
      <c r="D40" s="87"/>
      <c r="E40" s="87"/>
      <c r="F40" s="87"/>
      <c r="G40" s="87"/>
      <c r="H40" s="87"/>
      <c r="I40" s="87"/>
      <c r="J40" s="87"/>
      <c r="K40" s="87"/>
      <c r="L40" s="87"/>
      <c r="M40" s="87"/>
      <c r="N40" s="87"/>
      <c r="O40" s="87"/>
      <c r="P40" s="87"/>
      <c r="Q40" s="87"/>
      <c r="R40" s="87"/>
      <c r="S40" s="87"/>
      <c r="T40" s="87"/>
      <c r="U40" s="87"/>
      <c r="V40" s="87"/>
    </row>
    <row r="41" spans="1:22">
      <c r="A41" s="87"/>
      <c r="B41" s="87"/>
      <c r="C41" s="87"/>
      <c r="D41" s="87"/>
      <c r="E41" s="87"/>
      <c r="F41" s="87"/>
      <c r="G41" s="87"/>
      <c r="H41" s="87"/>
      <c r="I41" s="87"/>
      <c r="J41" s="87"/>
      <c r="K41" s="87"/>
      <c r="L41" s="87"/>
      <c r="M41" s="87"/>
      <c r="N41" s="87"/>
      <c r="O41" s="87"/>
      <c r="P41" s="87"/>
      <c r="Q41" s="87"/>
      <c r="R41" s="87"/>
      <c r="S41" s="87"/>
      <c r="T41" s="87"/>
      <c r="U41" s="87"/>
      <c r="V41" s="87"/>
    </row>
    <row r="42" spans="1:22">
      <c r="A42" s="87"/>
      <c r="B42" s="87"/>
      <c r="C42" s="87"/>
      <c r="D42" s="87"/>
      <c r="E42" s="87"/>
      <c r="F42" s="87"/>
      <c r="G42" s="87"/>
      <c r="H42" s="87"/>
      <c r="I42" s="87"/>
      <c r="J42" s="87"/>
      <c r="K42" s="87"/>
      <c r="L42" s="87"/>
      <c r="M42" s="87"/>
      <c r="N42" s="87"/>
      <c r="O42" s="87"/>
      <c r="P42" s="87"/>
      <c r="Q42" s="87"/>
      <c r="R42" s="87"/>
      <c r="S42" s="87"/>
      <c r="T42" s="87"/>
      <c r="U42" s="87"/>
      <c r="V42" s="87"/>
    </row>
    <row r="43" spans="1:22">
      <c r="A43" s="87"/>
      <c r="B43" s="87"/>
      <c r="C43" s="87"/>
      <c r="D43" s="87"/>
      <c r="E43" s="87"/>
      <c r="F43" s="87"/>
      <c r="G43" s="87"/>
      <c r="H43" s="87"/>
      <c r="I43" s="87"/>
      <c r="J43" s="87"/>
      <c r="K43" s="87"/>
      <c r="L43" s="87"/>
      <c r="M43" s="87"/>
      <c r="N43" s="87"/>
      <c r="O43" s="87"/>
      <c r="P43" s="87"/>
      <c r="Q43" s="87"/>
      <c r="R43" s="87"/>
      <c r="S43" s="87"/>
      <c r="T43" s="87"/>
      <c r="U43" s="87"/>
      <c r="V43" s="87"/>
    </row>
    <row r="44" spans="1:22">
      <c r="A44" s="87"/>
      <c r="B44" s="87"/>
      <c r="C44" s="87"/>
      <c r="D44" s="87"/>
      <c r="E44" s="87"/>
      <c r="F44" s="87"/>
      <c r="G44" s="87"/>
      <c r="H44" s="87"/>
      <c r="I44" s="87"/>
      <c r="J44" s="87"/>
      <c r="K44" s="87"/>
      <c r="L44" s="87"/>
      <c r="M44" s="87"/>
      <c r="N44" s="87"/>
      <c r="O44" s="87"/>
      <c r="P44" s="87"/>
      <c r="Q44" s="87"/>
      <c r="R44" s="87"/>
      <c r="S44" s="87"/>
      <c r="T44" s="87"/>
      <c r="U44" s="87"/>
      <c r="V44" s="87"/>
    </row>
    <row r="45" spans="1:22">
      <c r="A45" s="87"/>
      <c r="B45" s="87"/>
      <c r="C45" s="87"/>
      <c r="D45" s="87"/>
      <c r="E45" s="87"/>
      <c r="F45" s="87"/>
      <c r="G45" s="87"/>
      <c r="H45" s="87"/>
      <c r="I45" s="87"/>
      <c r="J45" s="87"/>
      <c r="K45" s="87"/>
      <c r="L45" s="87"/>
      <c r="M45" s="87"/>
      <c r="N45" s="87"/>
      <c r="O45" s="87"/>
      <c r="P45" s="87"/>
      <c r="Q45" s="87"/>
      <c r="R45" s="87"/>
      <c r="S45" s="87"/>
      <c r="T45" s="87"/>
      <c r="U45" s="87"/>
      <c r="V45" s="87"/>
    </row>
    <row r="46" spans="1:22">
      <c r="A46" s="87"/>
      <c r="B46" s="87"/>
      <c r="C46" s="87"/>
      <c r="D46" s="87"/>
      <c r="E46" s="87"/>
      <c r="F46" s="87"/>
      <c r="G46" s="87"/>
      <c r="H46" s="87"/>
      <c r="I46" s="87"/>
      <c r="J46" s="87"/>
      <c r="K46" s="87"/>
      <c r="L46" s="87"/>
      <c r="M46" s="87"/>
      <c r="N46" s="87"/>
      <c r="O46" s="87"/>
      <c r="P46" s="87"/>
      <c r="Q46" s="87"/>
      <c r="R46" s="87"/>
      <c r="S46" s="87"/>
      <c r="T46" s="87"/>
      <c r="U46" s="87"/>
      <c r="V46" s="87"/>
    </row>
    <row r="47" spans="1:22">
      <c r="A47" s="87"/>
      <c r="B47" s="87"/>
      <c r="C47" s="87"/>
      <c r="D47" s="87"/>
      <c r="E47" s="87"/>
      <c r="F47" s="87"/>
      <c r="G47" s="87"/>
      <c r="H47" s="87"/>
      <c r="I47" s="87"/>
      <c r="J47" s="87"/>
      <c r="K47" s="87"/>
      <c r="L47" s="87"/>
      <c r="M47" s="87"/>
      <c r="N47" s="87"/>
      <c r="O47" s="87"/>
      <c r="P47" s="87"/>
      <c r="Q47" s="87"/>
      <c r="R47" s="87"/>
      <c r="S47" s="87"/>
      <c r="T47" s="87"/>
      <c r="U47" s="87"/>
      <c r="V47" s="87"/>
    </row>
    <row r="48" spans="1:22">
      <c r="A48" s="87"/>
      <c r="B48" s="87"/>
      <c r="C48" s="87"/>
      <c r="D48" s="87"/>
      <c r="E48" s="87"/>
      <c r="F48" s="87"/>
      <c r="G48" s="87"/>
      <c r="H48" s="87"/>
      <c r="I48" s="87"/>
      <c r="J48" s="87"/>
      <c r="K48" s="87"/>
      <c r="L48" s="87"/>
      <c r="M48" s="87"/>
      <c r="N48" s="87"/>
      <c r="O48" s="87"/>
      <c r="P48" s="87"/>
      <c r="Q48" s="87"/>
      <c r="R48" s="87"/>
      <c r="S48" s="87"/>
      <c r="T48" s="87"/>
      <c r="U48" s="87"/>
      <c r="V48" s="87"/>
    </row>
    <row r="49" spans="1:22">
      <c r="A49" s="87"/>
      <c r="B49" s="87"/>
      <c r="C49" s="87"/>
      <c r="D49" s="87"/>
      <c r="E49" s="87"/>
      <c r="F49" s="87"/>
      <c r="G49" s="87"/>
      <c r="H49" s="87"/>
      <c r="I49" s="87"/>
      <c r="J49" s="87"/>
      <c r="K49" s="87"/>
      <c r="L49" s="87"/>
      <c r="M49" s="87"/>
      <c r="N49" s="87"/>
      <c r="O49" s="87"/>
      <c r="P49" s="87"/>
      <c r="Q49" s="87"/>
      <c r="R49" s="87"/>
      <c r="S49" s="87"/>
      <c r="T49" s="87"/>
      <c r="U49" s="87"/>
      <c r="V49" s="87"/>
    </row>
    <row r="50" spans="1:22">
      <c r="A50" s="87"/>
      <c r="B50" s="87"/>
      <c r="C50" s="87"/>
      <c r="D50" s="87"/>
      <c r="E50" s="87"/>
      <c r="F50" s="87"/>
      <c r="G50" s="87"/>
      <c r="H50" s="87"/>
      <c r="I50" s="87"/>
      <c r="J50" s="87"/>
      <c r="K50" s="87"/>
      <c r="L50" s="87"/>
      <c r="M50" s="87"/>
      <c r="N50" s="87"/>
      <c r="O50" s="87"/>
      <c r="P50" s="87"/>
      <c r="Q50" s="87"/>
      <c r="R50" s="87"/>
      <c r="S50" s="87"/>
      <c r="T50" s="87"/>
      <c r="U50" s="87"/>
      <c r="V50" s="87"/>
    </row>
    <row r="51" spans="1:22">
      <c r="A51" s="87"/>
      <c r="B51" s="87"/>
      <c r="C51" s="87"/>
      <c r="D51" s="87"/>
      <c r="E51" s="87"/>
      <c r="F51" s="87"/>
      <c r="G51" s="87"/>
      <c r="H51" s="87"/>
      <c r="I51" s="87"/>
      <c r="J51" s="87"/>
      <c r="K51" s="87"/>
      <c r="L51" s="87"/>
      <c r="M51" s="87"/>
      <c r="N51" s="87"/>
      <c r="O51" s="87"/>
      <c r="P51" s="87"/>
      <c r="Q51" s="87"/>
      <c r="R51" s="87"/>
      <c r="S51" s="87"/>
      <c r="T51" s="87"/>
      <c r="U51" s="87"/>
      <c r="V51" s="87"/>
    </row>
    <row r="52" spans="1:22">
      <c r="A52" s="87"/>
      <c r="B52" s="87"/>
      <c r="C52" s="87"/>
      <c r="D52" s="87"/>
      <c r="E52" s="87"/>
      <c r="F52" s="87"/>
      <c r="G52" s="87"/>
      <c r="H52" s="87"/>
      <c r="I52" s="87"/>
      <c r="J52" s="87"/>
      <c r="K52" s="87"/>
      <c r="L52" s="87"/>
      <c r="M52" s="87"/>
      <c r="N52" s="87"/>
      <c r="O52" s="87"/>
      <c r="P52" s="87"/>
      <c r="Q52" s="87"/>
      <c r="R52" s="87"/>
      <c r="S52" s="87"/>
      <c r="T52" s="87"/>
      <c r="U52" s="87"/>
      <c r="V52" s="87"/>
    </row>
    <row r="53" spans="1:22">
      <c r="A53" s="87"/>
      <c r="B53" s="87"/>
      <c r="C53" s="87"/>
      <c r="D53" s="87"/>
      <c r="E53" s="87"/>
      <c r="F53" s="87"/>
      <c r="G53" s="87"/>
      <c r="H53" s="87"/>
      <c r="I53" s="87"/>
      <c r="J53" s="87"/>
      <c r="K53" s="87"/>
      <c r="L53" s="87"/>
      <c r="M53" s="87"/>
      <c r="N53" s="87"/>
      <c r="O53" s="87"/>
      <c r="P53" s="87"/>
      <c r="Q53" s="87"/>
      <c r="R53" s="87"/>
      <c r="S53" s="87"/>
      <c r="T53" s="87"/>
      <c r="U53" s="87"/>
      <c r="V53" s="87"/>
    </row>
    <row r="54" spans="1:22">
      <c r="A54" s="87"/>
      <c r="B54" s="87"/>
      <c r="C54" s="87"/>
      <c r="D54" s="87"/>
      <c r="E54" s="87"/>
      <c r="F54" s="87"/>
      <c r="G54" s="87"/>
      <c r="H54" s="87"/>
      <c r="I54" s="87"/>
      <c r="J54" s="87"/>
      <c r="K54" s="87"/>
      <c r="L54" s="87"/>
      <c r="M54" s="87"/>
      <c r="N54" s="87"/>
      <c r="O54" s="87"/>
      <c r="P54" s="87"/>
      <c r="Q54" s="87"/>
      <c r="R54" s="87"/>
      <c r="S54" s="87"/>
      <c r="T54" s="87"/>
      <c r="U54" s="87"/>
      <c r="V54" s="87"/>
    </row>
    <row r="55" spans="1:22">
      <c r="A55" s="87"/>
      <c r="B55" s="87"/>
      <c r="C55" s="87"/>
      <c r="D55" s="87"/>
      <c r="E55" s="87"/>
      <c r="F55" s="87"/>
      <c r="G55" s="87"/>
      <c r="H55" s="87"/>
      <c r="I55" s="87"/>
      <c r="J55" s="87"/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</row>
    <row r="56" spans="1:22">
      <c r="A56" s="87"/>
      <c r="B56" s="87"/>
      <c r="C56" s="87"/>
      <c r="D56" s="87"/>
      <c r="E56" s="87"/>
      <c r="F56" s="87"/>
      <c r="G56" s="87"/>
      <c r="H56" s="87"/>
      <c r="I56" s="87"/>
      <c r="J56" s="87"/>
      <c r="K56" s="87"/>
      <c r="L56" s="87"/>
      <c r="M56" s="87"/>
      <c r="N56" s="87"/>
      <c r="O56" s="87"/>
      <c r="P56" s="87"/>
      <c r="Q56" s="87"/>
      <c r="R56" s="87"/>
      <c r="S56" s="87"/>
      <c r="T56" s="87"/>
      <c r="U56" s="87"/>
      <c r="V56" s="87"/>
    </row>
    <row r="57" spans="1:22">
      <c r="A57" s="87"/>
      <c r="B57" s="87"/>
      <c r="C57" s="87"/>
      <c r="D57" s="87"/>
      <c r="E57" s="87"/>
      <c r="F57" s="87"/>
      <c r="G57" s="87"/>
      <c r="H57" s="87"/>
      <c r="I57" s="87"/>
      <c r="J57" s="87"/>
      <c r="K57" s="87"/>
      <c r="L57" s="87"/>
      <c r="M57" s="87"/>
      <c r="N57" s="87"/>
      <c r="O57" s="87"/>
      <c r="P57" s="87"/>
      <c r="Q57" s="87"/>
      <c r="R57" s="87"/>
      <c r="S57" s="87"/>
      <c r="T57" s="87"/>
      <c r="U57" s="87"/>
      <c r="V57" s="87"/>
    </row>
    <row r="58" spans="1:22">
      <c r="A58" s="87"/>
      <c r="B58" s="87"/>
      <c r="C58" s="87"/>
      <c r="D58" s="87"/>
      <c r="E58" s="87"/>
      <c r="F58" s="87"/>
      <c r="G58" s="87"/>
      <c r="H58" s="87"/>
      <c r="I58" s="87"/>
      <c r="J58" s="87"/>
      <c r="K58" s="87"/>
      <c r="L58" s="87"/>
      <c r="M58" s="87"/>
      <c r="N58" s="87"/>
      <c r="O58" s="87"/>
      <c r="P58" s="87"/>
      <c r="Q58" s="87"/>
      <c r="R58" s="87"/>
      <c r="S58" s="87"/>
      <c r="T58" s="87"/>
      <c r="U58" s="87"/>
      <c r="V58" s="87"/>
    </row>
    <row r="59" spans="1:22">
      <c r="A59" s="87"/>
      <c r="B59" s="87"/>
      <c r="C59" s="87"/>
      <c r="D59" s="87"/>
      <c r="E59" s="87"/>
      <c r="F59" s="87"/>
      <c r="G59" s="87"/>
      <c r="H59" s="87"/>
      <c r="I59" s="87"/>
      <c r="J59" s="87"/>
      <c r="K59" s="87"/>
      <c r="L59" s="87"/>
      <c r="M59" s="87"/>
      <c r="N59" s="87"/>
      <c r="O59" s="87"/>
      <c r="P59" s="87"/>
      <c r="Q59" s="87"/>
      <c r="R59" s="87"/>
      <c r="S59" s="87"/>
      <c r="T59" s="87"/>
      <c r="U59" s="87"/>
      <c r="V59" s="87"/>
    </row>
    <row r="71" spans="1:9">
      <c r="B71" s="170" t="s">
        <v>88</v>
      </c>
      <c r="C71" s="170" t="s">
        <v>89</v>
      </c>
      <c r="D71" s="170" t="s">
        <v>90</v>
      </c>
      <c r="E71" s="170" t="s">
        <v>91</v>
      </c>
      <c r="F71" s="170" t="s">
        <v>92</v>
      </c>
      <c r="G71" s="170" t="s">
        <v>93</v>
      </c>
      <c r="H71" s="170" t="s">
        <v>94</v>
      </c>
      <c r="I71" s="170" t="s">
        <v>95</v>
      </c>
    </row>
    <row r="72" spans="1:9">
      <c r="A72" t="str">
        <f>V.Poor!Q7</f>
        <v>Own crops Consumed</v>
      </c>
      <c r="B72" s="109">
        <f>V.Poor!R7</f>
        <v>3455.8792739655614</v>
      </c>
      <c r="C72" s="109">
        <f>Poor!R7</f>
        <v>5518.8805377167355</v>
      </c>
      <c r="D72" s="109">
        <f>Middle!R7</f>
        <v>5826.549801134769</v>
      </c>
      <c r="E72" s="109">
        <f>Rich!R7</f>
        <v>5853.1594742804473</v>
      </c>
      <c r="F72" s="109">
        <f>V.Poor!T7</f>
        <v>4523.7126263254277</v>
      </c>
      <c r="G72" s="109">
        <f>Poor!T7</f>
        <v>8186.0977148473385</v>
      </c>
      <c r="H72" s="109">
        <f>Middle!T7</f>
        <v>8895.0557632413274</v>
      </c>
      <c r="I72" s="109">
        <f>Rich!T7</f>
        <v>6437.0636881233486</v>
      </c>
    </row>
    <row r="73" spans="1:9">
      <c r="A73" t="str">
        <f>V.Poor!Q8</f>
        <v>Own crops sold</v>
      </c>
      <c r="B73" s="109">
        <f>V.Poor!R8</f>
        <v>1172.1426801018094</v>
      </c>
      <c r="C73" s="109">
        <f>Poor!R8</f>
        <v>2245.6251094915315</v>
      </c>
      <c r="D73" s="109">
        <f>Middle!R8</f>
        <v>22480.232477817626</v>
      </c>
      <c r="E73" s="109">
        <f>Rich!R8</f>
        <v>36140.364759779412</v>
      </c>
      <c r="F73" s="109">
        <f>V.Poor!T8</f>
        <v>0</v>
      </c>
      <c r="G73" s="109">
        <f>Poor!T8</f>
        <v>0</v>
      </c>
      <c r="H73" s="109">
        <f>Middle!T8</f>
        <v>20239.935551658353</v>
      </c>
      <c r="I73" s="109">
        <f>Rich!T8</f>
        <v>35466.534148872699</v>
      </c>
    </row>
    <row r="74" spans="1:9">
      <c r="A74" t="str">
        <f>V.Poor!Q9</f>
        <v>Animal products consumed</v>
      </c>
      <c r="B74" s="109">
        <f>V.Poor!R9</f>
        <v>573.66831497016756</v>
      </c>
      <c r="C74" s="109">
        <f>Poor!R9</f>
        <v>1129.676859632458</v>
      </c>
      <c r="D74" s="109">
        <f>Middle!R9</f>
        <v>1459.2244439662368</v>
      </c>
      <c r="E74" s="109">
        <f>Rich!R9</f>
        <v>2403.4795915096111</v>
      </c>
      <c r="F74" s="109">
        <f>V.Poor!T9</f>
        <v>321.40113045639407</v>
      </c>
      <c r="G74" s="109">
        <f>Poor!T9</f>
        <v>632.90826817789718</v>
      </c>
      <c r="H74" s="109">
        <f>Middle!T9</f>
        <v>817.53928819432997</v>
      </c>
      <c r="I74" s="109">
        <f>Rich!T9</f>
        <v>1346.563924800749</v>
      </c>
    </row>
    <row r="75" spans="1:9">
      <c r="A75" t="str">
        <f>V.Poor!Q10</f>
        <v>Animal products sold</v>
      </c>
      <c r="B75" s="109">
        <f>V.Poor!R10</f>
        <v>0</v>
      </c>
      <c r="C75" s="109">
        <f>Poor!R10</f>
        <v>0</v>
      </c>
      <c r="D75" s="109">
        <f>Middle!R10</f>
        <v>0</v>
      </c>
      <c r="E75" s="109">
        <f>Rich!R10</f>
        <v>0</v>
      </c>
      <c r="F75" s="109">
        <f>V.Poor!T10</f>
        <v>0</v>
      </c>
      <c r="G75" s="109">
        <f>Poor!T10</f>
        <v>0</v>
      </c>
      <c r="H75" s="109">
        <f>Middle!T10</f>
        <v>0</v>
      </c>
      <c r="I75" s="109">
        <f>Rich!T10</f>
        <v>0</v>
      </c>
    </row>
    <row r="76" spans="1:9">
      <c r="A76" t="str">
        <f>V.Poor!Q11</f>
        <v>Animals sold</v>
      </c>
      <c r="B76" s="109">
        <f>V.Poor!R11</f>
        <v>0</v>
      </c>
      <c r="C76" s="109">
        <f>Poor!R11</f>
        <v>5786.8409242296002</v>
      </c>
      <c r="D76" s="109">
        <f>Middle!R11</f>
        <v>17821.954030550129</v>
      </c>
      <c r="E76" s="109">
        <f>Rich!R11</f>
        <v>31091.652569821865</v>
      </c>
      <c r="F76" s="109">
        <f>V.Poor!T11</f>
        <v>0</v>
      </c>
      <c r="G76" s="109">
        <f>Poor!T11</f>
        <v>2932.6933333333332</v>
      </c>
      <c r="H76" s="109">
        <f>Middle!T11</f>
        <v>12000.847399437745</v>
      </c>
      <c r="I76" s="109">
        <f>Rich!T11</f>
        <v>20149.271357736969</v>
      </c>
    </row>
    <row r="77" spans="1:9">
      <c r="A77" t="str">
        <f>V.Poor!Q12</f>
        <v>Wild foods consumed and sold</v>
      </c>
      <c r="B77" s="109">
        <f>V.Poor!R12</f>
        <v>657.73500474724642</v>
      </c>
      <c r="C77" s="109">
        <f>Poor!R12</f>
        <v>1143.6735530306601</v>
      </c>
      <c r="D77" s="109">
        <f>Middle!R12</f>
        <v>0</v>
      </c>
      <c r="E77" s="109">
        <f>Rich!R12</f>
        <v>0</v>
      </c>
      <c r="F77" s="109">
        <f>V.Poor!T12</f>
        <v>855.49999999999989</v>
      </c>
      <c r="G77" s="109">
        <f>Poor!T12</f>
        <v>1784.75</v>
      </c>
      <c r="H77" s="109">
        <f>Middle!T12</f>
        <v>0</v>
      </c>
      <c r="I77" s="109">
        <f>Rich!T12</f>
        <v>0</v>
      </c>
    </row>
    <row r="78" spans="1:9">
      <c r="A78" t="str">
        <f>V.Poor!Q13</f>
        <v>Labour - casual</v>
      </c>
      <c r="B78" s="109">
        <f>V.Poor!R13</f>
        <v>8001.6947213180993</v>
      </c>
      <c r="C78" s="109">
        <f>Poor!R13</f>
        <v>14295.536306671656</v>
      </c>
      <c r="D78" s="109">
        <f>Middle!R13</f>
        <v>0</v>
      </c>
      <c r="E78" s="109">
        <f>Rich!R13</f>
        <v>0</v>
      </c>
      <c r="F78" s="109">
        <f>V.Poor!T13</f>
        <v>6316.3953735891346</v>
      </c>
      <c r="G78" s="109">
        <f>Poor!T13</f>
        <v>10357.754743918073</v>
      </c>
      <c r="H78" s="109">
        <f>Middle!T13</f>
        <v>0</v>
      </c>
      <c r="I78" s="109">
        <f>Rich!T13</f>
        <v>0</v>
      </c>
    </row>
    <row r="79" spans="1:9">
      <c r="A79" t="str">
        <f>V.Poor!Q14</f>
        <v>Labour - formal emp</v>
      </c>
      <c r="B79" s="109">
        <f>V.Poor!R14</f>
        <v>0</v>
      </c>
      <c r="C79" s="109">
        <f>Poor!R14</f>
        <v>12958.361287557693</v>
      </c>
      <c r="D79" s="109">
        <f>Middle!R14</f>
        <v>44596.9576779583</v>
      </c>
      <c r="E79" s="109">
        <f>Rich!R14</f>
        <v>212045.91197821681</v>
      </c>
      <c r="F79" s="109">
        <f>V.Poor!T14</f>
        <v>0</v>
      </c>
      <c r="G79" s="109">
        <f>Poor!T14</f>
        <v>8307.1999999999989</v>
      </c>
      <c r="H79" s="109">
        <f>Middle!T14</f>
        <v>28589.714285714286</v>
      </c>
      <c r="I79" s="109">
        <f>Rich!T14</f>
        <v>135936</v>
      </c>
    </row>
    <row r="80" spans="1:9">
      <c r="A80" t="str">
        <f>V.Poor!Q15</f>
        <v>Labour - public works</v>
      </c>
      <c r="B80" s="109">
        <f>V.Poor!R15</f>
        <v>5094.9920516988204</v>
      </c>
      <c r="C80" s="109">
        <f>Poor!R15</f>
        <v>4025.4363984568422</v>
      </c>
      <c r="D80" s="109">
        <f>Middle!R15</f>
        <v>2243.8720844255745</v>
      </c>
      <c r="E80" s="109">
        <f>Rich!R15</f>
        <v>0</v>
      </c>
      <c r="F80" s="109">
        <f>V.Poor!T15</f>
        <v>4082.8</v>
      </c>
      <c r="G80" s="109">
        <f>Poor!T15</f>
        <v>3225.7266666666665</v>
      </c>
      <c r="H80" s="109">
        <f>Middle!T15</f>
        <v>1798.0952380952383</v>
      </c>
      <c r="I80" s="109">
        <f>Rich!T15</f>
        <v>0</v>
      </c>
    </row>
    <row r="81" spans="1:9">
      <c r="A81" t="str">
        <f>V.Poor!Q16</f>
        <v>Self - employment</v>
      </c>
      <c r="B81" s="109">
        <f>V.Poor!R16</f>
        <v>1125.0213663288723</v>
      </c>
      <c r="C81" s="109">
        <f>Poor!R16</f>
        <v>6238.6656047294809</v>
      </c>
      <c r="D81" s="109">
        <f>Middle!R16</f>
        <v>673.16162532767248</v>
      </c>
      <c r="E81" s="109">
        <f>Rich!R16</f>
        <v>0</v>
      </c>
      <c r="F81" s="109">
        <f>V.Poor!T16</f>
        <v>733.43999999999994</v>
      </c>
      <c r="G81" s="109">
        <f>Poor!T16</f>
        <v>4067.2</v>
      </c>
      <c r="H81" s="109">
        <f>Middle!T16</f>
        <v>380.66111733278029</v>
      </c>
      <c r="I81" s="109">
        <f>Rich!T16</f>
        <v>0</v>
      </c>
    </row>
    <row r="82" spans="1:9">
      <c r="A82" t="str">
        <f>V.Poor!Q17</f>
        <v>Small business/petty trading</v>
      </c>
      <c r="B82" s="109">
        <f>V.Poor!R17</f>
        <v>0</v>
      </c>
      <c r="C82" s="109">
        <f>Poor!R17</f>
        <v>1413.639413188112</v>
      </c>
      <c r="D82" s="109">
        <f>Middle!R17</f>
        <v>60360.159071047958</v>
      </c>
      <c r="E82" s="109">
        <f>Rich!R17</f>
        <v>56619.624306310536</v>
      </c>
      <c r="F82" s="109">
        <f>V.Poor!T17</f>
        <v>0</v>
      </c>
      <c r="G82" s="109">
        <f>Poor!T17</f>
        <v>906.2399999999999</v>
      </c>
      <c r="H82" s="109">
        <f>Middle!T17</f>
        <v>38695.009523809524</v>
      </c>
      <c r="I82" s="109">
        <f>Rich!T17</f>
        <v>36297.069714285717</v>
      </c>
    </row>
    <row r="83" spans="1:9">
      <c r="A83" t="str">
        <f>V.Poor!Q18</f>
        <v>Food transfer - official</v>
      </c>
      <c r="B83" s="109">
        <f>V.Poor!R18</f>
        <v>1674.9399602351389</v>
      </c>
      <c r="C83" s="109">
        <f>Poor!R18</f>
        <v>1577.6493338294108</v>
      </c>
      <c r="D83" s="109">
        <f>Middle!R18</f>
        <v>667.85464453449299</v>
      </c>
      <c r="E83" s="109">
        <f>Rich!R18</f>
        <v>667.85464453449299</v>
      </c>
      <c r="F83" s="109">
        <f>V.Poor!T18</f>
        <v>1876.7904122233276</v>
      </c>
      <c r="G83" s="109">
        <f>Poor!T18</f>
        <v>1767.7750927656448</v>
      </c>
      <c r="H83" s="109">
        <f>Middle!T18</f>
        <v>748.33917834594592</v>
      </c>
      <c r="I83" s="109">
        <f>Rich!T18</f>
        <v>748.33917834594592</v>
      </c>
    </row>
    <row r="84" spans="1:9">
      <c r="A84" t="str">
        <f>V.Poor!Q19</f>
        <v>Food transfer - gifts</v>
      </c>
      <c r="B84" s="109">
        <f>V.Poor!R19</f>
        <v>151.40236618610371</v>
      </c>
      <c r="C84" s="109">
        <f>Poor!R19</f>
        <v>83.384828497193368</v>
      </c>
      <c r="D84" s="109">
        <f>Middle!R19</f>
        <v>47.648473426967655</v>
      </c>
      <c r="E84" s="109">
        <f>Rich!R19</f>
        <v>0</v>
      </c>
      <c r="F84" s="109">
        <f>V.Poor!T19</f>
        <v>169.64817604931577</v>
      </c>
      <c r="G84" s="109">
        <f>Poor!T19</f>
        <v>93.433705305143675</v>
      </c>
      <c r="H84" s="109">
        <f>Middle!T19</f>
        <v>53.390688745796396</v>
      </c>
      <c r="I84" s="109">
        <f>Rich!T19</f>
        <v>0</v>
      </c>
    </row>
    <row r="85" spans="1:9">
      <c r="A85" t="str">
        <f>V.Poor!Q20</f>
        <v>Cash transfer - official</v>
      </c>
      <c r="B85" s="109">
        <f>V.Poor!R20</f>
        <v>31983.591723381032</v>
      </c>
      <c r="C85" s="109">
        <f>Poor!R20</f>
        <v>31983.591723381032</v>
      </c>
      <c r="D85" s="109">
        <f>Middle!R20</f>
        <v>13328.600181487915</v>
      </c>
      <c r="E85" s="109">
        <f>Rich!R20</f>
        <v>13328.600181487915</v>
      </c>
      <c r="F85" s="109">
        <f>V.Poor!T20</f>
        <v>0</v>
      </c>
      <c r="G85" s="109">
        <f>Poor!T20</f>
        <v>0</v>
      </c>
      <c r="H85" s="109">
        <f>Middle!T20</f>
        <v>0</v>
      </c>
      <c r="I85" s="109">
        <f>Rich!T20</f>
        <v>0</v>
      </c>
    </row>
    <row r="86" spans="1:9">
      <c r="A86" t="str">
        <f>V.Poor!Q21</f>
        <v>Cash transfer - gifts</v>
      </c>
      <c r="B86" s="109">
        <f>V.Poor!R21</f>
        <v>0</v>
      </c>
      <c r="C86" s="109">
        <f>Poor!R21</f>
        <v>3092.3362163489946</v>
      </c>
      <c r="D86" s="109">
        <f>Middle!R21</f>
        <v>2468.2592928681324</v>
      </c>
      <c r="E86" s="109">
        <f>Rich!R21</f>
        <v>6731.6162532767248</v>
      </c>
      <c r="F86" s="109">
        <f>V.Poor!T21</f>
        <v>0</v>
      </c>
      <c r="G86" s="109">
        <f>Poor!T21</f>
        <v>2331</v>
      </c>
      <c r="H86" s="109">
        <f>Middle!T21</f>
        <v>1860.5714285714291</v>
      </c>
      <c r="I86" s="109">
        <f>Rich!T21</f>
        <v>5074.2857142857156</v>
      </c>
    </row>
    <row r="87" spans="1:9">
      <c r="A87" t="str">
        <f>V.Poor!Q22</f>
        <v>Other</v>
      </c>
      <c r="B87" s="109">
        <f>V.Poor!R22</f>
        <v>0</v>
      </c>
      <c r="C87" s="109">
        <f>Poor!R22</f>
        <v>0</v>
      </c>
      <c r="D87" s="109">
        <f>Middle!R22</f>
        <v>4712.1313772937074</v>
      </c>
      <c r="E87" s="109">
        <f>Rich!R22</f>
        <v>3635.0727767694311</v>
      </c>
      <c r="F87" s="109">
        <f>V.Poor!T22</f>
        <v>0</v>
      </c>
      <c r="G87" s="109">
        <f>Poor!T22</f>
        <v>0</v>
      </c>
      <c r="H87" s="109">
        <f>Middle!T22</f>
        <v>3200</v>
      </c>
      <c r="I87" s="109">
        <f>Rich!T22</f>
        <v>2468.5714285714284</v>
      </c>
    </row>
    <row r="88" spans="1:9">
      <c r="A88" t="str">
        <f>V.Poor!Q23</f>
        <v>TOTAL</v>
      </c>
      <c r="B88" s="109">
        <f>V.Poor!R23</f>
        <v>53891.067462932857</v>
      </c>
      <c r="C88" s="109">
        <f>Poor!R23</f>
        <v>91493.298096761384</v>
      </c>
      <c r="D88" s="109">
        <f>Middle!R23</f>
        <v>176686.60518183949</v>
      </c>
      <c r="E88" s="109">
        <f>Rich!R23</f>
        <v>368517.33653598721</v>
      </c>
      <c r="F88" s="109">
        <f>V.Poor!T23</f>
        <v>18879.687718643596</v>
      </c>
      <c r="G88" s="109">
        <f>Poor!T23</f>
        <v>44592.779525014092</v>
      </c>
      <c r="H88" s="109">
        <f>Middle!T23</f>
        <v>117279.15946314677</v>
      </c>
      <c r="I88" s="109">
        <f>Rich!T23</f>
        <v>243923.69915502256</v>
      </c>
    </row>
    <row r="89" spans="1:9">
      <c r="A89" t="str">
        <f>V.Poor!Q24</f>
        <v>Food Poverty line</v>
      </c>
      <c r="B89" s="109">
        <f>V.Poor!R24</f>
        <v>40474.951687871187</v>
      </c>
      <c r="C89" s="109">
        <f>Poor!R24</f>
        <v>40474.951687871187</v>
      </c>
      <c r="D89" s="109">
        <f>Middle!R24</f>
        <v>40474.951687871129</v>
      </c>
      <c r="E89" s="109">
        <f>Rich!R24</f>
        <v>40474.951687871129</v>
      </c>
      <c r="F89" s="109">
        <f>V.Poor!T24</f>
        <v>40474.951687871187</v>
      </c>
      <c r="G89" s="109">
        <f>Poor!T24</f>
        <v>40474.951687871187</v>
      </c>
      <c r="H89" s="109">
        <f>Middle!T24</f>
        <v>40474.951687871129</v>
      </c>
      <c r="I89" s="109">
        <f>Rich!T24</f>
        <v>40474.951687871129</v>
      </c>
    </row>
    <row r="90" spans="1:9">
      <c r="A90" s="108" t="str">
        <f>V.Poor!Q25</f>
        <v>Lower Bound Poverty line</v>
      </c>
      <c r="B90" s="109">
        <f>V.Poor!R25</f>
        <v>59912.96057676011</v>
      </c>
      <c r="C90" s="109">
        <f>Poor!R25</f>
        <v>59912.96057676011</v>
      </c>
      <c r="D90" s="109">
        <f>Middle!R25</f>
        <v>59912.960576760015</v>
      </c>
      <c r="E90" s="109">
        <f>Rich!R25</f>
        <v>59912.960576760015</v>
      </c>
      <c r="F90" s="109">
        <f>V.Poor!T25</f>
        <v>59912.96057676011</v>
      </c>
      <c r="G90" s="109">
        <f>Poor!T25</f>
        <v>59912.96057676011</v>
      </c>
      <c r="H90" s="109">
        <f>Middle!T25</f>
        <v>59912.960576760015</v>
      </c>
      <c r="I90" s="109">
        <f>Rich!T25</f>
        <v>59912.960576760015</v>
      </c>
    </row>
    <row r="91" spans="1:9">
      <c r="A91" s="108" t="str">
        <f>V.Poor!Q26</f>
        <v>Upper Bound Poverty line</v>
      </c>
      <c r="B91" s="109">
        <f>V.Poor!R26</f>
        <v>94209.829148188684</v>
      </c>
      <c r="C91" s="109">
        <f>Poor!R26</f>
        <v>94209.829148188684</v>
      </c>
      <c r="D91" s="109">
        <f>Middle!R26</f>
        <v>94209.829148188597</v>
      </c>
      <c r="E91" s="109">
        <f>Rich!R26</f>
        <v>94209.829148188597</v>
      </c>
      <c r="F91" s="109">
        <f>V.Poor!T26</f>
        <v>94209.829148188684</v>
      </c>
      <c r="G91" s="109">
        <f>Poor!T26</f>
        <v>94209.829148188684</v>
      </c>
      <c r="H91" s="109">
        <f>Middle!T26</f>
        <v>94209.829148188597</v>
      </c>
      <c r="I91" s="109">
        <f>Rich!T26</f>
        <v>94209.829148188597</v>
      </c>
    </row>
    <row r="92" spans="1:9">
      <c r="A92" s="108" t="str">
        <f>V.Poor!Q27</f>
        <v>Resilience line</v>
      </c>
      <c r="B92" s="109">
        <f>V.Poor!R27</f>
        <v>0</v>
      </c>
      <c r="C92" s="109">
        <f>Poor!R27</f>
        <v>0</v>
      </c>
      <c r="D92" s="109">
        <f>Middle!R27</f>
        <v>0</v>
      </c>
      <c r="E92" s="109">
        <f>Rich!R27</f>
        <v>0</v>
      </c>
      <c r="F92" s="109">
        <f>V.Poor!T27</f>
        <v>0</v>
      </c>
      <c r="G92" s="109">
        <f>Poor!T27</f>
        <v>0</v>
      </c>
      <c r="H92" s="109">
        <f>Middle!T27</f>
        <v>0</v>
      </c>
      <c r="I92" s="109">
        <f>Rich!T27</f>
        <v>0</v>
      </c>
    </row>
    <row r="93" spans="1:9">
      <c r="A93" t="str">
        <f>V.Poor!Q24</f>
        <v>Food Poverty line</v>
      </c>
      <c r="F93" s="109">
        <f>V.Poor!T24</f>
        <v>40474.951687871187</v>
      </c>
      <c r="G93" s="109">
        <f>Poor!T24</f>
        <v>40474.951687871187</v>
      </c>
      <c r="H93" s="109">
        <f>Middle!T24</f>
        <v>40474.951687871129</v>
      </c>
      <c r="I93" s="109">
        <f>Rich!T24</f>
        <v>40474.951687871129</v>
      </c>
    </row>
    <row r="94" spans="1:9">
      <c r="A94" t="str">
        <f>V.Poor!Q25</f>
        <v>Lower Bound Poverty line</v>
      </c>
      <c r="F94" s="109">
        <f>V.Poor!T25</f>
        <v>59912.96057676011</v>
      </c>
      <c r="G94" s="109">
        <f>Poor!T25</f>
        <v>59912.96057676011</v>
      </c>
      <c r="H94" s="109">
        <f>Middle!T25</f>
        <v>59912.960576760015</v>
      </c>
      <c r="I94" s="109">
        <f>Rich!T25</f>
        <v>59912.960576760015</v>
      </c>
    </row>
    <row r="95" spans="1:9">
      <c r="A95" t="str">
        <f>V.Poor!Q26</f>
        <v>Upper Bound Poverty line</v>
      </c>
      <c r="F95" s="109">
        <f>V.Poor!T26</f>
        <v>94209.829148188684</v>
      </c>
      <c r="G95" s="109">
        <f>Poor!T26</f>
        <v>94209.829148188684</v>
      </c>
      <c r="H95" s="109">
        <f>Middle!T26</f>
        <v>94209.829148188597</v>
      </c>
      <c r="I95" s="109">
        <f>Rich!T26</f>
        <v>94209.829148188597</v>
      </c>
    </row>
    <row r="96" spans="1:9">
      <c r="A96" t="str">
        <f>V.Poor!Q27</f>
        <v>Resilience line</v>
      </c>
      <c r="F96" s="109">
        <f>V.Poor!T27</f>
        <v>0</v>
      </c>
      <c r="G96" s="109">
        <f>Poor!T27</f>
        <v>0</v>
      </c>
      <c r="H96" s="109">
        <f>Middle!T27</f>
        <v>0</v>
      </c>
      <c r="I96" s="109">
        <f>Rich!T27</f>
        <v>0</v>
      </c>
    </row>
    <row r="98" spans="1:9">
      <c r="A98" t="s">
        <v>141</v>
      </c>
      <c r="B98" s="239">
        <f>IF(B89&gt;B$88,B89-B$88,0)</f>
        <v>0</v>
      </c>
      <c r="C98" s="239">
        <f t="shared" ref="C98:I101" si="0">IF(C89&gt;C$88,C89-C$88,0)</f>
        <v>0</v>
      </c>
      <c r="D98" s="239">
        <f t="shared" si="0"/>
        <v>0</v>
      </c>
      <c r="E98" s="239">
        <f t="shared" si="0"/>
        <v>0</v>
      </c>
      <c r="F98" s="239">
        <f t="shared" si="0"/>
        <v>21595.263969227592</v>
      </c>
      <c r="G98" s="239">
        <f t="shared" si="0"/>
        <v>0</v>
      </c>
      <c r="H98" s="239">
        <f t="shared" si="0"/>
        <v>0</v>
      </c>
      <c r="I98" s="239">
        <f t="shared" si="0"/>
        <v>0</v>
      </c>
    </row>
    <row r="99" spans="1:9">
      <c r="A99" t="s">
        <v>142</v>
      </c>
      <c r="B99" s="239">
        <f>IF(B90&gt;B$88,B90-B$88,0)</f>
        <v>6021.8931138272528</v>
      </c>
      <c r="C99" s="239">
        <f t="shared" si="0"/>
        <v>0</v>
      </c>
      <c r="D99" s="239">
        <f t="shared" si="0"/>
        <v>0</v>
      </c>
      <c r="E99" s="239">
        <f t="shared" si="0"/>
        <v>0</v>
      </c>
      <c r="F99" s="239">
        <f t="shared" si="0"/>
        <v>41033.272858116514</v>
      </c>
      <c r="G99" s="239">
        <f t="shared" si="0"/>
        <v>15320.181051746018</v>
      </c>
      <c r="H99" s="239">
        <f t="shared" si="0"/>
        <v>0</v>
      </c>
      <c r="I99" s="239">
        <f t="shared" si="0"/>
        <v>0</v>
      </c>
    </row>
    <row r="100" spans="1:9">
      <c r="A100" t="s">
        <v>143</v>
      </c>
      <c r="B100" s="239">
        <f>IF(B91&gt;B$88,B91-B$88,0)</f>
        <v>40318.761685255828</v>
      </c>
      <c r="C100" s="239">
        <f t="shared" si="0"/>
        <v>2716.5310514273006</v>
      </c>
      <c r="D100" s="239">
        <f t="shared" si="0"/>
        <v>0</v>
      </c>
      <c r="E100" s="239">
        <f t="shared" si="0"/>
        <v>0</v>
      </c>
      <c r="F100" s="239">
        <f t="shared" si="0"/>
        <v>75330.141429545096</v>
      </c>
      <c r="G100" s="239">
        <f t="shared" si="0"/>
        <v>49617.049623174593</v>
      </c>
      <c r="H100" s="239">
        <f t="shared" si="0"/>
        <v>0</v>
      </c>
      <c r="I100" s="239">
        <f t="shared" si="0"/>
        <v>0</v>
      </c>
    </row>
    <row r="101" spans="1:9">
      <c r="A101" t="s">
        <v>144</v>
      </c>
      <c r="B101" s="239">
        <f>IF(B92&gt;B$88,B92-B$88,0)</f>
        <v>0</v>
      </c>
      <c r="C101" s="239">
        <f t="shared" si="0"/>
        <v>0</v>
      </c>
      <c r="D101" s="239">
        <f t="shared" si="0"/>
        <v>0</v>
      </c>
      <c r="E101" s="239">
        <f t="shared" si="0"/>
        <v>0</v>
      </c>
      <c r="F101" s="239">
        <f t="shared" si="0"/>
        <v>0</v>
      </c>
      <c r="G101" s="239">
        <f t="shared" si="0"/>
        <v>0</v>
      </c>
      <c r="H101" s="239">
        <f t="shared" si="0"/>
        <v>0</v>
      </c>
      <c r="I101" s="239">
        <f t="shared" si="0"/>
        <v>0</v>
      </c>
    </row>
  </sheetData>
  <mergeCells count="5">
    <mergeCell ref="R3:U3"/>
    <mergeCell ref="K2:Q2"/>
    <mergeCell ref="C3:E3"/>
    <mergeCell ref="G3:J3"/>
    <mergeCell ref="L3:P3"/>
  </mergeCells>
  <phoneticPr fontId="1" type="noConversion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8"/>
  <sheetViews>
    <sheetView zoomScale="75" workbookViewId="0">
      <selection activeCell="Z18" sqref="Z18"/>
    </sheetView>
  </sheetViews>
  <sheetFormatPr baseColWidth="10" defaultColWidth="8.7109375" defaultRowHeight="15" x14ac:dyDescent="0"/>
  <cols>
    <col min="5" max="5" width="13.28515625" customWidth="1"/>
  </cols>
  <sheetData>
    <row r="1" spans="1:22">
      <c r="A1" s="87"/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</row>
    <row r="2" spans="1:22" s="251" customFormat="1" ht="19">
      <c r="A2" s="248"/>
      <c r="B2" s="248"/>
      <c r="C2" s="248"/>
      <c r="D2" s="248"/>
      <c r="E2" s="248"/>
      <c r="F2" s="248"/>
      <c r="G2" s="246"/>
      <c r="H2" s="246"/>
      <c r="I2" s="246"/>
      <c r="J2" s="246"/>
      <c r="K2" s="264" t="str">
        <f>Poor!A1</f>
        <v>ZA3XX: 59300</v>
      </c>
      <c r="L2" s="264"/>
      <c r="M2" s="264"/>
      <c r="N2" s="264"/>
      <c r="O2" s="264"/>
      <c r="P2" s="264"/>
      <c r="Q2" s="264"/>
      <c r="R2" s="248"/>
      <c r="S2" s="248"/>
      <c r="T2" s="248"/>
      <c r="U2" s="248"/>
      <c r="V2" s="248"/>
    </row>
    <row r="3" spans="1:22" s="92" customFormat="1" ht="17">
      <c r="A3" s="90"/>
      <c r="B3" s="265" t="str">
        <f>V.Poor!A67</f>
        <v>Expenditure : Very Poor HHs</v>
      </c>
      <c r="C3" s="265"/>
      <c r="D3" s="265"/>
      <c r="E3" s="265"/>
      <c r="F3" s="250"/>
      <c r="G3" s="263" t="str">
        <f>Poor!A67</f>
        <v>Expenditure : Poor HHs</v>
      </c>
      <c r="H3" s="263"/>
      <c r="I3" s="263"/>
      <c r="J3" s="263"/>
      <c r="K3" s="246"/>
      <c r="L3" s="263" t="str">
        <f>Middle!A67</f>
        <v>Expenditure : Middle HHs</v>
      </c>
      <c r="M3" s="263"/>
      <c r="N3" s="263"/>
      <c r="O3" s="263"/>
      <c r="P3" s="263"/>
      <c r="Q3" s="247"/>
      <c r="R3" s="263" t="str">
        <f>Rich!A67</f>
        <v>Expenditure : Better-off HHs</v>
      </c>
      <c r="S3" s="263"/>
      <c r="T3" s="263"/>
      <c r="U3" s="263"/>
      <c r="V3" s="90"/>
    </row>
    <row r="4" spans="1:22">
      <c r="A4" s="87"/>
      <c r="B4" s="87"/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</row>
    <row r="5" spans="1:22">
      <c r="A5" s="87"/>
      <c r="B5" s="87"/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</row>
    <row r="6" spans="1:22">
      <c r="A6" s="87"/>
      <c r="B6" s="87"/>
      <c r="C6" s="87"/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</row>
    <row r="7" spans="1:22">
      <c r="A7" s="87"/>
      <c r="B7" s="87"/>
      <c r="C7" s="87"/>
      <c r="D7" s="87"/>
      <c r="E7" s="87"/>
      <c r="F7" s="87"/>
      <c r="G7" s="87"/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</row>
    <row r="8" spans="1:22">
      <c r="A8" s="87"/>
      <c r="B8" s="87"/>
      <c r="C8" s="87"/>
      <c r="D8" s="87"/>
      <c r="E8" s="87"/>
      <c r="F8" s="87"/>
      <c r="G8" s="87"/>
      <c r="H8" s="87"/>
      <c r="I8" s="87"/>
      <c r="J8" s="87"/>
      <c r="K8" s="87"/>
      <c r="L8" s="87"/>
      <c r="M8" s="87"/>
      <c r="N8" s="87"/>
      <c r="O8" s="87"/>
      <c r="P8" s="87"/>
      <c r="Q8" s="87"/>
      <c r="R8" s="87"/>
      <c r="S8" s="87"/>
      <c r="T8" s="87"/>
      <c r="U8" s="87"/>
      <c r="V8" s="87"/>
    </row>
    <row r="9" spans="1:22">
      <c r="A9" s="87"/>
      <c r="B9" s="87"/>
      <c r="C9" s="87"/>
      <c r="D9" s="87"/>
      <c r="E9" s="87"/>
      <c r="F9" s="87"/>
      <c r="G9" s="87"/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</row>
    <row r="10" spans="1:22">
      <c r="A10" s="87"/>
      <c r="B10" s="87"/>
      <c r="C10" s="87"/>
      <c r="D10" s="87"/>
      <c r="E10" s="87"/>
      <c r="F10" s="87"/>
      <c r="G10" s="87"/>
      <c r="H10" s="87"/>
      <c r="I10" s="87"/>
      <c r="J10" s="87"/>
      <c r="K10" s="87"/>
      <c r="L10" s="87"/>
      <c r="M10" s="87"/>
      <c r="N10" s="87"/>
      <c r="O10" s="87"/>
      <c r="P10" s="87"/>
      <c r="Q10" s="87"/>
      <c r="R10" s="87"/>
      <c r="S10" s="87"/>
      <c r="T10" s="87"/>
      <c r="U10" s="87"/>
      <c r="V10" s="87"/>
    </row>
    <row r="11" spans="1:22">
      <c r="A11" s="87"/>
      <c r="B11" s="87"/>
      <c r="C11" s="87"/>
      <c r="D11" s="87"/>
      <c r="E11" s="87"/>
      <c r="F11" s="87"/>
      <c r="G11" s="87"/>
      <c r="H11" s="87"/>
      <c r="I11" s="87"/>
      <c r="J11" s="87"/>
      <c r="K11" s="87"/>
      <c r="L11" s="87"/>
      <c r="M11" s="87"/>
      <c r="N11" s="87"/>
      <c r="O11" s="87"/>
      <c r="P11" s="87"/>
      <c r="Q11" s="87"/>
      <c r="R11" s="87"/>
      <c r="S11" s="87"/>
      <c r="T11" s="87"/>
      <c r="U11" s="87"/>
      <c r="V11" s="87"/>
    </row>
    <row r="12" spans="1:22">
      <c r="A12" s="87"/>
      <c r="B12" s="87"/>
      <c r="C12" s="87"/>
      <c r="D12" s="87"/>
      <c r="E12" s="87"/>
      <c r="F12" s="87"/>
      <c r="G12" s="87"/>
      <c r="H12" s="87"/>
      <c r="I12" s="87"/>
      <c r="J12" s="87"/>
      <c r="K12" s="87"/>
      <c r="L12" s="87"/>
      <c r="M12" s="87"/>
      <c r="N12" s="87"/>
      <c r="O12" s="87"/>
      <c r="P12" s="87"/>
      <c r="Q12" s="87"/>
      <c r="R12" s="87"/>
      <c r="S12" s="87"/>
      <c r="T12" s="87"/>
      <c r="U12" s="87"/>
      <c r="V12" s="87"/>
    </row>
    <row r="13" spans="1:22">
      <c r="A13" s="87"/>
      <c r="B13" s="87"/>
      <c r="C13" s="87"/>
      <c r="D13" s="87"/>
      <c r="E13" s="87"/>
      <c r="F13" s="87"/>
      <c r="G13" s="87"/>
      <c r="H13" s="87"/>
      <c r="I13" s="87"/>
      <c r="J13" s="87"/>
      <c r="K13" s="87"/>
      <c r="L13" s="87"/>
      <c r="M13" s="87"/>
      <c r="N13" s="87"/>
      <c r="O13" s="87"/>
      <c r="P13" s="87"/>
      <c r="Q13" s="87"/>
      <c r="R13" s="87"/>
      <c r="S13" s="87"/>
      <c r="T13" s="87"/>
      <c r="U13" s="87"/>
      <c r="V13" s="87"/>
    </row>
    <row r="14" spans="1:22">
      <c r="A14" s="87"/>
      <c r="B14" s="87"/>
      <c r="C14" s="87"/>
      <c r="D14" s="87"/>
      <c r="E14" s="87"/>
      <c r="F14" s="87"/>
      <c r="G14" s="87"/>
      <c r="H14" s="87"/>
      <c r="I14" s="87"/>
      <c r="J14" s="87"/>
      <c r="K14" s="87"/>
      <c r="L14" s="87"/>
      <c r="M14" s="87"/>
      <c r="N14" s="87"/>
      <c r="O14" s="87"/>
      <c r="P14" s="87"/>
      <c r="Q14" s="87"/>
      <c r="R14" s="87"/>
      <c r="S14" s="87"/>
      <c r="T14" s="87"/>
      <c r="U14" s="87"/>
      <c r="V14" s="87"/>
    </row>
    <row r="15" spans="1:22">
      <c r="A15" s="87"/>
      <c r="B15" s="87"/>
      <c r="C15" s="87"/>
      <c r="D15" s="87"/>
      <c r="E15" s="87"/>
      <c r="F15" s="87"/>
      <c r="G15" s="87"/>
      <c r="H15" s="87"/>
      <c r="I15" s="87"/>
      <c r="J15" s="87"/>
      <c r="K15" s="87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</row>
    <row r="16" spans="1:22">
      <c r="A16" s="87"/>
      <c r="B16" s="87"/>
      <c r="C16" s="87"/>
      <c r="D16" s="87"/>
      <c r="E16" s="87"/>
      <c r="F16" s="87"/>
      <c r="G16" s="87"/>
      <c r="H16" s="87"/>
      <c r="I16" s="87"/>
      <c r="J16" s="87"/>
      <c r="K16" s="87"/>
      <c r="L16" s="87"/>
      <c r="M16" s="87"/>
      <c r="N16" s="87"/>
      <c r="O16" s="87"/>
      <c r="P16" s="87"/>
      <c r="Q16" s="87"/>
      <c r="R16" s="87"/>
      <c r="S16" s="87"/>
      <c r="T16" s="87"/>
      <c r="U16" s="87"/>
      <c r="V16" s="87"/>
    </row>
    <row r="17" spans="1:22">
      <c r="A17" s="87"/>
      <c r="B17" s="87"/>
      <c r="C17" s="87"/>
      <c r="D17" s="87"/>
      <c r="E17" s="87"/>
      <c r="F17" s="87"/>
      <c r="G17" s="87"/>
      <c r="H17" s="87"/>
      <c r="I17" s="87"/>
      <c r="J17" s="87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7"/>
      <c r="V17" s="87"/>
    </row>
    <row r="18" spans="1:22">
      <c r="A18" s="87"/>
      <c r="B18" s="87"/>
      <c r="C18" s="87"/>
      <c r="D18" s="87"/>
      <c r="E18" s="87"/>
      <c r="F18" s="87"/>
      <c r="G18" s="87"/>
      <c r="H18" s="87"/>
      <c r="I18" s="87"/>
      <c r="J18" s="87"/>
      <c r="K18" s="87"/>
      <c r="L18" s="87"/>
      <c r="M18" s="87"/>
      <c r="N18" s="87"/>
      <c r="O18" s="87"/>
      <c r="P18" s="87"/>
      <c r="Q18" s="87"/>
      <c r="R18" s="87"/>
      <c r="S18" s="87"/>
      <c r="T18" s="87"/>
      <c r="U18" s="87"/>
      <c r="V18" s="87"/>
    </row>
    <row r="19" spans="1:22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7"/>
      <c r="M19" s="87"/>
      <c r="N19" s="87"/>
      <c r="O19" s="87"/>
      <c r="P19" s="87"/>
      <c r="Q19" s="87"/>
      <c r="R19" s="87"/>
      <c r="S19" s="87"/>
      <c r="T19" s="87"/>
      <c r="U19" s="87"/>
      <c r="V19" s="87"/>
    </row>
    <row r="20" spans="1:22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7"/>
      <c r="M20" s="87"/>
      <c r="N20" s="87"/>
      <c r="O20" s="87"/>
      <c r="P20" s="87"/>
      <c r="Q20" s="87"/>
      <c r="R20" s="87"/>
      <c r="S20" s="87"/>
      <c r="T20" s="87"/>
      <c r="U20" s="87"/>
      <c r="V20" s="87"/>
    </row>
    <row r="21" spans="1:22">
      <c r="A21" s="87"/>
      <c r="B21" s="87"/>
      <c r="C21" s="87"/>
      <c r="D21" s="87"/>
      <c r="E21" s="87"/>
      <c r="F21" s="87"/>
      <c r="G21" s="87"/>
      <c r="H21" s="87"/>
      <c r="I21" s="87"/>
      <c r="J21" s="87"/>
      <c r="K21" s="87"/>
      <c r="L21" s="87"/>
      <c r="M21" s="87"/>
      <c r="N21" s="87"/>
      <c r="O21" s="87"/>
      <c r="P21" s="87"/>
      <c r="Q21" s="87"/>
      <c r="R21" s="87"/>
      <c r="S21" s="87"/>
      <c r="T21" s="87"/>
      <c r="U21" s="87"/>
      <c r="V21" s="87"/>
    </row>
    <row r="22" spans="1:22">
      <c r="A22" s="87"/>
      <c r="B22" s="87"/>
      <c r="C22" s="87"/>
      <c r="D22" s="87"/>
      <c r="E22" s="87"/>
      <c r="F22" s="87"/>
      <c r="G22" s="87"/>
      <c r="H22" s="87"/>
      <c r="I22" s="87"/>
      <c r="J22" s="87"/>
      <c r="K22" s="87"/>
      <c r="L22" s="87"/>
      <c r="M22" s="87"/>
      <c r="N22" s="87"/>
      <c r="O22" s="87"/>
      <c r="P22" s="87"/>
      <c r="Q22" s="87"/>
      <c r="R22" s="87"/>
      <c r="S22" s="87"/>
      <c r="T22" s="87"/>
      <c r="U22" s="87"/>
      <c r="V22" s="87"/>
    </row>
    <row r="23" spans="1:22">
      <c r="A23" s="87"/>
      <c r="B23" s="87"/>
      <c r="C23" s="87"/>
      <c r="D23" s="87"/>
      <c r="E23" s="87"/>
      <c r="F23" s="87"/>
      <c r="G23" s="87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7"/>
      <c r="S23" s="87"/>
      <c r="T23" s="87"/>
      <c r="U23" s="87"/>
      <c r="V23" s="87"/>
    </row>
    <row r="24" spans="1:22">
      <c r="A24" s="87"/>
      <c r="B24" s="87"/>
      <c r="C24" s="87"/>
      <c r="D24" s="87"/>
      <c r="E24" s="87"/>
      <c r="F24" s="87"/>
      <c r="G24" s="87"/>
      <c r="H24" s="87"/>
      <c r="I24" s="87"/>
      <c r="J24" s="87"/>
      <c r="K24" s="87"/>
      <c r="L24" s="87"/>
      <c r="M24" s="87"/>
      <c r="N24" s="87"/>
      <c r="O24" s="87"/>
      <c r="P24" s="87"/>
      <c r="Q24" s="87"/>
      <c r="R24" s="87"/>
      <c r="S24" s="87"/>
      <c r="T24" s="87"/>
      <c r="U24" s="87"/>
      <c r="V24" s="87"/>
    </row>
    <row r="25" spans="1:22">
      <c r="A25" s="87"/>
      <c r="B25" s="87"/>
      <c r="C25" s="87"/>
      <c r="D25" s="87"/>
      <c r="E25" s="87"/>
      <c r="F25" s="87"/>
      <c r="G25" s="87"/>
      <c r="H25" s="87"/>
      <c r="I25" s="87"/>
      <c r="J25" s="87"/>
      <c r="K25" s="87"/>
      <c r="L25" s="87"/>
      <c r="M25" s="87"/>
      <c r="N25" s="87"/>
      <c r="O25" s="87"/>
      <c r="P25" s="87"/>
      <c r="Q25" s="87"/>
      <c r="R25" s="87"/>
      <c r="S25" s="87"/>
      <c r="T25" s="87"/>
      <c r="U25" s="87"/>
      <c r="V25" s="87"/>
    </row>
    <row r="26" spans="1:22">
      <c r="A26" s="87"/>
      <c r="B26" s="87"/>
      <c r="C26" s="87"/>
      <c r="D26" s="87"/>
      <c r="E26" s="87"/>
      <c r="F26" s="87"/>
      <c r="G26" s="87"/>
      <c r="H26" s="87"/>
      <c r="I26" s="87"/>
      <c r="J26" s="87"/>
      <c r="K26" s="87"/>
      <c r="L26" s="87"/>
      <c r="M26" s="87"/>
      <c r="N26" s="87"/>
      <c r="O26" s="87"/>
      <c r="P26" s="87"/>
      <c r="Q26" s="87"/>
      <c r="R26" s="87"/>
      <c r="S26" s="87"/>
      <c r="T26" s="87"/>
      <c r="U26" s="87"/>
      <c r="V26" s="87"/>
    </row>
    <row r="27" spans="1:22">
      <c r="A27" s="87"/>
      <c r="B27" s="87"/>
      <c r="C27" s="87"/>
      <c r="D27" s="87"/>
      <c r="E27" s="87"/>
      <c r="F27" s="87"/>
      <c r="G27" s="87"/>
      <c r="H27" s="87"/>
      <c r="I27" s="87"/>
      <c r="J27" s="87"/>
      <c r="K27" s="87"/>
      <c r="L27" s="87"/>
      <c r="M27" s="87"/>
      <c r="N27" s="87"/>
      <c r="O27" s="87"/>
      <c r="P27" s="87"/>
      <c r="Q27" s="87"/>
      <c r="R27" s="87"/>
      <c r="S27" s="87"/>
      <c r="T27" s="87"/>
      <c r="U27" s="87"/>
      <c r="V27" s="87"/>
    </row>
    <row r="28" spans="1:22">
      <c r="A28" s="87"/>
      <c r="B28" s="87"/>
      <c r="C28" s="87"/>
      <c r="D28" s="87"/>
      <c r="E28" s="87"/>
      <c r="F28" s="87"/>
      <c r="G28" s="87"/>
      <c r="H28" s="87"/>
      <c r="I28" s="87"/>
      <c r="J28" s="87"/>
      <c r="K28" s="87"/>
      <c r="L28" s="87"/>
      <c r="M28" s="87"/>
      <c r="N28" s="87"/>
      <c r="O28" s="87"/>
      <c r="P28" s="87"/>
      <c r="Q28" s="87"/>
      <c r="R28" s="87"/>
      <c r="S28" s="87"/>
      <c r="T28" s="87"/>
      <c r="U28" s="87"/>
      <c r="V28" s="87"/>
    </row>
    <row r="29" spans="1:22">
      <c r="A29" s="87"/>
      <c r="B29" s="87"/>
      <c r="C29" s="87"/>
      <c r="D29" s="87"/>
      <c r="E29" s="87"/>
      <c r="F29" s="87"/>
      <c r="G29" s="87"/>
      <c r="H29" s="87"/>
      <c r="I29" s="87"/>
      <c r="J29" s="87"/>
      <c r="K29" s="87"/>
      <c r="L29" s="87"/>
      <c r="M29" s="87"/>
      <c r="N29" s="87"/>
      <c r="O29" s="87"/>
      <c r="P29" s="87"/>
      <c r="Q29" s="87"/>
      <c r="R29" s="87"/>
      <c r="S29" s="87"/>
      <c r="T29" s="87"/>
      <c r="U29" s="87"/>
      <c r="V29" s="87"/>
    </row>
    <row r="30" spans="1:22">
      <c r="A30" s="87"/>
      <c r="B30" s="87"/>
      <c r="C30" s="87"/>
      <c r="D30" s="87"/>
      <c r="E30" s="87"/>
      <c r="F30" s="87"/>
      <c r="G30" s="87"/>
      <c r="H30" s="87"/>
      <c r="I30" s="87"/>
      <c r="J30" s="87"/>
      <c r="K30" s="87"/>
      <c r="L30" s="87"/>
      <c r="M30" s="87"/>
      <c r="N30" s="87"/>
      <c r="O30" s="87"/>
      <c r="P30" s="87"/>
      <c r="Q30" s="87"/>
      <c r="R30" s="87"/>
      <c r="S30" s="87"/>
      <c r="T30" s="87"/>
      <c r="U30" s="87"/>
      <c r="V30" s="87"/>
    </row>
    <row r="31" spans="1:22">
      <c r="A31" s="87"/>
      <c r="B31" s="87"/>
      <c r="C31" s="87"/>
      <c r="D31" s="87"/>
      <c r="E31" s="87"/>
      <c r="F31" s="87"/>
      <c r="G31" s="87"/>
      <c r="H31" s="87"/>
      <c r="I31" s="87"/>
      <c r="J31" s="87"/>
      <c r="K31" s="87"/>
      <c r="L31" s="87"/>
      <c r="M31" s="87"/>
      <c r="N31" s="87"/>
      <c r="O31" s="87"/>
      <c r="P31" s="87"/>
      <c r="Q31" s="87"/>
      <c r="R31" s="87"/>
      <c r="S31" s="87"/>
      <c r="T31" s="87"/>
      <c r="U31" s="87"/>
      <c r="V31" s="87"/>
    </row>
    <row r="32" spans="1:22">
      <c r="A32" s="87"/>
      <c r="B32" s="87"/>
      <c r="C32" s="87"/>
      <c r="D32" s="87"/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7"/>
      <c r="Q32" s="87"/>
      <c r="R32" s="87"/>
      <c r="S32" s="87"/>
      <c r="T32" s="87"/>
      <c r="U32" s="87"/>
      <c r="V32" s="87"/>
    </row>
    <row r="33" spans="1:22">
      <c r="A33" s="87"/>
      <c r="B33" s="87"/>
      <c r="C33" s="87"/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87"/>
      <c r="P33" s="87"/>
      <c r="Q33" s="87"/>
      <c r="R33" s="87"/>
      <c r="S33" s="87"/>
      <c r="T33" s="87"/>
      <c r="U33" s="87"/>
      <c r="V33" s="87"/>
    </row>
    <row r="34" spans="1:22">
      <c r="A34" s="87"/>
      <c r="B34" s="87"/>
      <c r="C34" s="87"/>
      <c r="D34" s="87"/>
      <c r="E34" s="87"/>
      <c r="F34" s="87"/>
      <c r="G34" s="87"/>
      <c r="H34" s="87"/>
      <c r="I34" s="87"/>
      <c r="J34" s="87"/>
      <c r="K34" s="87"/>
      <c r="L34" s="87"/>
      <c r="M34" s="87"/>
      <c r="N34" s="87"/>
      <c r="O34" s="87"/>
      <c r="P34" s="87"/>
      <c r="Q34" s="87"/>
      <c r="R34" s="87"/>
      <c r="S34" s="87"/>
      <c r="T34" s="87"/>
      <c r="U34" s="87"/>
      <c r="V34" s="87"/>
    </row>
    <row r="35" spans="1:22">
      <c r="A35" s="87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7"/>
      <c r="Q35" s="87"/>
      <c r="R35" s="87"/>
      <c r="S35" s="87"/>
      <c r="T35" s="87"/>
      <c r="U35" s="87"/>
      <c r="V35" s="87"/>
    </row>
    <row r="36" spans="1:22">
      <c r="A36" s="87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87"/>
      <c r="Q36" s="87"/>
      <c r="R36" s="87"/>
      <c r="S36" s="87"/>
      <c r="T36" s="87"/>
      <c r="U36" s="87"/>
      <c r="V36" s="87"/>
    </row>
    <row r="37" spans="1:22">
      <c r="A37" s="87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7"/>
    </row>
    <row r="38" spans="1:22">
      <c r="A38" s="87"/>
      <c r="B38" s="87"/>
      <c r="C38" s="87"/>
      <c r="D38" s="87"/>
      <c r="E38" s="87"/>
      <c r="F38" s="87"/>
      <c r="G38" s="87"/>
      <c r="H38" s="87"/>
      <c r="I38" s="87"/>
      <c r="J38" s="87"/>
      <c r="K38" s="87"/>
      <c r="L38" s="87"/>
      <c r="M38" s="87"/>
      <c r="N38" s="87"/>
      <c r="O38" s="87"/>
      <c r="P38" s="87"/>
      <c r="Q38" s="87"/>
      <c r="R38" s="87"/>
      <c r="S38" s="87"/>
      <c r="T38" s="87"/>
      <c r="U38" s="87"/>
      <c r="V38" s="87"/>
    </row>
    <row r="39" spans="1:22">
      <c r="A39" s="87"/>
      <c r="B39" s="87"/>
      <c r="C39" s="87"/>
      <c r="D39" s="87"/>
      <c r="E39" s="87"/>
      <c r="F39" s="87"/>
      <c r="G39" s="87"/>
      <c r="H39" s="87"/>
      <c r="I39" s="87"/>
      <c r="J39" s="87"/>
      <c r="K39" s="87"/>
      <c r="L39" s="87"/>
      <c r="M39" s="87"/>
      <c r="N39" s="87"/>
      <c r="O39" s="87"/>
      <c r="P39" s="87"/>
      <c r="Q39" s="87"/>
      <c r="R39" s="87"/>
      <c r="S39" s="87"/>
      <c r="T39" s="87"/>
      <c r="U39" s="87"/>
      <c r="V39" s="87"/>
    </row>
    <row r="40" spans="1:22">
      <c r="A40" s="87"/>
      <c r="B40" s="87"/>
      <c r="C40" s="87"/>
      <c r="D40" s="87"/>
      <c r="E40" s="87"/>
      <c r="F40" s="87"/>
      <c r="G40" s="87"/>
      <c r="H40" s="87"/>
      <c r="I40" s="87"/>
      <c r="J40" s="87"/>
      <c r="K40" s="87"/>
      <c r="L40" s="87"/>
      <c r="M40" s="87"/>
      <c r="N40" s="87"/>
      <c r="O40" s="87"/>
      <c r="P40" s="87"/>
      <c r="Q40" s="87"/>
      <c r="R40" s="87"/>
      <c r="S40" s="87"/>
      <c r="T40" s="87"/>
      <c r="U40" s="87"/>
      <c r="V40" s="87"/>
    </row>
    <row r="41" spans="1:22">
      <c r="A41" s="87"/>
      <c r="B41" s="87"/>
      <c r="C41" s="87"/>
      <c r="D41" s="87"/>
      <c r="E41" s="87"/>
      <c r="F41" s="87"/>
      <c r="G41" s="87"/>
      <c r="H41" s="87"/>
      <c r="I41" s="87"/>
      <c r="J41" s="87"/>
      <c r="K41" s="87"/>
      <c r="L41" s="87"/>
      <c r="M41" s="87"/>
      <c r="N41" s="87"/>
      <c r="O41" s="87"/>
      <c r="P41" s="87"/>
      <c r="Q41" s="87"/>
      <c r="R41" s="87"/>
      <c r="S41" s="87"/>
      <c r="T41" s="87"/>
      <c r="U41" s="87"/>
      <c r="V41" s="87"/>
    </row>
    <row r="42" spans="1:22">
      <c r="A42" s="87"/>
      <c r="B42" s="87"/>
      <c r="C42" s="87"/>
      <c r="D42" s="87"/>
      <c r="E42" s="87"/>
      <c r="F42" s="87"/>
      <c r="G42" s="87"/>
      <c r="H42" s="87"/>
      <c r="I42" s="87"/>
      <c r="J42" s="87"/>
      <c r="K42" s="87"/>
      <c r="L42" s="87"/>
      <c r="M42" s="87"/>
      <c r="N42" s="87"/>
      <c r="O42" s="87"/>
      <c r="P42" s="87"/>
      <c r="Q42" s="87"/>
      <c r="R42" s="87"/>
      <c r="S42" s="87"/>
      <c r="T42" s="87"/>
      <c r="U42" s="87"/>
      <c r="V42" s="87"/>
    </row>
    <row r="43" spans="1:22">
      <c r="A43" s="87"/>
      <c r="B43" s="87"/>
      <c r="C43" s="87"/>
      <c r="D43" s="87"/>
      <c r="E43" s="87"/>
      <c r="F43" s="87"/>
      <c r="G43" s="87"/>
      <c r="H43" s="87"/>
      <c r="I43" s="87"/>
      <c r="J43" s="87"/>
      <c r="K43" s="87"/>
      <c r="L43" s="87"/>
      <c r="M43" s="87"/>
      <c r="N43" s="87"/>
      <c r="O43" s="87"/>
      <c r="P43" s="87"/>
      <c r="Q43" s="87"/>
      <c r="R43" s="87"/>
      <c r="S43" s="87"/>
      <c r="T43" s="87"/>
      <c r="U43" s="87"/>
      <c r="V43" s="87"/>
    </row>
    <row r="44" spans="1:22">
      <c r="A44" s="87"/>
      <c r="B44" s="87"/>
      <c r="C44" s="87"/>
      <c r="D44" s="87"/>
      <c r="E44" s="87"/>
      <c r="F44" s="87"/>
      <c r="G44" s="87"/>
      <c r="H44" s="87"/>
      <c r="I44" s="87"/>
      <c r="J44" s="87"/>
      <c r="K44" s="87"/>
      <c r="L44" s="87"/>
      <c r="M44" s="87"/>
      <c r="N44" s="87"/>
      <c r="O44" s="87"/>
      <c r="P44" s="87"/>
      <c r="Q44" s="87"/>
      <c r="R44" s="87"/>
      <c r="S44" s="87"/>
      <c r="T44" s="87"/>
      <c r="U44" s="87"/>
      <c r="V44" s="87"/>
    </row>
    <row r="45" spans="1:22">
      <c r="A45" s="87"/>
      <c r="B45" s="87"/>
      <c r="C45" s="87"/>
      <c r="D45" s="87"/>
      <c r="E45" s="87"/>
      <c r="F45" s="87"/>
      <c r="G45" s="87"/>
      <c r="H45" s="87"/>
      <c r="I45" s="87"/>
      <c r="J45" s="87"/>
      <c r="K45" s="87"/>
      <c r="L45" s="87"/>
      <c r="M45" s="87"/>
      <c r="N45" s="87"/>
      <c r="O45" s="87"/>
      <c r="P45" s="87"/>
      <c r="Q45" s="87"/>
      <c r="R45" s="87"/>
      <c r="S45" s="87"/>
      <c r="T45" s="87"/>
      <c r="U45" s="87"/>
      <c r="V45" s="87"/>
    </row>
    <row r="46" spans="1:22">
      <c r="A46" s="87"/>
      <c r="B46" s="87"/>
      <c r="C46" s="87"/>
      <c r="D46" s="87"/>
      <c r="E46" s="87"/>
      <c r="F46" s="87"/>
      <c r="G46" s="87"/>
      <c r="H46" s="87"/>
      <c r="I46" s="87"/>
      <c r="J46" s="87"/>
      <c r="K46" s="87"/>
      <c r="L46" s="87"/>
      <c r="M46" s="87"/>
      <c r="N46" s="87"/>
      <c r="O46" s="87"/>
      <c r="P46" s="87"/>
      <c r="Q46" s="87"/>
      <c r="R46" s="87"/>
      <c r="S46" s="87"/>
      <c r="T46" s="87"/>
      <c r="U46" s="87"/>
      <c r="V46" s="87"/>
    </row>
    <row r="47" spans="1:22">
      <c r="A47" s="87"/>
      <c r="B47" s="87"/>
      <c r="C47" s="87"/>
      <c r="D47" s="87"/>
      <c r="E47" s="87"/>
      <c r="F47" s="87"/>
      <c r="G47" s="87"/>
      <c r="H47" s="87"/>
      <c r="I47" s="87"/>
      <c r="J47" s="87"/>
      <c r="K47" s="87"/>
      <c r="L47" s="87"/>
      <c r="M47" s="87"/>
      <c r="N47" s="87"/>
      <c r="O47" s="87"/>
      <c r="P47" s="87"/>
      <c r="Q47" s="87"/>
      <c r="R47" s="87"/>
      <c r="S47" s="87"/>
      <c r="T47" s="87"/>
      <c r="U47" s="87"/>
      <c r="V47" s="87"/>
    </row>
    <row r="48" spans="1:22">
      <c r="A48" s="87"/>
      <c r="B48" s="87"/>
      <c r="C48" s="87"/>
      <c r="D48" s="87"/>
      <c r="E48" s="87"/>
      <c r="F48" s="87"/>
      <c r="G48" s="87"/>
      <c r="H48" s="87"/>
      <c r="I48" s="87"/>
      <c r="J48" s="87"/>
      <c r="K48" s="87"/>
      <c r="L48" s="87"/>
      <c r="M48" s="87"/>
      <c r="N48" s="87"/>
      <c r="O48" s="87"/>
      <c r="P48" s="87"/>
      <c r="Q48" s="87"/>
      <c r="R48" s="87"/>
      <c r="S48" s="87"/>
      <c r="T48" s="87"/>
      <c r="U48" s="87"/>
      <c r="V48" s="87"/>
    </row>
    <row r="49" spans="1:22">
      <c r="A49" s="87"/>
      <c r="B49" s="87"/>
      <c r="C49" s="87"/>
      <c r="D49" s="87"/>
      <c r="E49" s="87"/>
      <c r="F49" s="87"/>
      <c r="G49" s="87"/>
      <c r="H49" s="87"/>
      <c r="I49" s="87"/>
      <c r="J49" s="87"/>
      <c r="K49" s="87"/>
      <c r="L49" s="87"/>
      <c r="M49" s="87"/>
      <c r="N49" s="87"/>
      <c r="O49" s="87"/>
      <c r="P49" s="87"/>
      <c r="Q49" s="87"/>
      <c r="R49" s="87"/>
      <c r="S49" s="87"/>
      <c r="T49" s="87"/>
      <c r="U49" s="87"/>
      <c r="V49" s="87"/>
    </row>
    <row r="50" spans="1:22">
      <c r="A50" s="87"/>
      <c r="B50" s="87"/>
      <c r="C50" s="87"/>
      <c r="D50" s="87"/>
      <c r="E50" s="87"/>
      <c r="F50" s="87"/>
      <c r="G50" s="87"/>
      <c r="H50" s="87"/>
      <c r="I50" s="87"/>
      <c r="J50" s="87"/>
      <c r="K50" s="87"/>
      <c r="L50" s="87"/>
      <c r="M50" s="87"/>
      <c r="N50" s="87"/>
      <c r="O50" s="87"/>
      <c r="P50" s="87"/>
      <c r="Q50" s="87"/>
      <c r="R50" s="87"/>
      <c r="S50" s="87"/>
      <c r="T50" s="87"/>
      <c r="U50" s="87"/>
      <c r="V50" s="87"/>
    </row>
    <row r="51" spans="1:22">
      <c r="A51" s="87"/>
      <c r="B51" s="87"/>
      <c r="C51" s="87"/>
      <c r="D51" s="87"/>
      <c r="E51" s="87"/>
      <c r="F51" s="87"/>
      <c r="G51" s="87"/>
      <c r="H51" s="87"/>
      <c r="I51" s="87"/>
      <c r="J51" s="87"/>
      <c r="K51" s="87"/>
      <c r="L51" s="87"/>
      <c r="M51" s="87"/>
      <c r="N51" s="87"/>
      <c r="O51" s="87"/>
      <c r="P51" s="87"/>
      <c r="Q51" s="87"/>
      <c r="R51" s="87"/>
      <c r="S51" s="87"/>
      <c r="T51" s="87"/>
      <c r="U51" s="87"/>
      <c r="V51" s="87"/>
    </row>
    <row r="52" spans="1:22">
      <c r="A52" s="87"/>
      <c r="B52" s="87"/>
      <c r="C52" s="87"/>
      <c r="D52" s="87"/>
      <c r="E52" s="87"/>
      <c r="F52" s="87"/>
      <c r="G52" s="87"/>
      <c r="H52" s="87"/>
      <c r="I52" s="87"/>
      <c r="J52" s="87"/>
      <c r="K52" s="87"/>
      <c r="L52" s="87"/>
      <c r="M52" s="87"/>
      <c r="N52" s="87"/>
      <c r="O52" s="87"/>
      <c r="P52" s="87"/>
      <c r="Q52" s="87"/>
      <c r="R52" s="87"/>
      <c r="S52" s="87"/>
      <c r="T52" s="87"/>
      <c r="U52" s="87"/>
      <c r="V52" s="87"/>
    </row>
    <row r="53" spans="1:22">
      <c r="A53" s="87"/>
      <c r="B53" s="87"/>
      <c r="C53" s="87"/>
      <c r="D53" s="87"/>
      <c r="E53" s="87"/>
      <c r="F53" s="87"/>
      <c r="G53" s="87"/>
      <c r="H53" s="87"/>
      <c r="I53" s="87"/>
      <c r="J53" s="87"/>
      <c r="K53" s="87"/>
      <c r="L53" s="87"/>
      <c r="M53" s="87"/>
      <c r="N53" s="87"/>
      <c r="O53" s="87"/>
      <c r="P53" s="87"/>
      <c r="Q53" s="87"/>
      <c r="R53" s="87"/>
      <c r="S53" s="87"/>
      <c r="T53" s="87"/>
      <c r="U53" s="87"/>
      <c r="V53" s="87"/>
    </row>
    <row r="54" spans="1:22">
      <c r="A54" s="87"/>
      <c r="B54" s="87"/>
      <c r="C54" s="87"/>
      <c r="D54" s="87"/>
      <c r="E54" s="87"/>
      <c r="F54" s="87"/>
      <c r="G54" s="87"/>
      <c r="H54" s="87"/>
      <c r="I54" s="87"/>
      <c r="J54" s="87"/>
      <c r="K54" s="87"/>
      <c r="L54" s="87"/>
      <c r="M54" s="87"/>
      <c r="N54" s="87"/>
      <c r="O54" s="87"/>
      <c r="P54" s="87"/>
      <c r="Q54" s="87"/>
      <c r="R54" s="87"/>
      <c r="S54" s="87"/>
      <c r="T54" s="87"/>
      <c r="U54" s="87"/>
      <c r="V54" s="87"/>
    </row>
    <row r="55" spans="1:22">
      <c r="A55" s="87"/>
      <c r="B55" s="87"/>
      <c r="C55" s="87"/>
      <c r="D55" s="87"/>
      <c r="E55" s="87"/>
      <c r="F55" s="87"/>
      <c r="G55" s="87"/>
      <c r="H55" s="87"/>
      <c r="I55" s="87"/>
      <c r="J55" s="87"/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</row>
    <row r="56" spans="1:22">
      <c r="A56" s="87"/>
      <c r="B56" s="87"/>
      <c r="C56" s="87"/>
      <c r="D56" s="87"/>
      <c r="E56" s="87"/>
      <c r="F56" s="87"/>
      <c r="G56" s="87"/>
      <c r="H56" s="87"/>
      <c r="I56" s="87"/>
      <c r="J56" s="87"/>
      <c r="K56" s="87"/>
      <c r="L56" s="87"/>
      <c r="M56" s="87"/>
      <c r="N56" s="87"/>
      <c r="O56" s="87"/>
      <c r="P56" s="87"/>
      <c r="Q56" s="87"/>
      <c r="R56" s="87"/>
      <c r="S56" s="87"/>
      <c r="T56" s="87"/>
      <c r="U56" s="87"/>
      <c r="V56" s="87"/>
    </row>
    <row r="57" spans="1:22">
      <c r="A57" s="87"/>
      <c r="B57" s="87"/>
      <c r="C57" s="87"/>
      <c r="D57" s="87"/>
      <c r="E57" s="87"/>
      <c r="F57" s="87"/>
      <c r="G57" s="87"/>
      <c r="H57" s="87"/>
      <c r="I57" s="87"/>
      <c r="J57" s="87"/>
      <c r="K57" s="87"/>
      <c r="L57" s="87"/>
      <c r="M57" s="87"/>
      <c r="N57" s="87"/>
      <c r="O57" s="87"/>
      <c r="P57" s="87"/>
      <c r="Q57" s="87"/>
      <c r="R57" s="87"/>
      <c r="S57" s="87"/>
      <c r="T57" s="87"/>
      <c r="U57" s="87"/>
      <c r="V57" s="87"/>
    </row>
    <row r="58" spans="1:22">
      <c r="A58" s="87"/>
      <c r="B58" s="87"/>
      <c r="C58" s="87"/>
      <c r="D58" s="87"/>
      <c r="E58" s="87"/>
      <c r="F58" s="87"/>
      <c r="G58" s="87"/>
      <c r="H58" s="87"/>
      <c r="I58" s="87"/>
      <c r="J58" s="87"/>
      <c r="K58" s="87"/>
      <c r="L58" s="87"/>
      <c r="M58" s="87"/>
      <c r="N58" s="87"/>
      <c r="O58" s="87"/>
      <c r="P58" s="87"/>
      <c r="Q58" s="87"/>
      <c r="R58" s="87"/>
      <c r="S58" s="87"/>
      <c r="T58" s="87"/>
      <c r="U58" s="87"/>
      <c r="V58" s="87"/>
    </row>
  </sheetData>
  <mergeCells count="5">
    <mergeCell ref="R3:U3"/>
    <mergeCell ref="K2:Q2"/>
    <mergeCell ref="B3:E3"/>
    <mergeCell ref="G3:J3"/>
    <mergeCell ref="L3:P3"/>
  </mergeCells>
  <phoneticPr fontId="1" type="noConversion"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120"/>
  <sheetViews>
    <sheetView zoomScale="125" zoomScaleNormal="125" zoomScalePageLayoutView="125" workbookViewId="0">
      <pane xSplit="1" ySplit="2" topLeftCell="B70" activePane="bottomRight" state="frozen"/>
      <selection pane="topRight" activeCell="B1" sqref="B1"/>
      <selection pane="bottomLeft" activeCell="A3" sqref="A3"/>
      <selection pane="bottomRight" activeCell="A77" sqref="A77:A80"/>
    </sheetView>
  </sheetViews>
  <sheetFormatPr baseColWidth="10" defaultColWidth="11.5703125" defaultRowHeight="11" x14ac:dyDescent="0"/>
  <cols>
    <col min="1" max="1" width="23.28515625" style="201" bestFit="1" customWidth="1"/>
    <col min="2" max="2" width="9" style="201" bestFit="1" customWidth="1"/>
    <col min="3" max="4" width="6.5703125" style="201" bestFit="1" customWidth="1"/>
    <col min="5" max="5" width="8.28515625" style="201" bestFit="1" customWidth="1"/>
    <col min="6" max="9" width="7.5703125" style="201" bestFit="1" customWidth="1"/>
    <col min="10" max="10" width="8.42578125" style="201" bestFit="1" customWidth="1"/>
    <col min="11" max="14" width="7.5703125" style="201" bestFit="1" customWidth="1"/>
    <col min="15" max="15" width="8.28515625" style="201" customWidth="1"/>
    <col min="16" max="43" width="7.42578125" style="201" bestFit="1" customWidth="1"/>
    <col min="44" max="89" width="8.42578125" style="201" bestFit="1" customWidth="1"/>
    <col min="90" max="105" width="9.42578125" style="201" bestFit="1" customWidth="1"/>
    <col min="106" max="16384" width="11.5703125" style="201"/>
  </cols>
  <sheetData>
    <row r="1" spans="1:106">
      <c r="B1" s="201" t="s">
        <v>97</v>
      </c>
      <c r="C1" s="201" t="s">
        <v>96</v>
      </c>
      <c r="D1" s="201" t="s">
        <v>98</v>
      </c>
      <c r="E1" s="201" t="s">
        <v>99</v>
      </c>
    </row>
    <row r="2" spans="1:106">
      <c r="B2" s="202">
        <v>0.36333333333333329</v>
      </c>
      <c r="C2" s="202">
        <v>0.33666666666666667</v>
      </c>
      <c r="D2" s="202">
        <v>0.20333333333333334</v>
      </c>
      <c r="E2" s="202">
        <v>9.6666666666666679E-2</v>
      </c>
      <c r="F2" s="202">
        <v>0.01</v>
      </c>
      <c r="G2" s="202">
        <v>0.02</v>
      </c>
      <c r="H2" s="202">
        <v>0.03</v>
      </c>
      <c r="I2" s="202">
        <v>0.04</v>
      </c>
      <c r="J2" s="202">
        <v>0.05</v>
      </c>
      <c r="K2" s="202">
        <v>0.06</v>
      </c>
      <c r="L2" s="202">
        <v>7.0000000000000007E-2</v>
      </c>
      <c r="M2" s="202">
        <v>0.08</v>
      </c>
      <c r="N2" s="202">
        <v>0.09</v>
      </c>
      <c r="O2" s="202">
        <v>0.1</v>
      </c>
      <c r="P2" s="202">
        <v>0.11</v>
      </c>
      <c r="Q2" s="202">
        <v>0.12</v>
      </c>
      <c r="R2" s="202">
        <v>0.13</v>
      </c>
      <c r="S2" s="202">
        <v>0.14000000000000001</v>
      </c>
      <c r="T2" s="202">
        <v>0.15</v>
      </c>
      <c r="U2" s="202">
        <v>0.16</v>
      </c>
      <c r="V2" s="202">
        <v>0.17</v>
      </c>
      <c r="W2" s="202">
        <v>0.18</v>
      </c>
      <c r="X2" s="202">
        <v>0.19</v>
      </c>
      <c r="Y2" s="202">
        <v>0.2</v>
      </c>
      <c r="Z2" s="202">
        <v>0.21</v>
      </c>
      <c r="AA2" s="202">
        <v>0.22</v>
      </c>
      <c r="AB2" s="202">
        <v>0.23</v>
      </c>
      <c r="AC2" s="202">
        <v>0.24</v>
      </c>
      <c r="AD2" s="202">
        <v>0.25</v>
      </c>
      <c r="AE2" s="202">
        <v>0.26</v>
      </c>
      <c r="AF2" s="202">
        <v>0.27</v>
      </c>
      <c r="AG2" s="202">
        <v>0.28000000000000003</v>
      </c>
      <c r="AH2" s="202">
        <v>0.28999999999999998</v>
      </c>
      <c r="AI2" s="202">
        <v>0.3</v>
      </c>
      <c r="AJ2" s="202">
        <v>0.31</v>
      </c>
      <c r="AK2" s="202">
        <v>0.32</v>
      </c>
      <c r="AL2" s="202">
        <v>0.33</v>
      </c>
      <c r="AM2" s="202">
        <v>0.34</v>
      </c>
      <c r="AN2" s="202">
        <v>0.35</v>
      </c>
      <c r="AO2" s="202">
        <v>0.36</v>
      </c>
      <c r="AP2" s="202">
        <v>0.37</v>
      </c>
      <c r="AQ2" s="202">
        <v>0.38</v>
      </c>
      <c r="AR2" s="202">
        <v>0.39</v>
      </c>
      <c r="AS2" s="202">
        <v>0.4</v>
      </c>
      <c r="AT2" s="202">
        <v>0.41</v>
      </c>
      <c r="AU2" s="202">
        <v>0.42</v>
      </c>
      <c r="AV2" s="202">
        <v>0.43</v>
      </c>
      <c r="AW2" s="202">
        <v>0.44</v>
      </c>
      <c r="AX2" s="202">
        <v>0.45</v>
      </c>
      <c r="AY2" s="202">
        <v>0.46</v>
      </c>
      <c r="AZ2" s="202">
        <v>0.47</v>
      </c>
      <c r="BA2" s="202">
        <v>0.48</v>
      </c>
      <c r="BB2" s="202">
        <v>0.49</v>
      </c>
      <c r="BC2" s="202">
        <v>0.5</v>
      </c>
      <c r="BD2" s="202">
        <v>0.51</v>
      </c>
      <c r="BE2" s="202">
        <v>0.52</v>
      </c>
      <c r="BF2" s="202">
        <v>0.53</v>
      </c>
      <c r="BG2" s="202">
        <v>0.54</v>
      </c>
      <c r="BH2" s="202">
        <v>0.55000000000000004</v>
      </c>
      <c r="BI2" s="202">
        <v>0.56000000000000005</v>
      </c>
      <c r="BJ2" s="202">
        <v>0.56999999999999995</v>
      </c>
      <c r="BK2" s="202">
        <v>0.57999999999999996</v>
      </c>
      <c r="BL2" s="202">
        <v>0.59</v>
      </c>
      <c r="BM2" s="202">
        <v>0.6</v>
      </c>
      <c r="BN2" s="202">
        <v>0.61</v>
      </c>
      <c r="BO2" s="202">
        <v>0.62</v>
      </c>
      <c r="BP2" s="202">
        <v>0.63</v>
      </c>
      <c r="BQ2" s="202">
        <v>0.64</v>
      </c>
      <c r="BR2" s="202">
        <v>0.65</v>
      </c>
      <c r="BS2" s="202">
        <v>0.66</v>
      </c>
      <c r="BT2" s="202">
        <v>0.67</v>
      </c>
      <c r="BU2" s="202">
        <v>0.68</v>
      </c>
      <c r="BV2" s="202">
        <v>0.69</v>
      </c>
      <c r="BW2" s="202">
        <v>0.7</v>
      </c>
      <c r="BX2" s="202">
        <v>0.71</v>
      </c>
      <c r="BY2" s="202">
        <v>0.72</v>
      </c>
      <c r="BZ2" s="202">
        <v>0.73</v>
      </c>
      <c r="CA2" s="202">
        <v>0.74</v>
      </c>
      <c r="CB2" s="202">
        <v>0.75</v>
      </c>
      <c r="CC2" s="202">
        <v>0.76</v>
      </c>
      <c r="CD2" s="202">
        <v>0.77</v>
      </c>
      <c r="CE2" s="202">
        <v>0.78</v>
      </c>
      <c r="CF2" s="202">
        <v>0.79</v>
      </c>
      <c r="CG2" s="202">
        <v>0.8</v>
      </c>
      <c r="CH2" s="202">
        <v>0.81</v>
      </c>
      <c r="CI2" s="202">
        <v>0.82</v>
      </c>
      <c r="CJ2" s="202">
        <v>0.83</v>
      </c>
      <c r="CK2" s="202">
        <v>0.84</v>
      </c>
      <c r="CL2" s="202">
        <v>0.85</v>
      </c>
      <c r="CM2" s="202">
        <v>0.86</v>
      </c>
      <c r="CN2" s="202">
        <v>0.87</v>
      </c>
      <c r="CO2" s="202">
        <v>0.88</v>
      </c>
      <c r="CP2" s="202">
        <v>0.89</v>
      </c>
      <c r="CQ2" s="202">
        <v>0.9</v>
      </c>
      <c r="CR2" s="202">
        <v>0.91</v>
      </c>
      <c r="CS2" s="202">
        <v>0.92</v>
      </c>
      <c r="CT2" s="202">
        <v>0.93</v>
      </c>
      <c r="CU2" s="202">
        <v>0.94</v>
      </c>
      <c r="CV2" s="202">
        <v>0.95</v>
      </c>
      <c r="CW2" s="202">
        <v>0.96</v>
      </c>
      <c r="CX2" s="202">
        <v>0.97</v>
      </c>
      <c r="CY2" s="202">
        <v>0.98</v>
      </c>
      <c r="CZ2" s="202">
        <v>0.99</v>
      </c>
      <c r="DA2" s="202">
        <v>1</v>
      </c>
      <c r="DB2" s="202"/>
    </row>
    <row r="3" spans="1:106">
      <c r="A3" s="201" t="str">
        <f>Income!A72</f>
        <v>Own crops Consumed</v>
      </c>
      <c r="B3" s="203">
        <f>Income!B72</f>
        <v>3455.8792739655614</v>
      </c>
      <c r="C3" s="203">
        <f>Income!C72</f>
        <v>5518.8805377167355</v>
      </c>
      <c r="D3" s="203">
        <f>Income!D72</f>
        <v>5826.549801134769</v>
      </c>
      <c r="E3" s="203">
        <f>Income!E72</f>
        <v>5853.1594742804473</v>
      </c>
      <c r="F3" s="204">
        <f>IF(F$2&lt;=($B$2+$C$2+$D$2),IF(F$2&lt;=($B$2+$C$2),IF(F$2&lt;=$B$2,$B3,$C3),$D3),$E3)</f>
        <v>3455.8792739655614</v>
      </c>
      <c r="G3" s="204">
        <f t="shared" ref="G3:AW7" si="0">IF(G$2&lt;=($B$2+$C$2+$D$2),IF(G$2&lt;=($B$2+$C$2),IF(G$2&lt;=$B$2,$B3,$C3),$D3),$E3)</f>
        <v>3455.8792739655614</v>
      </c>
      <c r="H3" s="204">
        <f t="shared" si="0"/>
        <v>3455.8792739655614</v>
      </c>
      <c r="I3" s="204">
        <f t="shared" si="0"/>
        <v>3455.8792739655614</v>
      </c>
      <c r="J3" s="204">
        <f t="shared" si="0"/>
        <v>3455.8792739655614</v>
      </c>
      <c r="K3" s="204">
        <f t="shared" si="0"/>
        <v>3455.8792739655614</v>
      </c>
      <c r="L3" s="204">
        <f t="shared" si="0"/>
        <v>3455.8792739655614</v>
      </c>
      <c r="M3" s="204">
        <f t="shared" si="0"/>
        <v>3455.8792739655614</v>
      </c>
      <c r="N3" s="204">
        <f t="shared" si="0"/>
        <v>3455.8792739655614</v>
      </c>
      <c r="O3" s="204">
        <f t="shared" si="0"/>
        <v>3455.8792739655614</v>
      </c>
      <c r="P3" s="204">
        <f t="shared" si="0"/>
        <v>3455.8792739655614</v>
      </c>
      <c r="Q3" s="204">
        <f t="shared" si="0"/>
        <v>3455.8792739655614</v>
      </c>
      <c r="R3" s="204">
        <f t="shared" si="0"/>
        <v>3455.8792739655614</v>
      </c>
      <c r="S3" s="204">
        <f t="shared" si="0"/>
        <v>3455.8792739655614</v>
      </c>
      <c r="T3" s="204">
        <f t="shared" si="0"/>
        <v>3455.8792739655614</v>
      </c>
      <c r="U3" s="204">
        <f t="shared" si="0"/>
        <v>3455.8792739655614</v>
      </c>
      <c r="V3" s="204">
        <f t="shared" si="0"/>
        <v>3455.8792739655614</v>
      </c>
      <c r="W3" s="204">
        <f t="shared" si="0"/>
        <v>3455.8792739655614</v>
      </c>
      <c r="X3" s="204">
        <f t="shared" si="0"/>
        <v>3455.8792739655614</v>
      </c>
      <c r="Y3" s="204">
        <f t="shared" si="0"/>
        <v>3455.8792739655614</v>
      </c>
      <c r="Z3" s="204">
        <f t="shared" si="0"/>
        <v>3455.8792739655614</v>
      </c>
      <c r="AA3" s="204">
        <f t="shared" si="0"/>
        <v>3455.8792739655614</v>
      </c>
      <c r="AB3" s="204">
        <f t="shared" si="0"/>
        <v>3455.8792739655614</v>
      </c>
      <c r="AC3" s="204">
        <f t="shared" si="0"/>
        <v>3455.8792739655614</v>
      </c>
      <c r="AD3" s="204">
        <f t="shared" si="0"/>
        <v>3455.8792739655614</v>
      </c>
      <c r="AE3" s="204">
        <f t="shared" si="0"/>
        <v>3455.8792739655614</v>
      </c>
      <c r="AF3" s="204">
        <f t="shared" si="0"/>
        <v>3455.8792739655614</v>
      </c>
      <c r="AG3" s="204">
        <f t="shared" si="0"/>
        <v>3455.8792739655614</v>
      </c>
      <c r="AH3" s="204">
        <f t="shared" si="0"/>
        <v>3455.8792739655614</v>
      </c>
      <c r="AI3" s="204">
        <f t="shared" si="0"/>
        <v>3455.8792739655614</v>
      </c>
      <c r="AJ3" s="204">
        <f t="shared" si="0"/>
        <v>3455.8792739655614</v>
      </c>
      <c r="AK3" s="204">
        <f t="shared" si="0"/>
        <v>3455.8792739655614</v>
      </c>
      <c r="AL3" s="204">
        <f t="shared" si="0"/>
        <v>3455.8792739655614</v>
      </c>
      <c r="AM3" s="204">
        <f t="shared" si="0"/>
        <v>3455.8792739655614</v>
      </c>
      <c r="AN3" s="204">
        <f t="shared" si="0"/>
        <v>3455.8792739655614</v>
      </c>
      <c r="AO3" s="204">
        <f t="shared" si="0"/>
        <v>3455.8792739655614</v>
      </c>
      <c r="AP3" s="204">
        <f t="shared" si="0"/>
        <v>5518.8805377167355</v>
      </c>
      <c r="AQ3" s="204">
        <f t="shared" si="0"/>
        <v>5518.8805377167355</v>
      </c>
      <c r="AR3" s="204">
        <f t="shared" si="0"/>
        <v>5518.8805377167355</v>
      </c>
      <c r="AS3" s="204">
        <f t="shared" si="0"/>
        <v>5518.8805377167355</v>
      </c>
      <c r="AT3" s="204">
        <f t="shared" si="0"/>
        <v>5518.8805377167355</v>
      </c>
      <c r="AU3" s="204">
        <f t="shared" si="0"/>
        <v>5518.8805377167355</v>
      </c>
      <c r="AV3" s="204">
        <f t="shared" si="0"/>
        <v>5518.8805377167355</v>
      </c>
      <c r="AW3" s="204">
        <f t="shared" si="0"/>
        <v>5518.8805377167355</v>
      </c>
      <c r="AX3" s="204">
        <f t="shared" ref="AX3:BZ10" si="1">IF(AX$2&lt;=($B$2+$C$2+$D$2),IF(AX$2&lt;=($B$2+$C$2),IF(AX$2&lt;=$B$2,$B3,$C3),$D3),$E3)</f>
        <v>5518.8805377167355</v>
      </c>
      <c r="AY3" s="204">
        <f t="shared" si="1"/>
        <v>5518.8805377167355</v>
      </c>
      <c r="AZ3" s="204">
        <f t="shared" si="1"/>
        <v>5518.8805377167355</v>
      </c>
      <c r="BA3" s="204">
        <f t="shared" si="1"/>
        <v>5518.8805377167355</v>
      </c>
      <c r="BB3" s="204">
        <f t="shared" si="1"/>
        <v>5518.8805377167355</v>
      </c>
      <c r="BC3" s="204">
        <f t="shared" si="1"/>
        <v>5518.8805377167355</v>
      </c>
      <c r="BD3" s="204">
        <f t="shared" si="1"/>
        <v>5518.8805377167355</v>
      </c>
      <c r="BE3" s="204">
        <f t="shared" si="1"/>
        <v>5518.8805377167355</v>
      </c>
      <c r="BF3" s="204">
        <f t="shared" si="1"/>
        <v>5518.8805377167355</v>
      </c>
      <c r="BG3" s="204">
        <f t="shared" si="1"/>
        <v>5518.8805377167355</v>
      </c>
      <c r="BH3" s="204">
        <f t="shared" si="1"/>
        <v>5518.8805377167355</v>
      </c>
      <c r="BI3" s="204">
        <f t="shared" si="1"/>
        <v>5518.8805377167355</v>
      </c>
      <c r="BJ3" s="204">
        <f t="shared" si="1"/>
        <v>5518.8805377167355</v>
      </c>
      <c r="BK3" s="204">
        <f t="shared" si="1"/>
        <v>5518.8805377167355</v>
      </c>
      <c r="BL3" s="204">
        <f t="shared" si="1"/>
        <v>5518.8805377167355</v>
      </c>
      <c r="BM3" s="204">
        <f t="shared" si="1"/>
        <v>5518.8805377167355</v>
      </c>
      <c r="BN3" s="204">
        <f t="shared" si="1"/>
        <v>5518.8805377167355</v>
      </c>
      <c r="BO3" s="204">
        <f t="shared" si="1"/>
        <v>5518.8805377167355</v>
      </c>
      <c r="BP3" s="204">
        <f t="shared" si="1"/>
        <v>5518.8805377167355</v>
      </c>
      <c r="BQ3" s="204">
        <f t="shared" si="1"/>
        <v>5518.8805377167355</v>
      </c>
      <c r="BR3" s="204">
        <f t="shared" si="1"/>
        <v>5518.8805377167355</v>
      </c>
      <c r="BS3" s="204">
        <f t="shared" si="1"/>
        <v>5518.8805377167355</v>
      </c>
      <c r="BT3" s="204">
        <f t="shared" si="1"/>
        <v>5518.8805377167355</v>
      </c>
      <c r="BU3" s="204">
        <f t="shared" si="1"/>
        <v>5518.8805377167355</v>
      </c>
      <c r="BV3" s="204">
        <f t="shared" si="1"/>
        <v>5518.8805377167355</v>
      </c>
      <c r="BW3" s="204">
        <f t="shared" si="1"/>
        <v>5518.8805377167355</v>
      </c>
      <c r="BX3" s="204">
        <f t="shared" si="1"/>
        <v>5826.549801134769</v>
      </c>
      <c r="BY3" s="204">
        <f t="shared" si="1"/>
        <v>5826.549801134769</v>
      </c>
      <c r="BZ3" s="204">
        <f t="shared" si="1"/>
        <v>5826.549801134769</v>
      </c>
      <c r="CA3" s="204">
        <f t="shared" ref="CA3:CR15" si="2">IF(CA$2&lt;=($B$2+$C$2+$D$2),IF(CA$2&lt;=($B$2+$C$2),IF(CA$2&lt;=$B$2,$B3,$C3),$D3),$E3)</f>
        <v>5826.549801134769</v>
      </c>
      <c r="CB3" s="204">
        <f t="shared" si="2"/>
        <v>5826.549801134769</v>
      </c>
      <c r="CC3" s="204">
        <f t="shared" si="2"/>
        <v>5826.549801134769</v>
      </c>
      <c r="CD3" s="204">
        <f t="shared" si="2"/>
        <v>5826.549801134769</v>
      </c>
      <c r="CE3" s="204">
        <f t="shared" si="2"/>
        <v>5826.549801134769</v>
      </c>
      <c r="CF3" s="204">
        <f t="shared" si="2"/>
        <v>5826.549801134769</v>
      </c>
      <c r="CG3" s="204">
        <f t="shared" si="2"/>
        <v>5826.549801134769</v>
      </c>
      <c r="CH3" s="204">
        <f t="shared" si="2"/>
        <v>5826.549801134769</v>
      </c>
      <c r="CI3" s="204">
        <f t="shared" si="2"/>
        <v>5826.549801134769</v>
      </c>
      <c r="CJ3" s="204">
        <f t="shared" si="2"/>
        <v>5826.549801134769</v>
      </c>
      <c r="CK3" s="204">
        <f t="shared" si="2"/>
        <v>5826.549801134769</v>
      </c>
      <c r="CL3" s="204">
        <f t="shared" si="2"/>
        <v>5826.549801134769</v>
      </c>
      <c r="CM3" s="204">
        <f t="shared" si="2"/>
        <v>5826.549801134769</v>
      </c>
      <c r="CN3" s="204">
        <f t="shared" si="2"/>
        <v>5826.549801134769</v>
      </c>
      <c r="CO3" s="204">
        <f t="shared" si="2"/>
        <v>5826.549801134769</v>
      </c>
      <c r="CP3" s="204">
        <f t="shared" si="2"/>
        <v>5826.549801134769</v>
      </c>
      <c r="CQ3" s="204">
        <f t="shared" si="2"/>
        <v>5826.549801134769</v>
      </c>
      <c r="CR3" s="204">
        <f t="shared" si="2"/>
        <v>5853.1594742804473</v>
      </c>
      <c r="CS3" s="204">
        <f t="shared" ref="CS3:DA15" si="3">IF(CS$2&lt;=($B$2+$C$2+$D$2),IF(CS$2&lt;=($B$2+$C$2),IF(CS$2&lt;=$B$2,$B3,$C3),$D3),$E3)</f>
        <v>5853.1594742804473</v>
      </c>
      <c r="CT3" s="204">
        <f t="shared" si="3"/>
        <v>5853.1594742804473</v>
      </c>
      <c r="CU3" s="204">
        <f t="shared" si="3"/>
        <v>5853.1594742804473</v>
      </c>
      <c r="CV3" s="204">
        <f t="shared" si="3"/>
        <v>5853.1594742804473</v>
      </c>
      <c r="CW3" s="204">
        <f t="shared" si="3"/>
        <v>5853.1594742804473</v>
      </c>
      <c r="CX3" s="204">
        <f t="shared" si="3"/>
        <v>5853.1594742804473</v>
      </c>
      <c r="CY3" s="204">
        <f t="shared" si="3"/>
        <v>5853.1594742804473</v>
      </c>
      <c r="CZ3" s="204">
        <f t="shared" si="3"/>
        <v>5853.1594742804473</v>
      </c>
      <c r="DA3" s="204">
        <f t="shared" si="3"/>
        <v>5853.1594742804473</v>
      </c>
      <c r="DB3" s="204"/>
    </row>
    <row r="4" spans="1:106">
      <c r="A4" s="201" t="str">
        <f>Income!A73</f>
        <v>Own crops sold</v>
      </c>
      <c r="B4" s="203">
        <f>Income!B73</f>
        <v>1172.1426801018094</v>
      </c>
      <c r="C4" s="203">
        <f>Income!C73</f>
        <v>2245.6251094915315</v>
      </c>
      <c r="D4" s="203">
        <f>Income!D73</f>
        <v>22480.232477817626</v>
      </c>
      <c r="E4" s="203">
        <f>Income!E73</f>
        <v>36140.364759779412</v>
      </c>
      <c r="F4" s="204">
        <f t="shared" ref="F4:U17" si="4">IF(F$2&lt;=($B$2+$C$2+$D$2),IF(F$2&lt;=($B$2+$C$2),IF(F$2&lt;=$B$2,$B4,$C4),$D4),$E4)</f>
        <v>1172.1426801018094</v>
      </c>
      <c r="G4" s="204">
        <f t="shared" si="0"/>
        <v>1172.1426801018094</v>
      </c>
      <c r="H4" s="204">
        <f t="shared" si="0"/>
        <v>1172.1426801018094</v>
      </c>
      <c r="I4" s="204">
        <f t="shared" si="0"/>
        <v>1172.1426801018094</v>
      </c>
      <c r="J4" s="204">
        <f t="shared" si="0"/>
        <v>1172.1426801018094</v>
      </c>
      <c r="K4" s="204">
        <f t="shared" si="0"/>
        <v>1172.1426801018094</v>
      </c>
      <c r="L4" s="204">
        <f t="shared" si="0"/>
        <v>1172.1426801018094</v>
      </c>
      <c r="M4" s="204">
        <f t="shared" si="0"/>
        <v>1172.1426801018094</v>
      </c>
      <c r="N4" s="204">
        <f t="shared" si="0"/>
        <v>1172.1426801018094</v>
      </c>
      <c r="O4" s="204">
        <f t="shared" si="0"/>
        <v>1172.1426801018094</v>
      </c>
      <c r="P4" s="204">
        <f t="shared" si="0"/>
        <v>1172.1426801018094</v>
      </c>
      <c r="Q4" s="204">
        <f t="shared" si="0"/>
        <v>1172.1426801018094</v>
      </c>
      <c r="R4" s="204">
        <f t="shared" si="0"/>
        <v>1172.1426801018094</v>
      </c>
      <c r="S4" s="204">
        <f t="shared" si="0"/>
        <v>1172.1426801018094</v>
      </c>
      <c r="T4" s="204">
        <f t="shared" si="0"/>
        <v>1172.1426801018094</v>
      </c>
      <c r="U4" s="204">
        <f t="shared" si="0"/>
        <v>1172.1426801018094</v>
      </c>
      <c r="V4" s="204">
        <f t="shared" si="0"/>
        <v>1172.1426801018094</v>
      </c>
      <c r="W4" s="204">
        <f t="shared" si="0"/>
        <v>1172.1426801018094</v>
      </c>
      <c r="X4" s="204">
        <f t="shared" si="0"/>
        <v>1172.1426801018094</v>
      </c>
      <c r="Y4" s="204">
        <f t="shared" si="0"/>
        <v>1172.1426801018094</v>
      </c>
      <c r="Z4" s="204">
        <f t="shared" si="0"/>
        <v>1172.1426801018094</v>
      </c>
      <c r="AA4" s="204">
        <f t="shared" si="0"/>
        <v>1172.1426801018094</v>
      </c>
      <c r="AB4" s="204">
        <f t="shared" si="0"/>
        <v>1172.1426801018094</v>
      </c>
      <c r="AC4" s="204">
        <f t="shared" si="0"/>
        <v>1172.1426801018094</v>
      </c>
      <c r="AD4" s="204">
        <f t="shared" si="0"/>
        <v>1172.1426801018094</v>
      </c>
      <c r="AE4" s="204">
        <f t="shared" si="0"/>
        <v>1172.1426801018094</v>
      </c>
      <c r="AF4" s="204">
        <f t="shared" si="0"/>
        <v>1172.1426801018094</v>
      </c>
      <c r="AG4" s="204">
        <f t="shared" si="0"/>
        <v>1172.1426801018094</v>
      </c>
      <c r="AH4" s="204">
        <f t="shared" si="0"/>
        <v>1172.1426801018094</v>
      </c>
      <c r="AI4" s="204">
        <f t="shared" si="0"/>
        <v>1172.1426801018094</v>
      </c>
      <c r="AJ4" s="204">
        <f t="shared" si="0"/>
        <v>1172.1426801018094</v>
      </c>
      <c r="AK4" s="204">
        <f t="shared" si="0"/>
        <v>1172.1426801018094</v>
      </c>
      <c r="AL4" s="204">
        <f t="shared" si="0"/>
        <v>1172.1426801018094</v>
      </c>
      <c r="AM4" s="204">
        <f t="shared" si="0"/>
        <v>1172.1426801018094</v>
      </c>
      <c r="AN4" s="204">
        <f t="shared" si="0"/>
        <v>1172.1426801018094</v>
      </c>
      <c r="AO4" s="204">
        <f t="shared" si="0"/>
        <v>1172.1426801018094</v>
      </c>
      <c r="AP4" s="204">
        <f t="shared" si="0"/>
        <v>2245.6251094915315</v>
      </c>
      <c r="AQ4" s="204">
        <f t="shared" si="0"/>
        <v>2245.6251094915315</v>
      </c>
      <c r="AR4" s="204">
        <f t="shared" si="0"/>
        <v>2245.6251094915315</v>
      </c>
      <c r="AS4" s="204">
        <f t="shared" si="0"/>
        <v>2245.6251094915315</v>
      </c>
      <c r="AT4" s="204">
        <f t="shared" si="0"/>
        <v>2245.6251094915315</v>
      </c>
      <c r="AU4" s="204">
        <f t="shared" si="0"/>
        <v>2245.6251094915315</v>
      </c>
      <c r="AV4" s="204">
        <f t="shared" si="0"/>
        <v>2245.6251094915315</v>
      </c>
      <c r="AW4" s="204">
        <f t="shared" si="0"/>
        <v>2245.6251094915315</v>
      </c>
      <c r="AX4" s="204">
        <f t="shared" si="1"/>
        <v>2245.6251094915315</v>
      </c>
      <c r="AY4" s="204">
        <f t="shared" si="1"/>
        <v>2245.6251094915315</v>
      </c>
      <c r="AZ4" s="204">
        <f t="shared" si="1"/>
        <v>2245.6251094915315</v>
      </c>
      <c r="BA4" s="204">
        <f t="shared" si="1"/>
        <v>2245.6251094915315</v>
      </c>
      <c r="BB4" s="204">
        <f t="shared" si="1"/>
        <v>2245.6251094915315</v>
      </c>
      <c r="BC4" s="204">
        <f t="shared" si="1"/>
        <v>2245.6251094915315</v>
      </c>
      <c r="BD4" s="204">
        <f t="shared" si="1"/>
        <v>2245.6251094915315</v>
      </c>
      <c r="BE4" s="204">
        <f t="shared" si="1"/>
        <v>2245.6251094915315</v>
      </c>
      <c r="BF4" s="204">
        <f t="shared" si="1"/>
        <v>2245.6251094915315</v>
      </c>
      <c r="BG4" s="204">
        <f t="shared" si="1"/>
        <v>2245.6251094915315</v>
      </c>
      <c r="BH4" s="204">
        <f t="shared" si="1"/>
        <v>2245.6251094915315</v>
      </c>
      <c r="BI4" s="204">
        <f t="shared" si="1"/>
        <v>2245.6251094915315</v>
      </c>
      <c r="BJ4" s="204">
        <f t="shared" si="1"/>
        <v>2245.6251094915315</v>
      </c>
      <c r="BK4" s="204">
        <f t="shared" si="1"/>
        <v>2245.6251094915315</v>
      </c>
      <c r="BL4" s="204">
        <f t="shared" si="1"/>
        <v>2245.6251094915315</v>
      </c>
      <c r="BM4" s="204">
        <f t="shared" si="1"/>
        <v>2245.6251094915315</v>
      </c>
      <c r="BN4" s="204">
        <f t="shared" si="1"/>
        <v>2245.6251094915315</v>
      </c>
      <c r="BO4" s="204">
        <f t="shared" si="1"/>
        <v>2245.6251094915315</v>
      </c>
      <c r="BP4" s="204">
        <f t="shared" si="1"/>
        <v>2245.6251094915315</v>
      </c>
      <c r="BQ4" s="204">
        <f t="shared" si="1"/>
        <v>2245.6251094915315</v>
      </c>
      <c r="BR4" s="204">
        <f t="shared" si="1"/>
        <v>2245.6251094915315</v>
      </c>
      <c r="BS4" s="204">
        <f t="shared" si="1"/>
        <v>2245.6251094915315</v>
      </c>
      <c r="BT4" s="204">
        <f t="shared" si="1"/>
        <v>2245.6251094915315</v>
      </c>
      <c r="BU4" s="204">
        <f t="shared" si="1"/>
        <v>2245.6251094915315</v>
      </c>
      <c r="BV4" s="204">
        <f t="shared" si="1"/>
        <v>2245.6251094915315</v>
      </c>
      <c r="BW4" s="204">
        <f t="shared" si="1"/>
        <v>2245.6251094915315</v>
      </c>
      <c r="BX4" s="204">
        <f t="shared" si="1"/>
        <v>22480.232477817626</v>
      </c>
      <c r="BY4" s="204">
        <f t="shared" si="1"/>
        <v>22480.232477817626</v>
      </c>
      <c r="BZ4" s="204">
        <f t="shared" si="1"/>
        <v>22480.232477817626</v>
      </c>
      <c r="CA4" s="204">
        <f t="shared" si="2"/>
        <v>22480.232477817626</v>
      </c>
      <c r="CB4" s="204">
        <f t="shared" si="2"/>
        <v>22480.232477817626</v>
      </c>
      <c r="CC4" s="204">
        <f t="shared" si="2"/>
        <v>22480.232477817626</v>
      </c>
      <c r="CD4" s="204">
        <f t="shared" si="2"/>
        <v>22480.232477817626</v>
      </c>
      <c r="CE4" s="204">
        <f t="shared" si="2"/>
        <v>22480.232477817626</v>
      </c>
      <c r="CF4" s="204">
        <f t="shared" si="2"/>
        <v>22480.232477817626</v>
      </c>
      <c r="CG4" s="204">
        <f t="shared" si="2"/>
        <v>22480.232477817626</v>
      </c>
      <c r="CH4" s="204">
        <f t="shared" si="2"/>
        <v>22480.232477817626</v>
      </c>
      <c r="CI4" s="204">
        <f t="shared" si="2"/>
        <v>22480.232477817626</v>
      </c>
      <c r="CJ4" s="204">
        <f t="shared" si="2"/>
        <v>22480.232477817626</v>
      </c>
      <c r="CK4" s="204">
        <f t="shared" si="2"/>
        <v>22480.232477817626</v>
      </c>
      <c r="CL4" s="204">
        <f t="shared" si="2"/>
        <v>22480.232477817626</v>
      </c>
      <c r="CM4" s="204">
        <f t="shared" si="2"/>
        <v>22480.232477817626</v>
      </c>
      <c r="CN4" s="204">
        <f t="shared" si="2"/>
        <v>22480.232477817626</v>
      </c>
      <c r="CO4" s="204">
        <f t="shared" si="2"/>
        <v>22480.232477817626</v>
      </c>
      <c r="CP4" s="204">
        <f t="shared" si="2"/>
        <v>22480.232477817626</v>
      </c>
      <c r="CQ4" s="204">
        <f t="shared" si="2"/>
        <v>22480.232477817626</v>
      </c>
      <c r="CR4" s="204">
        <f t="shared" si="2"/>
        <v>36140.364759779412</v>
      </c>
      <c r="CS4" s="204">
        <f t="shared" si="3"/>
        <v>36140.364759779412</v>
      </c>
      <c r="CT4" s="204">
        <f t="shared" si="3"/>
        <v>36140.364759779412</v>
      </c>
      <c r="CU4" s="204">
        <f t="shared" si="3"/>
        <v>36140.364759779412</v>
      </c>
      <c r="CV4" s="204">
        <f t="shared" si="3"/>
        <v>36140.364759779412</v>
      </c>
      <c r="CW4" s="204">
        <f t="shared" si="3"/>
        <v>36140.364759779412</v>
      </c>
      <c r="CX4" s="204">
        <f t="shared" si="3"/>
        <v>36140.364759779412</v>
      </c>
      <c r="CY4" s="204">
        <f t="shared" si="3"/>
        <v>36140.364759779412</v>
      </c>
      <c r="CZ4" s="204">
        <f t="shared" si="3"/>
        <v>36140.364759779412</v>
      </c>
      <c r="DA4" s="204">
        <f t="shared" si="3"/>
        <v>36140.364759779412</v>
      </c>
      <c r="DB4" s="204"/>
    </row>
    <row r="5" spans="1:106">
      <c r="A5" s="201" t="str">
        <f>Income!A74</f>
        <v>Animal products consumed</v>
      </c>
      <c r="B5" s="203">
        <f>Income!B74</f>
        <v>573.66831497016756</v>
      </c>
      <c r="C5" s="203">
        <f>Income!C74</f>
        <v>1129.676859632458</v>
      </c>
      <c r="D5" s="203">
        <f>Income!D74</f>
        <v>1459.2244439662368</v>
      </c>
      <c r="E5" s="203">
        <f>Income!E74</f>
        <v>2403.4795915096111</v>
      </c>
      <c r="F5" s="204">
        <f t="shared" si="4"/>
        <v>573.66831497016756</v>
      </c>
      <c r="G5" s="204">
        <f t="shared" si="0"/>
        <v>573.66831497016756</v>
      </c>
      <c r="H5" s="204">
        <f t="shared" si="0"/>
        <v>573.66831497016756</v>
      </c>
      <c r="I5" s="204">
        <f t="shared" si="0"/>
        <v>573.66831497016756</v>
      </c>
      <c r="J5" s="204">
        <f t="shared" si="0"/>
        <v>573.66831497016756</v>
      </c>
      <c r="K5" s="204">
        <f t="shared" si="0"/>
        <v>573.66831497016756</v>
      </c>
      <c r="L5" s="204">
        <f t="shared" si="0"/>
        <v>573.66831497016756</v>
      </c>
      <c r="M5" s="204">
        <f t="shared" si="0"/>
        <v>573.66831497016756</v>
      </c>
      <c r="N5" s="204">
        <f t="shared" si="0"/>
        <v>573.66831497016756</v>
      </c>
      <c r="O5" s="204">
        <f t="shared" si="0"/>
        <v>573.66831497016756</v>
      </c>
      <c r="P5" s="204">
        <f t="shared" si="0"/>
        <v>573.66831497016756</v>
      </c>
      <c r="Q5" s="204">
        <f t="shared" si="0"/>
        <v>573.66831497016756</v>
      </c>
      <c r="R5" s="204">
        <f t="shared" si="0"/>
        <v>573.66831497016756</v>
      </c>
      <c r="S5" s="204">
        <f t="shared" si="0"/>
        <v>573.66831497016756</v>
      </c>
      <c r="T5" s="204">
        <f t="shared" si="0"/>
        <v>573.66831497016756</v>
      </c>
      <c r="U5" s="204">
        <f t="shared" si="0"/>
        <v>573.66831497016756</v>
      </c>
      <c r="V5" s="204">
        <f t="shared" si="0"/>
        <v>573.66831497016756</v>
      </c>
      <c r="W5" s="204">
        <f t="shared" si="0"/>
        <v>573.66831497016756</v>
      </c>
      <c r="X5" s="204">
        <f t="shared" si="0"/>
        <v>573.66831497016756</v>
      </c>
      <c r="Y5" s="204">
        <f t="shared" si="0"/>
        <v>573.66831497016756</v>
      </c>
      <c r="Z5" s="204">
        <f t="shared" si="0"/>
        <v>573.66831497016756</v>
      </c>
      <c r="AA5" s="204">
        <f t="shared" si="0"/>
        <v>573.66831497016756</v>
      </c>
      <c r="AB5" s="204">
        <f t="shared" si="0"/>
        <v>573.66831497016756</v>
      </c>
      <c r="AC5" s="204">
        <f t="shared" si="0"/>
        <v>573.66831497016756</v>
      </c>
      <c r="AD5" s="204">
        <f t="shared" si="0"/>
        <v>573.66831497016756</v>
      </c>
      <c r="AE5" s="204">
        <f t="shared" si="0"/>
        <v>573.66831497016756</v>
      </c>
      <c r="AF5" s="204">
        <f t="shared" si="0"/>
        <v>573.66831497016756</v>
      </c>
      <c r="AG5" s="204">
        <f t="shared" si="0"/>
        <v>573.66831497016756</v>
      </c>
      <c r="AH5" s="204">
        <f t="shared" si="0"/>
        <v>573.66831497016756</v>
      </c>
      <c r="AI5" s="204">
        <f t="shared" si="0"/>
        <v>573.66831497016756</v>
      </c>
      <c r="AJ5" s="204">
        <f t="shared" si="0"/>
        <v>573.66831497016756</v>
      </c>
      <c r="AK5" s="204">
        <f t="shared" si="0"/>
        <v>573.66831497016756</v>
      </c>
      <c r="AL5" s="204">
        <f t="shared" si="0"/>
        <v>573.66831497016756</v>
      </c>
      <c r="AM5" s="204">
        <f t="shared" si="0"/>
        <v>573.66831497016756</v>
      </c>
      <c r="AN5" s="204">
        <f t="shared" si="0"/>
        <v>573.66831497016756</v>
      </c>
      <c r="AO5" s="204">
        <f t="shared" si="0"/>
        <v>573.66831497016756</v>
      </c>
      <c r="AP5" s="204">
        <f t="shared" si="0"/>
        <v>1129.676859632458</v>
      </c>
      <c r="AQ5" s="204">
        <f t="shared" si="0"/>
        <v>1129.676859632458</v>
      </c>
      <c r="AR5" s="204">
        <f t="shared" si="0"/>
        <v>1129.676859632458</v>
      </c>
      <c r="AS5" s="204">
        <f t="shared" si="0"/>
        <v>1129.676859632458</v>
      </c>
      <c r="AT5" s="204">
        <f t="shared" si="0"/>
        <v>1129.676859632458</v>
      </c>
      <c r="AU5" s="204">
        <f t="shared" si="0"/>
        <v>1129.676859632458</v>
      </c>
      <c r="AV5" s="204">
        <f t="shared" si="0"/>
        <v>1129.676859632458</v>
      </c>
      <c r="AW5" s="204">
        <f t="shared" si="0"/>
        <v>1129.676859632458</v>
      </c>
      <c r="AX5" s="204">
        <f t="shared" si="1"/>
        <v>1129.676859632458</v>
      </c>
      <c r="AY5" s="204">
        <f t="shared" si="1"/>
        <v>1129.676859632458</v>
      </c>
      <c r="AZ5" s="204">
        <f t="shared" si="1"/>
        <v>1129.676859632458</v>
      </c>
      <c r="BA5" s="204">
        <f t="shared" si="1"/>
        <v>1129.676859632458</v>
      </c>
      <c r="BB5" s="204">
        <f t="shared" si="1"/>
        <v>1129.676859632458</v>
      </c>
      <c r="BC5" s="204">
        <f t="shared" si="1"/>
        <v>1129.676859632458</v>
      </c>
      <c r="BD5" s="204">
        <f t="shared" si="1"/>
        <v>1129.676859632458</v>
      </c>
      <c r="BE5" s="204">
        <f t="shared" si="1"/>
        <v>1129.676859632458</v>
      </c>
      <c r="BF5" s="204">
        <f t="shared" si="1"/>
        <v>1129.676859632458</v>
      </c>
      <c r="BG5" s="204">
        <f t="shared" si="1"/>
        <v>1129.676859632458</v>
      </c>
      <c r="BH5" s="204">
        <f t="shared" si="1"/>
        <v>1129.676859632458</v>
      </c>
      <c r="BI5" s="204">
        <f t="shared" si="1"/>
        <v>1129.676859632458</v>
      </c>
      <c r="BJ5" s="204">
        <f t="shared" si="1"/>
        <v>1129.676859632458</v>
      </c>
      <c r="BK5" s="204">
        <f t="shared" si="1"/>
        <v>1129.676859632458</v>
      </c>
      <c r="BL5" s="204">
        <f t="shared" si="1"/>
        <v>1129.676859632458</v>
      </c>
      <c r="BM5" s="204">
        <f t="shared" si="1"/>
        <v>1129.676859632458</v>
      </c>
      <c r="BN5" s="204">
        <f t="shared" si="1"/>
        <v>1129.676859632458</v>
      </c>
      <c r="BO5" s="204">
        <f t="shared" si="1"/>
        <v>1129.676859632458</v>
      </c>
      <c r="BP5" s="204">
        <f t="shared" si="1"/>
        <v>1129.676859632458</v>
      </c>
      <c r="BQ5" s="204">
        <f t="shared" si="1"/>
        <v>1129.676859632458</v>
      </c>
      <c r="BR5" s="204">
        <f t="shared" si="1"/>
        <v>1129.676859632458</v>
      </c>
      <c r="BS5" s="204">
        <f t="shared" si="1"/>
        <v>1129.676859632458</v>
      </c>
      <c r="BT5" s="204">
        <f t="shared" si="1"/>
        <v>1129.676859632458</v>
      </c>
      <c r="BU5" s="204">
        <f t="shared" si="1"/>
        <v>1129.676859632458</v>
      </c>
      <c r="BV5" s="204">
        <f t="shared" si="1"/>
        <v>1129.676859632458</v>
      </c>
      <c r="BW5" s="204">
        <f t="shared" si="1"/>
        <v>1129.676859632458</v>
      </c>
      <c r="BX5" s="204">
        <f t="shared" si="1"/>
        <v>1459.2244439662368</v>
      </c>
      <c r="BY5" s="204">
        <f t="shared" si="1"/>
        <v>1459.2244439662368</v>
      </c>
      <c r="BZ5" s="204">
        <f t="shared" si="1"/>
        <v>1459.2244439662368</v>
      </c>
      <c r="CA5" s="204">
        <f t="shared" si="2"/>
        <v>1459.2244439662368</v>
      </c>
      <c r="CB5" s="204">
        <f t="shared" si="2"/>
        <v>1459.2244439662368</v>
      </c>
      <c r="CC5" s="204">
        <f t="shared" si="2"/>
        <v>1459.2244439662368</v>
      </c>
      <c r="CD5" s="204">
        <f t="shared" si="2"/>
        <v>1459.2244439662368</v>
      </c>
      <c r="CE5" s="204">
        <f t="shared" si="2"/>
        <v>1459.2244439662368</v>
      </c>
      <c r="CF5" s="204">
        <f t="shared" si="2"/>
        <v>1459.2244439662368</v>
      </c>
      <c r="CG5" s="204">
        <f t="shared" si="2"/>
        <v>1459.2244439662368</v>
      </c>
      <c r="CH5" s="204">
        <f t="shared" si="2"/>
        <v>1459.2244439662368</v>
      </c>
      <c r="CI5" s="204">
        <f t="shared" si="2"/>
        <v>1459.2244439662368</v>
      </c>
      <c r="CJ5" s="204">
        <f t="shared" si="2"/>
        <v>1459.2244439662368</v>
      </c>
      <c r="CK5" s="204">
        <f t="shared" si="2"/>
        <v>1459.2244439662368</v>
      </c>
      <c r="CL5" s="204">
        <f t="shared" si="2"/>
        <v>1459.2244439662368</v>
      </c>
      <c r="CM5" s="204">
        <f t="shared" si="2"/>
        <v>1459.2244439662368</v>
      </c>
      <c r="CN5" s="204">
        <f t="shared" si="2"/>
        <v>1459.2244439662368</v>
      </c>
      <c r="CO5" s="204">
        <f t="shared" si="2"/>
        <v>1459.2244439662368</v>
      </c>
      <c r="CP5" s="204">
        <f t="shared" si="2"/>
        <v>1459.2244439662368</v>
      </c>
      <c r="CQ5" s="204">
        <f t="shared" si="2"/>
        <v>1459.2244439662368</v>
      </c>
      <c r="CR5" s="204">
        <f t="shared" si="2"/>
        <v>2403.4795915096111</v>
      </c>
      <c r="CS5" s="204">
        <f t="shared" si="3"/>
        <v>2403.4795915096111</v>
      </c>
      <c r="CT5" s="204">
        <f t="shared" si="3"/>
        <v>2403.4795915096111</v>
      </c>
      <c r="CU5" s="204">
        <f t="shared" si="3"/>
        <v>2403.4795915096111</v>
      </c>
      <c r="CV5" s="204">
        <f t="shared" si="3"/>
        <v>2403.4795915096111</v>
      </c>
      <c r="CW5" s="204">
        <f t="shared" si="3"/>
        <v>2403.4795915096111</v>
      </c>
      <c r="CX5" s="204">
        <f t="shared" si="3"/>
        <v>2403.4795915096111</v>
      </c>
      <c r="CY5" s="204">
        <f t="shared" si="3"/>
        <v>2403.4795915096111</v>
      </c>
      <c r="CZ5" s="204">
        <f t="shared" si="3"/>
        <v>2403.4795915096111</v>
      </c>
      <c r="DA5" s="204">
        <f t="shared" si="3"/>
        <v>2403.4795915096111</v>
      </c>
      <c r="DB5" s="204"/>
    </row>
    <row r="6" spans="1:106">
      <c r="A6" s="201" t="str">
        <f>Income!A75</f>
        <v>Animal products sold</v>
      </c>
      <c r="B6" s="203">
        <f>Income!B75</f>
        <v>0</v>
      </c>
      <c r="C6" s="203">
        <f>Income!C75</f>
        <v>0</v>
      </c>
      <c r="D6" s="203">
        <f>Income!D75</f>
        <v>0</v>
      </c>
      <c r="E6" s="203">
        <f>Income!E75</f>
        <v>0</v>
      </c>
      <c r="F6" s="204">
        <f t="shared" si="4"/>
        <v>0</v>
      </c>
      <c r="G6" s="204">
        <f t="shared" si="0"/>
        <v>0</v>
      </c>
      <c r="H6" s="204">
        <f t="shared" si="0"/>
        <v>0</v>
      </c>
      <c r="I6" s="204">
        <f t="shared" si="0"/>
        <v>0</v>
      </c>
      <c r="J6" s="204">
        <f t="shared" si="0"/>
        <v>0</v>
      </c>
      <c r="K6" s="204">
        <f t="shared" si="0"/>
        <v>0</v>
      </c>
      <c r="L6" s="204">
        <f t="shared" si="0"/>
        <v>0</v>
      </c>
      <c r="M6" s="204">
        <f t="shared" si="0"/>
        <v>0</v>
      </c>
      <c r="N6" s="204">
        <f t="shared" si="0"/>
        <v>0</v>
      </c>
      <c r="O6" s="204">
        <f t="shared" si="0"/>
        <v>0</v>
      </c>
      <c r="P6" s="204">
        <f t="shared" si="0"/>
        <v>0</v>
      </c>
      <c r="Q6" s="204">
        <f t="shared" si="0"/>
        <v>0</v>
      </c>
      <c r="R6" s="204">
        <f t="shared" si="0"/>
        <v>0</v>
      </c>
      <c r="S6" s="204">
        <f t="shared" si="0"/>
        <v>0</v>
      </c>
      <c r="T6" s="204">
        <f t="shared" si="0"/>
        <v>0</v>
      </c>
      <c r="U6" s="204">
        <f t="shared" si="0"/>
        <v>0</v>
      </c>
      <c r="V6" s="204">
        <f t="shared" si="0"/>
        <v>0</v>
      </c>
      <c r="W6" s="204">
        <f t="shared" si="0"/>
        <v>0</v>
      </c>
      <c r="X6" s="204">
        <f t="shared" si="0"/>
        <v>0</v>
      </c>
      <c r="Y6" s="204">
        <f t="shared" si="0"/>
        <v>0</v>
      </c>
      <c r="Z6" s="204">
        <f t="shared" si="0"/>
        <v>0</v>
      </c>
      <c r="AA6" s="204">
        <f t="shared" si="0"/>
        <v>0</v>
      </c>
      <c r="AB6" s="204">
        <f t="shared" si="0"/>
        <v>0</v>
      </c>
      <c r="AC6" s="204">
        <f t="shared" si="0"/>
        <v>0</v>
      </c>
      <c r="AD6" s="204">
        <f t="shared" si="0"/>
        <v>0</v>
      </c>
      <c r="AE6" s="204">
        <f t="shared" si="0"/>
        <v>0</v>
      </c>
      <c r="AF6" s="204">
        <f t="shared" si="0"/>
        <v>0</v>
      </c>
      <c r="AG6" s="204">
        <f t="shared" si="0"/>
        <v>0</v>
      </c>
      <c r="AH6" s="204">
        <f t="shared" si="0"/>
        <v>0</v>
      </c>
      <c r="AI6" s="204">
        <f t="shared" si="0"/>
        <v>0</v>
      </c>
      <c r="AJ6" s="204">
        <f t="shared" si="0"/>
        <v>0</v>
      </c>
      <c r="AK6" s="204">
        <f t="shared" si="0"/>
        <v>0</v>
      </c>
      <c r="AL6" s="204">
        <f t="shared" si="0"/>
        <v>0</v>
      </c>
      <c r="AM6" s="204">
        <f t="shared" si="0"/>
        <v>0</v>
      </c>
      <c r="AN6" s="204">
        <f t="shared" si="0"/>
        <v>0</v>
      </c>
      <c r="AO6" s="204">
        <f t="shared" si="0"/>
        <v>0</v>
      </c>
      <c r="AP6" s="204">
        <f t="shared" si="0"/>
        <v>0</v>
      </c>
      <c r="AQ6" s="204">
        <f t="shared" si="0"/>
        <v>0</v>
      </c>
      <c r="AR6" s="204">
        <f t="shared" si="0"/>
        <v>0</v>
      </c>
      <c r="AS6" s="204">
        <f t="shared" si="0"/>
        <v>0</v>
      </c>
      <c r="AT6" s="204">
        <f t="shared" si="0"/>
        <v>0</v>
      </c>
      <c r="AU6" s="204">
        <f t="shared" si="0"/>
        <v>0</v>
      </c>
      <c r="AV6" s="204">
        <f t="shared" si="0"/>
        <v>0</v>
      </c>
      <c r="AW6" s="204">
        <f t="shared" si="0"/>
        <v>0</v>
      </c>
      <c r="AX6" s="204">
        <f t="shared" si="1"/>
        <v>0</v>
      </c>
      <c r="AY6" s="204">
        <f t="shared" si="1"/>
        <v>0</v>
      </c>
      <c r="AZ6" s="204">
        <f t="shared" si="1"/>
        <v>0</v>
      </c>
      <c r="BA6" s="204">
        <f t="shared" si="1"/>
        <v>0</v>
      </c>
      <c r="BB6" s="204">
        <f t="shared" si="1"/>
        <v>0</v>
      </c>
      <c r="BC6" s="204">
        <f t="shared" si="1"/>
        <v>0</v>
      </c>
      <c r="BD6" s="204">
        <f t="shared" si="1"/>
        <v>0</v>
      </c>
      <c r="BE6" s="204">
        <f t="shared" si="1"/>
        <v>0</v>
      </c>
      <c r="BF6" s="204">
        <f t="shared" si="1"/>
        <v>0</v>
      </c>
      <c r="BG6" s="204">
        <f t="shared" si="1"/>
        <v>0</v>
      </c>
      <c r="BH6" s="204">
        <f t="shared" si="1"/>
        <v>0</v>
      </c>
      <c r="BI6" s="204">
        <f t="shared" si="1"/>
        <v>0</v>
      </c>
      <c r="BJ6" s="204">
        <f t="shared" si="1"/>
        <v>0</v>
      </c>
      <c r="BK6" s="204">
        <f t="shared" si="1"/>
        <v>0</v>
      </c>
      <c r="BL6" s="204">
        <f t="shared" si="1"/>
        <v>0</v>
      </c>
      <c r="BM6" s="204">
        <f t="shared" si="1"/>
        <v>0</v>
      </c>
      <c r="BN6" s="204">
        <f t="shared" si="1"/>
        <v>0</v>
      </c>
      <c r="BO6" s="204">
        <f t="shared" si="1"/>
        <v>0</v>
      </c>
      <c r="BP6" s="204">
        <f t="shared" si="1"/>
        <v>0</v>
      </c>
      <c r="BQ6" s="204">
        <f t="shared" si="1"/>
        <v>0</v>
      </c>
      <c r="BR6" s="204">
        <f t="shared" si="1"/>
        <v>0</v>
      </c>
      <c r="BS6" s="204">
        <f t="shared" si="1"/>
        <v>0</v>
      </c>
      <c r="BT6" s="204">
        <f t="shared" si="1"/>
        <v>0</v>
      </c>
      <c r="BU6" s="204">
        <f t="shared" si="1"/>
        <v>0</v>
      </c>
      <c r="BV6" s="204">
        <f t="shared" si="1"/>
        <v>0</v>
      </c>
      <c r="BW6" s="204">
        <f t="shared" si="1"/>
        <v>0</v>
      </c>
      <c r="BX6" s="204">
        <f t="shared" si="1"/>
        <v>0</v>
      </c>
      <c r="BY6" s="204">
        <f t="shared" si="1"/>
        <v>0</v>
      </c>
      <c r="BZ6" s="204">
        <f t="shared" si="1"/>
        <v>0</v>
      </c>
      <c r="CA6" s="204">
        <f t="shared" si="2"/>
        <v>0</v>
      </c>
      <c r="CB6" s="204">
        <f t="shared" si="2"/>
        <v>0</v>
      </c>
      <c r="CC6" s="204">
        <f t="shared" si="2"/>
        <v>0</v>
      </c>
      <c r="CD6" s="204">
        <f t="shared" si="2"/>
        <v>0</v>
      </c>
      <c r="CE6" s="204">
        <f t="shared" si="2"/>
        <v>0</v>
      </c>
      <c r="CF6" s="204">
        <f t="shared" si="2"/>
        <v>0</v>
      </c>
      <c r="CG6" s="204">
        <f t="shared" si="2"/>
        <v>0</v>
      </c>
      <c r="CH6" s="204">
        <f t="shared" si="2"/>
        <v>0</v>
      </c>
      <c r="CI6" s="204">
        <f t="shared" si="2"/>
        <v>0</v>
      </c>
      <c r="CJ6" s="204">
        <f t="shared" si="2"/>
        <v>0</v>
      </c>
      <c r="CK6" s="204">
        <f t="shared" si="2"/>
        <v>0</v>
      </c>
      <c r="CL6" s="204">
        <f t="shared" si="2"/>
        <v>0</v>
      </c>
      <c r="CM6" s="204">
        <f t="shared" si="2"/>
        <v>0</v>
      </c>
      <c r="CN6" s="204">
        <f t="shared" si="2"/>
        <v>0</v>
      </c>
      <c r="CO6" s="204">
        <f t="shared" si="2"/>
        <v>0</v>
      </c>
      <c r="CP6" s="204">
        <f t="shared" si="2"/>
        <v>0</v>
      </c>
      <c r="CQ6" s="204">
        <f t="shared" si="2"/>
        <v>0</v>
      </c>
      <c r="CR6" s="204">
        <f t="shared" si="2"/>
        <v>0</v>
      </c>
      <c r="CS6" s="204">
        <f t="shared" si="3"/>
        <v>0</v>
      </c>
      <c r="CT6" s="204">
        <f t="shared" si="3"/>
        <v>0</v>
      </c>
      <c r="CU6" s="204">
        <f t="shared" si="3"/>
        <v>0</v>
      </c>
      <c r="CV6" s="204">
        <f t="shared" si="3"/>
        <v>0</v>
      </c>
      <c r="CW6" s="204">
        <f t="shared" si="3"/>
        <v>0</v>
      </c>
      <c r="CX6" s="204">
        <f t="shared" si="3"/>
        <v>0</v>
      </c>
      <c r="CY6" s="204">
        <f t="shared" si="3"/>
        <v>0</v>
      </c>
      <c r="CZ6" s="204">
        <f t="shared" si="3"/>
        <v>0</v>
      </c>
      <c r="DA6" s="204">
        <f t="shared" si="3"/>
        <v>0</v>
      </c>
      <c r="DB6" s="204"/>
    </row>
    <row r="7" spans="1:106">
      <c r="A7" s="201" t="str">
        <f>Income!A76</f>
        <v>Animals sold</v>
      </c>
      <c r="B7" s="203">
        <f>Income!B76</f>
        <v>0</v>
      </c>
      <c r="C7" s="203">
        <f>Income!C76</f>
        <v>5786.8409242296002</v>
      </c>
      <c r="D7" s="203">
        <f>Income!D76</f>
        <v>17821.954030550129</v>
      </c>
      <c r="E7" s="203">
        <f>Income!E76</f>
        <v>31091.652569821865</v>
      </c>
      <c r="F7" s="204">
        <f t="shared" si="4"/>
        <v>0</v>
      </c>
      <c r="G7" s="204">
        <f t="shared" si="0"/>
        <v>0</v>
      </c>
      <c r="H7" s="204">
        <f t="shared" si="0"/>
        <v>0</v>
      </c>
      <c r="I7" s="204">
        <f t="shared" si="0"/>
        <v>0</v>
      </c>
      <c r="J7" s="204">
        <f t="shared" si="0"/>
        <v>0</v>
      </c>
      <c r="K7" s="204">
        <f t="shared" si="0"/>
        <v>0</v>
      </c>
      <c r="L7" s="204">
        <f t="shared" si="0"/>
        <v>0</v>
      </c>
      <c r="M7" s="204">
        <f t="shared" si="0"/>
        <v>0</v>
      </c>
      <c r="N7" s="204">
        <f t="shared" si="0"/>
        <v>0</v>
      </c>
      <c r="O7" s="204">
        <f t="shared" si="0"/>
        <v>0</v>
      </c>
      <c r="P7" s="204">
        <f t="shared" si="0"/>
        <v>0</v>
      </c>
      <c r="Q7" s="204">
        <f t="shared" si="0"/>
        <v>0</v>
      </c>
      <c r="R7" s="204">
        <f t="shared" si="0"/>
        <v>0</v>
      </c>
      <c r="S7" s="204">
        <f t="shared" si="0"/>
        <v>0</v>
      </c>
      <c r="T7" s="204">
        <f t="shared" si="0"/>
        <v>0</v>
      </c>
      <c r="U7" s="204">
        <f t="shared" si="0"/>
        <v>0</v>
      </c>
      <c r="V7" s="204">
        <f t="shared" si="0"/>
        <v>0</v>
      </c>
      <c r="W7" s="204">
        <f t="shared" si="0"/>
        <v>0</v>
      </c>
      <c r="X7" s="204">
        <f t="shared" si="0"/>
        <v>0</v>
      </c>
      <c r="Y7" s="204">
        <f t="shared" si="0"/>
        <v>0</v>
      </c>
      <c r="Z7" s="204">
        <f t="shared" si="0"/>
        <v>0</v>
      </c>
      <c r="AA7" s="204">
        <f t="shared" si="0"/>
        <v>0</v>
      </c>
      <c r="AB7" s="204">
        <f t="shared" si="0"/>
        <v>0</v>
      </c>
      <c r="AC7" s="204">
        <f t="shared" si="0"/>
        <v>0</v>
      </c>
      <c r="AD7" s="204">
        <f t="shared" si="0"/>
        <v>0</v>
      </c>
      <c r="AE7" s="204">
        <f t="shared" si="0"/>
        <v>0</v>
      </c>
      <c r="AF7" s="204">
        <f t="shared" si="0"/>
        <v>0</v>
      </c>
      <c r="AG7" s="204">
        <f t="shared" si="0"/>
        <v>0</v>
      </c>
      <c r="AH7" s="204">
        <f t="shared" si="0"/>
        <v>0</v>
      </c>
      <c r="AI7" s="204">
        <f t="shared" si="0"/>
        <v>0</v>
      </c>
      <c r="AJ7" s="204">
        <f t="shared" si="0"/>
        <v>0</v>
      </c>
      <c r="AK7" s="204">
        <f t="shared" si="0"/>
        <v>0</v>
      </c>
      <c r="AL7" s="204">
        <f t="shared" si="0"/>
        <v>0</v>
      </c>
      <c r="AM7" s="204">
        <f t="shared" si="0"/>
        <v>0</v>
      </c>
      <c r="AN7" s="204">
        <f t="shared" si="0"/>
        <v>0</v>
      </c>
      <c r="AO7" s="204">
        <f t="shared" si="0"/>
        <v>0</v>
      </c>
      <c r="AP7" s="204">
        <f t="shared" si="0"/>
        <v>5786.8409242296002</v>
      </c>
      <c r="AQ7" s="204">
        <f t="shared" si="0"/>
        <v>5786.8409242296002</v>
      </c>
      <c r="AR7" s="204">
        <f t="shared" si="0"/>
        <v>5786.8409242296002</v>
      </c>
      <c r="AS7" s="204">
        <f t="shared" si="0"/>
        <v>5786.8409242296002</v>
      </c>
      <c r="AT7" s="204">
        <f t="shared" si="0"/>
        <v>5786.8409242296002</v>
      </c>
      <c r="AU7" s="204">
        <f t="shared" ref="AU7:BJ8" si="5">IF(AU$2&lt;=($B$2+$C$2+$D$2),IF(AU$2&lt;=($B$2+$C$2),IF(AU$2&lt;=$B$2,$B7,$C7),$D7),$E7)</f>
        <v>5786.8409242296002</v>
      </c>
      <c r="AV7" s="204">
        <f t="shared" si="5"/>
        <v>5786.8409242296002</v>
      </c>
      <c r="AW7" s="204">
        <f t="shared" si="5"/>
        <v>5786.8409242296002</v>
      </c>
      <c r="AX7" s="204">
        <f t="shared" si="5"/>
        <v>5786.8409242296002</v>
      </c>
      <c r="AY7" s="204">
        <f t="shared" si="5"/>
        <v>5786.8409242296002</v>
      </c>
      <c r="AZ7" s="204">
        <f t="shared" si="5"/>
        <v>5786.8409242296002</v>
      </c>
      <c r="BA7" s="204">
        <f t="shared" si="5"/>
        <v>5786.8409242296002</v>
      </c>
      <c r="BB7" s="204">
        <f t="shared" si="5"/>
        <v>5786.8409242296002</v>
      </c>
      <c r="BC7" s="204">
        <f t="shared" si="5"/>
        <v>5786.8409242296002</v>
      </c>
      <c r="BD7" s="204">
        <f t="shared" si="5"/>
        <v>5786.8409242296002</v>
      </c>
      <c r="BE7" s="204">
        <f t="shared" si="5"/>
        <v>5786.8409242296002</v>
      </c>
      <c r="BF7" s="204">
        <f t="shared" si="5"/>
        <v>5786.8409242296002</v>
      </c>
      <c r="BG7" s="204">
        <f t="shared" si="5"/>
        <v>5786.8409242296002</v>
      </c>
      <c r="BH7" s="204">
        <f t="shared" si="5"/>
        <v>5786.8409242296002</v>
      </c>
      <c r="BI7" s="204">
        <f t="shared" si="5"/>
        <v>5786.8409242296002</v>
      </c>
      <c r="BJ7" s="204">
        <f t="shared" si="5"/>
        <v>5786.8409242296002</v>
      </c>
      <c r="BK7" s="204">
        <f t="shared" si="1"/>
        <v>5786.8409242296002</v>
      </c>
      <c r="BL7" s="204">
        <f t="shared" si="1"/>
        <v>5786.8409242296002</v>
      </c>
      <c r="BM7" s="204">
        <f t="shared" si="1"/>
        <v>5786.8409242296002</v>
      </c>
      <c r="BN7" s="204">
        <f t="shared" si="1"/>
        <v>5786.8409242296002</v>
      </c>
      <c r="BO7" s="204">
        <f t="shared" si="1"/>
        <v>5786.8409242296002</v>
      </c>
      <c r="BP7" s="204">
        <f t="shared" si="1"/>
        <v>5786.8409242296002</v>
      </c>
      <c r="BQ7" s="204">
        <f t="shared" si="1"/>
        <v>5786.8409242296002</v>
      </c>
      <c r="BR7" s="204">
        <f t="shared" si="1"/>
        <v>5786.8409242296002</v>
      </c>
      <c r="BS7" s="204">
        <f t="shared" si="1"/>
        <v>5786.8409242296002</v>
      </c>
      <c r="BT7" s="204">
        <f t="shared" si="1"/>
        <v>5786.8409242296002</v>
      </c>
      <c r="BU7" s="204">
        <f t="shared" si="1"/>
        <v>5786.8409242296002</v>
      </c>
      <c r="BV7" s="204">
        <f t="shared" si="1"/>
        <v>5786.8409242296002</v>
      </c>
      <c r="BW7" s="204">
        <f t="shared" si="1"/>
        <v>5786.8409242296002</v>
      </c>
      <c r="BX7" s="204">
        <f t="shared" si="1"/>
        <v>17821.954030550129</v>
      </c>
      <c r="BY7" s="204">
        <f t="shared" si="1"/>
        <v>17821.954030550129</v>
      </c>
      <c r="BZ7" s="204">
        <f t="shared" si="1"/>
        <v>17821.954030550129</v>
      </c>
      <c r="CA7" s="204">
        <f t="shared" si="2"/>
        <v>17821.954030550129</v>
      </c>
      <c r="CB7" s="204">
        <f t="shared" si="2"/>
        <v>17821.954030550129</v>
      </c>
      <c r="CC7" s="204">
        <f t="shared" si="2"/>
        <v>17821.954030550129</v>
      </c>
      <c r="CD7" s="204">
        <f t="shared" si="2"/>
        <v>17821.954030550129</v>
      </c>
      <c r="CE7" s="204">
        <f t="shared" si="2"/>
        <v>17821.954030550129</v>
      </c>
      <c r="CF7" s="204">
        <f t="shared" si="2"/>
        <v>17821.954030550129</v>
      </c>
      <c r="CG7" s="204">
        <f t="shared" si="2"/>
        <v>17821.954030550129</v>
      </c>
      <c r="CH7" s="204">
        <f t="shared" si="2"/>
        <v>17821.954030550129</v>
      </c>
      <c r="CI7" s="204">
        <f t="shared" si="2"/>
        <v>17821.954030550129</v>
      </c>
      <c r="CJ7" s="204">
        <f t="shared" si="2"/>
        <v>17821.954030550129</v>
      </c>
      <c r="CK7" s="204">
        <f t="shared" si="2"/>
        <v>17821.954030550129</v>
      </c>
      <c r="CL7" s="204">
        <f t="shared" si="2"/>
        <v>17821.954030550129</v>
      </c>
      <c r="CM7" s="204">
        <f t="shared" si="2"/>
        <v>17821.954030550129</v>
      </c>
      <c r="CN7" s="204">
        <f t="shared" si="2"/>
        <v>17821.954030550129</v>
      </c>
      <c r="CO7" s="204">
        <f t="shared" si="2"/>
        <v>17821.954030550129</v>
      </c>
      <c r="CP7" s="204">
        <f t="shared" si="2"/>
        <v>17821.954030550129</v>
      </c>
      <c r="CQ7" s="204">
        <f t="shared" si="2"/>
        <v>17821.954030550129</v>
      </c>
      <c r="CR7" s="204">
        <f t="shared" si="2"/>
        <v>31091.652569821865</v>
      </c>
      <c r="CS7" s="204">
        <f t="shared" si="3"/>
        <v>31091.652569821865</v>
      </c>
      <c r="CT7" s="204">
        <f t="shared" si="3"/>
        <v>31091.652569821865</v>
      </c>
      <c r="CU7" s="204">
        <f t="shared" si="3"/>
        <v>31091.652569821865</v>
      </c>
      <c r="CV7" s="204">
        <f t="shared" si="3"/>
        <v>31091.652569821865</v>
      </c>
      <c r="CW7" s="204">
        <f t="shared" si="3"/>
        <v>31091.652569821865</v>
      </c>
      <c r="CX7" s="204">
        <f t="shared" si="3"/>
        <v>31091.652569821865</v>
      </c>
      <c r="CY7" s="204">
        <f t="shared" si="3"/>
        <v>31091.652569821865</v>
      </c>
      <c r="CZ7" s="204">
        <f t="shared" si="3"/>
        <v>31091.652569821865</v>
      </c>
      <c r="DA7" s="204">
        <f t="shared" si="3"/>
        <v>31091.652569821865</v>
      </c>
      <c r="DB7" s="204"/>
    </row>
    <row r="8" spans="1:106">
      <c r="A8" s="201" t="str">
        <f>Income!A77</f>
        <v>Wild foods consumed and sold</v>
      </c>
      <c r="B8" s="203">
        <f>Income!B77</f>
        <v>657.73500474724642</v>
      </c>
      <c r="C8" s="203">
        <f>Income!C77</f>
        <v>1143.6735530306601</v>
      </c>
      <c r="D8" s="203">
        <f>Income!D77</f>
        <v>0</v>
      </c>
      <c r="E8" s="203">
        <f>Income!E77</f>
        <v>0</v>
      </c>
      <c r="F8" s="204">
        <f t="shared" si="4"/>
        <v>657.73500474724642</v>
      </c>
      <c r="G8" s="204">
        <f t="shared" si="4"/>
        <v>657.73500474724642</v>
      </c>
      <c r="H8" s="204">
        <f t="shared" si="4"/>
        <v>657.73500474724642</v>
      </c>
      <c r="I8" s="204">
        <f t="shared" si="4"/>
        <v>657.73500474724642</v>
      </c>
      <c r="J8" s="204">
        <f t="shared" si="4"/>
        <v>657.73500474724642</v>
      </c>
      <c r="K8" s="204">
        <f t="shared" si="4"/>
        <v>657.73500474724642</v>
      </c>
      <c r="L8" s="204">
        <f t="shared" si="4"/>
        <v>657.73500474724642</v>
      </c>
      <c r="M8" s="204">
        <f t="shared" si="4"/>
        <v>657.73500474724642</v>
      </c>
      <c r="N8" s="204">
        <f t="shared" si="4"/>
        <v>657.73500474724642</v>
      </c>
      <c r="O8" s="204">
        <f t="shared" si="4"/>
        <v>657.73500474724642</v>
      </c>
      <c r="P8" s="204">
        <f t="shared" si="4"/>
        <v>657.73500474724642</v>
      </c>
      <c r="Q8" s="204">
        <f t="shared" si="4"/>
        <v>657.73500474724642</v>
      </c>
      <c r="R8" s="204">
        <f t="shared" si="4"/>
        <v>657.73500474724642</v>
      </c>
      <c r="S8" s="204">
        <f t="shared" si="4"/>
        <v>657.73500474724642</v>
      </c>
      <c r="T8" s="204">
        <f t="shared" si="4"/>
        <v>657.73500474724642</v>
      </c>
      <c r="U8" s="204">
        <f t="shared" si="4"/>
        <v>657.73500474724642</v>
      </c>
      <c r="V8" s="204">
        <f t="shared" ref="V8:AK18" si="6">IF(V$2&lt;=($B$2+$C$2+$D$2),IF(V$2&lt;=($B$2+$C$2),IF(V$2&lt;=$B$2,$B8,$C8),$D8),$E8)</f>
        <v>657.73500474724642</v>
      </c>
      <c r="W8" s="204">
        <f t="shared" si="6"/>
        <v>657.73500474724642</v>
      </c>
      <c r="X8" s="204">
        <f t="shared" si="6"/>
        <v>657.73500474724642</v>
      </c>
      <c r="Y8" s="204">
        <f t="shared" si="6"/>
        <v>657.73500474724642</v>
      </c>
      <c r="Z8" s="204">
        <f t="shared" si="6"/>
        <v>657.73500474724642</v>
      </c>
      <c r="AA8" s="204">
        <f t="shared" si="6"/>
        <v>657.73500474724642</v>
      </c>
      <c r="AB8" s="204">
        <f t="shared" si="6"/>
        <v>657.73500474724642</v>
      </c>
      <c r="AC8" s="204">
        <f t="shared" si="6"/>
        <v>657.73500474724642</v>
      </c>
      <c r="AD8" s="204">
        <f t="shared" si="6"/>
        <v>657.73500474724642</v>
      </c>
      <c r="AE8" s="204">
        <f t="shared" si="6"/>
        <v>657.73500474724642</v>
      </c>
      <c r="AF8" s="204">
        <f t="shared" si="6"/>
        <v>657.73500474724642</v>
      </c>
      <c r="AG8" s="204">
        <f t="shared" si="6"/>
        <v>657.73500474724642</v>
      </c>
      <c r="AH8" s="204">
        <f t="shared" si="6"/>
        <v>657.73500474724642</v>
      </c>
      <c r="AI8" s="204">
        <f t="shared" si="6"/>
        <v>657.73500474724642</v>
      </c>
      <c r="AJ8" s="204">
        <f t="shared" si="6"/>
        <v>657.73500474724642</v>
      </c>
      <c r="AK8" s="204">
        <f t="shared" si="6"/>
        <v>657.73500474724642</v>
      </c>
      <c r="AL8" s="204">
        <f t="shared" ref="AL8:BA18" si="7">IF(AL$2&lt;=($B$2+$C$2+$D$2),IF(AL$2&lt;=($B$2+$C$2),IF(AL$2&lt;=$B$2,$B8,$C8),$D8),$E8)</f>
        <v>657.73500474724642</v>
      </c>
      <c r="AM8" s="204">
        <f t="shared" si="7"/>
        <v>657.73500474724642</v>
      </c>
      <c r="AN8" s="204">
        <f t="shared" si="7"/>
        <v>657.73500474724642</v>
      </c>
      <c r="AO8" s="204">
        <f t="shared" si="7"/>
        <v>657.73500474724642</v>
      </c>
      <c r="AP8" s="204">
        <f t="shared" si="7"/>
        <v>1143.6735530306601</v>
      </c>
      <c r="AQ8" s="204">
        <f t="shared" si="7"/>
        <v>1143.6735530306601</v>
      </c>
      <c r="AR8" s="204">
        <f t="shared" si="7"/>
        <v>1143.6735530306601</v>
      </c>
      <c r="AS8" s="204">
        <f t="shared" si="7"/>
        <v>1143.6735530306601</v>
      </c>
      <c r="AT8" s="204">
        <f t="shared" si="7"/>
        <v>1143.6735530306601</v>
      </c>
      <c r="AU8" s="204">
        <f t="shared" si="7"/>
        <v>1143.6735530306601</v>
      </c>
      <c r="AV8" s="204">
        <f t="shared" si="7"/>
        <v>1143.6735530306601</v>
      </c>
      <c r="AW8" s="204">
        <f t="shared" si="7"/>
        <v>1143.6735530306601</v>
      </c>
      <c r="AX8" s="204">
        <f t="shared" si="7"/>
        <v>1143.6735530306601</v>
      </c>
      <c r="AY8" s="204">
        <f t="shared" si="7"/>
        <v>1143.6735530306601</v>
      </c>
      <c r="AZ8" s="204">
        <f t="shared" si="7"/>
        <v>1143.6735530306601</v>
      </c>
      <c r="BA8" s="204">
        <f t="shared" si="7"/>
        <v>1143.6735530306601</v>
      </c>
      <c r="BB8" s="204">
        <f t="shared" si="5"/>
        <v>1143.6735530306601</v>
      </c>
      <c r="BC8" s="204">
        <f t="shared" si="5"/>
        <v>1143.6735530306601</v>
      </c>
      <c r="BD8" s="204">
        <f t="shared" si="5"/>
        <v>1143.6735530306601</v>
      </c>
      <c r="BE8" s="204">
        <f t="shared" si="5"/>
        <v>1143.6735530306601</v>
      </c>
      <c r="BF8" s="204">
        <f t="shared" si="5"/>
        <v>1143.6735530306601</v>
      </c>
      <c r="BG8" s="204">
        <f t="shared" si="5"/>
        <v>1143.6735530306601</v>
      </c>
      <c r="BH8" s="204">
        <f t="shared" si="5"/>
        <v>1143.6735530306601</v>
      </c>
      <c r="BI8" s="204">
        <f t="shared" si="5"/>
        <v>1143.6735530306601</v>
      </c>
      <c r="BJ8" s="204">
        <f t="shared" si="5"/>
        <v>1143.6735530306601</v>
      </c>
      <c r="BK8" s="204">
        <f t="shared" si="1"/>
        <v>1143.6735530306601</v>
      </c>
      <c r="BL8" s="204">
        <f t="shared" si="1"/>
        <v>1143.6735530306601</v>
      </c>
      <c r="BM8" s="204">
        <f t="shared" si="1"/>
        <v>1143.6735530306601</v>
      </c>
      <c r="BN8" s="204">
        <f t="shared" si="1"/>
        <v>1143.6735530306601</v>
      </c>
      <c r="BO8" s="204">
        <f t="shared" si="1"/>
        <v>1143.6735530306601</v>
      </c>
      <c r="BP8" s="204">
        <f t="shared" si="1"/>
        <v>1143.6735530306601</v>
      </c>
      <c r="BQ8" s="204">
        <f t="shared" si="1"/>
        <v>1143.6735530306601</v>
      </c>
      <c r="BR8" s="204">
        <f t="shared" si="1"/>
        <v>1143.6735530306601</v>
      </c>
      <c r="BS8" s="204">
        <f t="shared" si="1"/>
        <v>1143.6735530306601</v>
      </c>
      <c r="BT8" s="204">
        <f t="shared" si="1"/>
        <v>1143.6735530306601</v>
      </c>
      <c r="BU8" s="204">
        <f t="shared" si="1"/>
        <v>1143.6735530306601</v>
      </c>
      <c r="BV8" s="204">
        <f t="shared" si="1"/>
        <v>1143.6735530306601</v>
      </c>
      <c r="BW8" s="204">
        <f t="shared" si="1"/>
        <v>1143.6735530306601</v>
      </c>
      <c r="BX8" s="204">
        <f t="shared" si="1"/>
        <v>0</v>
      </c>
      <c r="BY8" s="204">
        <f t="shared" si="1"/>
        <v>0</v>
      </c>
      <c r="BZ8" s="204">
        <f t="shared" si="1"/>
        <v>0</v>
      </c>
      <c r="CA8" s="204">
        <f t="shared" si="2"/>
        <v>0</v>
      </c>
      <c r="CB8" s="204">
        <f t="shared" si="2"/>
        <v>0</v>
      </c>
      <c r="CC8" s="204">
        <f t="shared" si="2"/>
        <v>0</v>
      </c>
      <c r="CD8" s="204">
        <f t="shared" si="2"/>
        <v>0</v>
      </c>
      <c r="CE8" s="204">
        <f t="shared" si="2"/>
        <v>0</v>
      </c>
      <c r="CF8" s="204">
        <f t="shared" si="2"/>
        <v>0</v>
      </c>
      <c r="CG8" s="204">
        <f t="shared" si="2"/>
        <v>0</v>
      </c>
      <c r="CH8" s="204">
        <f t="shared" si="2"/>
        <v>0</v>
      </c>
      <c r="CI8" s="204">
        <f t="shared" si="2"/>
        <v>0</v>
      </c>
      <c r="CJ8" s="204">
        <f t="shared" si="2"/>
        <v>0</v>
      </c>
      <c r="CK8" s="204">
        <f t="shared" si="2"/>
        <v>0</v>
      </c>
      <c r="CL8" s="204">
        <f t="shared" si="2"/>
        <v>0</v>
      </c>
      <c r="CM8" s="204">
        <f t="shared" si="2"/>
        <v>0</v>
      </c>
      <c r="CN8" s="204">
        <f t="shared" si="2"/>
        <v>0</v>
      </c>
      <c r="CO8" s="204">
        <f t="shared" si="2"/>
        <v>0</v>
      </c>
      <c r="CP8" s="204">
        <f t="shared" si="2"/>
        <v>0</v>
      </c>
      <c r="CQ8" s="204">
        <f t="shared" si="2"/>
        <v>0</v>
      </c>
      <c r="CR8" s="204">
        <f t="shared" si="2"/>
        <v>0</v>
      </c>
      <c r="CS8" s="204">
        <f t="shared" si="3"/>
        <v>0</v>
      </c>
      <c r="CT8" s="204">
        <f t="shared" si="3"/>
        <v>0</v>
      </c>
      <c r="CU8" s="204">
        <f t="shared" si="3"/>
        <v>0</v>
      </c>
      <c r="CV8" s="204">
        <f t="shared" si="3"/>
        <v>0</v>
      </c>
      <c r="CW8" s="204">
        <f t="shared" si="3"/>
        <v>0</v>
      </c>
      <c r="CX8" s="204">
        <f t="shared" si="3"/>
        <v>0</v>
      </c>
      <c r="CY8" s="204">
        <f t="shared" si="3"/>
        <v>0</v>
      </c>
      <c r="CZ8" s="204">
        <f t="shared" si="3"/>
        <v>0</v>
      </c>
      <c r="DA8" s="204">
        <f t="shared" si="3"/>
        <v>0</v>
      </c>
      <c r="DB8" s="204"/>
    </row>
    <row r="9" spans="1:106">
      <c r="A9" s="201" t="str">
        <f>Income!A78</f>
        <v>Labour - casual</v>
      </c>
      <c r="B9" s="203">
        <f>Income!B78</f>
        <v>8001.6947213180993</v>
      </c>
      <c r="C9" s="203">
        <f>Income!C78</f>
        <v>14295.536306671656</v>
      </c>
      <c r="D9" s="203">
        <f>Income!D78</f>
        <v>0</v>
      </c>
      <c r="E9" s="203">
        <f>Income!E78</f>
        <v>0</v>
      </c>
      <c r="F9" s="204">
        <f t="shared" si="4"/>
        <v>8001.6947213180993</v>
      </c>
      <c r="G9" s="204">
        <f t="shared" si="4"/>
        <v>8001.6947213180993</v>
      </c>
      <c r="H9" s="204">
        <f t="shared" si="4"/>
        <v>8001.6947213180993</v>
      </c>
      <c r="I9" s="204">
        <f t="shared" si="4"/>
        <v>8001.6947213180993</v>
      </c>
      <c r="J9" s="204">
        <f t="shared" si="4"/>
        <v>8001.6947213180993</v>
      </c>
      <c r="K9" s="204">
        <f t="shared" si="4"/>
        <v>8001.6947213180993</v>
      </c>
      <c r="L9" s="204">
        <f t="shared" si="4"/>
        <v>8001.6947213180993</v>
      </c>
      <c r="M9" s="204">
        <f t="shared" si="4"/>
        <v>8001.6947213180993</v>
      </c>
      <c r="N9" s="204">
        <f t="shared" si="4"/>
        <v>8001.6947213180993</v>
      </c>
      <c r="O9" s="204">
        <f t="shared" si="4"/>
        <v>8001.6947213180993</v>
      </c>
      <c r="P9" s="204">
        <f t="shared" si="4"/>
        <v>8001.6947213180993</v>
      </c>
      <c r="Q9" s="204">
        <f t="shared" si="4"/>
        <v>8001.6947213180993</v>
      </c>
      <c r="R9" s="204">
        <f t="shared" si="4"/>
        <v>8001.6947213180993</v>
      </c>
      <c r="S9" s="204">
        <f t="shared" si="4"/>
        <v>8001.6947213180993</v>
      </c>
      <c r="T9" s="204">
        <f t="shared" si="4"/>
        <v>8001.6947213180993</v>
      </c>
      <c r="U9" s="204">
        <f t="shared" si="4"/>
        <v>8001.6947213180993</v>
      </c>
      <c r="V9" s="204">
        <f t="shared" si="6"/>
        <v>8001.6947213180993</v>
      </c>
      <c r="W9" s="204">
        <f t="shared" si="6"/>
        <v>8001.6947213180993</v>
      </c>
      <c r="X9" s="204">
        <f t="shared" si="6"/>
        <v>8001.6947213180993</v>
      </c>
      <c r="Y9" s="204">
        <f t="shared" si="6"/>
        <v>8001.6947213180993</v>
      </c>
      <c r="Z9" s="204">
        <f t="shared" si="6"/>
        <v>8001.6947213180993</v>
      </c>
      <c r="AA9" s="204">
        <f t="shared" si="6"/>
        <v>8001.6947213180993</v>
      </c>
      <c r="AB9" s="204">
        <f t="shared" si="6"/>
        <v>8001.6947213180993</v>
      </c>
      <c r="AC9" s="204">
        <f t="shared" si="6"/>
        <v>8001.6947213180993</v>
      </c>
      <c r="AD9" s="204">
        <f t="shared" si="6"/>
        <v>8001.6947213180993</v>
      </c>
      <c r="AE9" s="204">
        <f t="shared" si="6"/>
        <v>8001.6947213180993</v>
      </c>
      <c r="AF9" s="204">
        <f t="shared" si="6"/>
        <v>8001.6947213180993</v>
      </c>
      <c r="AG9" s="204">
        <f t="shared" si="6"/>
        <v>8001.6947213180993</v>
      </c>
      <c r="AH9" s="204">
        <f t="shared" si="6"/>
        <v>8001.6947213180993</v>
      </c>
      <c r="AI9" s="204">
        <f t="shared" si="6"/>
        <v>8001.6947213180993</v>
      </c>
      <c r="AJ9" s="204">
        <f t="shared" si="6"/>
        <v>8001.6947213180993</v>
      </c>
      <c r="AK9" s="204">
        <f t="shared" si="6"/>
        <v>8001.6947213180993</v>
      </c>
      <c r="AL9" s="204">
        <f t="shared" si="7"/>
        <v>8001.6947213180993</v>
      </c>
      <c r="AM9" s="204">
        <f t="shared" si="7"/>
        <v>8001.6947213180993</v>
      </c>
      <c r="AN9" s="204">
        <f t="shared" si="7"/>
        <v>8001.6947213180993</v>
      </c>
      <c r="AO9" s="204">
        <f t="shared" si="7"/>
        <v>8001.6947213180993</v>
      </c>
      <c r="AP9" s="204">
        <f t="shared" si="7"/>
        <v>14295.536306671656</v>
      </c>
      <c r="AQ9" s="204">
        <f t="shared" si="7"/>
        <v>14295.536306671656</v>
      </c>
      <c r="AR9" s="204">
        <f t="shared" si="7"/>
        <v>14295.536306671656</v>
      </c>
      <c r="AS9" s="204">
        <f t="shared" si="7"/>
        <v>14295.536306671656</v>
      </c>
      <c r="AT9" s="204">
        <f t="shared" si="7"/>
        <v>14295.536306671656</v>
      </c>
      <c r="AU9" s="204">
        <f t="shared" si="7"/>
        <v>14295.536306671656</v>
      </c>
      <c r="AV9" s="204">
        <f t="shared" si="7"/>
        <v>14295.536306671656</v>
      </c>
      <c r="AW9" s="204">
        <f t="shared" si="7"/>
        <v>14295.536306671656</v>
      </c>
      <c r="AX9" s="204">
        <f t="shared" si="1"/>
        <v>14295.536306671656</v>
      </c>
      <c r="AY9" s="204">
        <f t="shared" si="1"/>
        <v>14295.536306671656</v>
      </c>
      <c r="AZ9" s="204">
        <f t="shared" si="1"/>
        <v>14295.536306671656</v>
      </c>
      <c r="BA9" s="204">
        <f t="shared" si="1"/>
        <v>14295.536306671656</v>
      </c>
      <c r="BB9" s="204">
        <f t="shared" si="1"/>
        <v>14295.536306671656</v>
      </c>
      <c r="BC9" s="204">
        <f t="shared" si="1"/>
        <v>14295.536306671656</v>
      </c>
      <c r="BD9" s="204">
        <f t="shared" si="1"/>
        <v>14295.536306671656</v>
      </c>
      <c r="BE9" s="204">
        <f t="shared" si="1"/>
        <v>14295.536306671656</v>
      </c>
      <c r="BF9" s="204">
        <f t="shared" si="1"/>
        <v>14295.536306671656</v>
      </c>
      <c r="BG9" s="204">
        <f t="shared" si="1"/>
        <v>14295.536306671656</v>
      </c>
      <c r="BH9" s="204">
        <f t="shared" si="1"/>
        <v>14295.536306671656</v>
      </c>
      <c r="BI9" s="204">
        <f t="shared" si="1"/>
        <v>14295.536306671656</v>
      </c>
      <c r="BJ9" s="204">
        <f t="shared" si="1"/>
        <v>14295.536306671656</v>
      </c>
      <c r="BK9" s="204">
        <f t="shared" si="1"/>
        <v>14295.536306671656</v>
      </c>
      <c r="BL9" s="204">
        <f t="shared" si="1"/>
        <v>14295.536306671656</v>
      </c>
      <c r="BM9" s="204">
        <f t="shared" si="1"/>
        <v>14295.536306671656</v>
      </c>
      <c r="BN9" s="204">
        <f t="shared" si="1"/>
        <v>14295.536306671656</v>
      </c>
      <c r="BO9" s="204">
        <f t="shared" si="1"/>
        <v>14295.536306671656</v>
      </c>
      <c r="BP9" s="204">
        <f t="shared" si="1"/>
        <v>14295.536306671656</v>
      </c>
      <c r="BQ9" s="204">
        <f t="shared" si="1"/>
        <v>14295.536306671656</v>
      </c>
      <c r="BR9" s="204">
        <f t="shared" si="1"/>
        <v>14295.536306671656</v>
      </c>
      <c r="BS9" s="204">
        <f t="shared" si="1"/>
        <v>14295.536306671656</v>
      </c>
      <c r="BT9" s="204">
        <f t="shared" si="1"/>
        <v>14295.536306671656</v>
      </c>
      <c r="BU9" s="204">
        <f t="shared" si="1"/>
        <v>14295.536306671656</v>
      </c>
      <c r="BV9" s="204">
        <f t="shared" si="1"/>
        <v>14295.536306671656</v>
      </c>
      <c r="BW9" s="204">
        <f t="shared" si="1"/>
        <v>14295.536306671656</v>
      </c>
      <c r="BX9" s="204">
        <f t="shared" si="1"/>
        <v>0</v>
      </c>
      <c r="BY9" s="204">
        <f t="shared" si="1"/>
        <v>0</v>
      </c>
      <c r="BZ9" s="204">
        <f t="shared" si="1"/>
        <v>0</v>
      </c>
      <c r="CA9" s="204">
        <f t="shared" si="2"/>
        <v>0</v>
      </c>
      <c r="CB9" s="204">
        <f t="shared" si="2"/>
        <v>0</v>
      </c>
      <c r="CC9" s="204">
        <f t="shared" si="2"/>
        <v>0</v>
      </c>
      <c r="CD9" s="204">
        <f t="shared" si="2"/>
        <v>0</v>
      </c>
      <c r="CE9" s="204">
        <f t="shared" si="2"/>
        <v>0</v>
      </c>
      <c r="CF9" s="204">
        <f t="shared" si="2"/>
        <v>0</v>
      </c>
      <c r="CG9" s="204">
        <f t="shared" si="2"/>
        <v>0</v>
      </c>
      <c r="CH9" s="204">
        <f t="shared" si="2"/>
        <v>0</v>
      </c>
      <c r="CI9" s="204">
        <f t="shared" si="2"/>
        <v>0</v>
      </c>
      <c r="CJ9" s="204">
        <f t="shared" si="2"/>
        <v>0</v>
      </c>
      <c r="CK9" s="204">
        <f t="shared" si="2"/>
        <v>0</v>
      </c>
      <c r="CL9" s="204">
        <f t="shared" si="2"/>
        <v>0</v>
      </c>
      <c r="CM9" s="204">
        <f t="shared" si="2"/>
        <v>0</v>
      </c>
      <c r="CN9" s="204">
        <f t="shared" si="2"/>
        <v>0</v>
      </c>
      <c r="CO9" s="204">
        <f t="shared" si="2"/>
        <v>0</v>
      </c>
      <c r="CP9" s="204">
        <f t="shared" si="2"/>
        <v>0</v>
      </c>
      <c r="CQ9" s="204">
        <f t="shared" si="2"/>
        <v>0</v>
      </c>
      <c r="CR9" s="204">
        <f t="shared" si="2"/>
        <v>0</v>
      </c>
      <c r="CS9" s="204">
        <f t="shared" si="3"/>
        <v>0</v>
      </c>
      <c r="CT9" s="204">
        <f t="shared" si="3"/>
        <v>0</v>
      </c>
      <c r="CU9" s="204">
        <f t="shared" si="3"/>
        <v>0</v>
      </c>
      <c r="CV9" s="204">
        <f t="shared" si="3"/>
        <v>0</v>
      </c>
      <c r="CW9" s="204">
        <f t="shared" si="3"/>
        <v>0</v>
      </c>
      <c r="CX9" s="204">
        <f t="shared" si="3"/>
        <v>0</v>
      </c>
      <c r="CY9" s="204">
        <f t="shared" si="3"/>
        <v>0</v>
      </c>
      <c r="CZ9" s="204">
        <f t="shared" si="3"/>
        <v>0</v>
      </c>
      <c r="DA9" s="204">
        <f t="shared" si="3"/>
        <v>0</v>
      </c>
      <c r="DB9" s="204"/>
    </row>
    <row r="10" spans="1:106">
      <c r="A10" s="201" t="str">
        <f>Income!A79</f>
        <v>Labour - formal emp</v>
      </c>
      <c r="B10" s="203">
        <f>Income!B79</f>
        <v>0</v>
      </c>
      <c r="C10" s="203">
        <f>Income!C79</f>
        <v>12958.361287557693</v>
      </c>
      <c r="D10" s="203">
        <f>Income!D79</f>
        <v>44596.9576779583</v>
      </c>
      <c r="E10" s="203">
        <f>Income!E79</f>
        <v>212045.91197821681</v>
      </c>
      <c r="F10" s="204">
        <f t="shared" si="4"/>
        <v>0</v>
      </c>
      <c r="G10" s="204">
        <f t="shared" si="4"/>
        <v>0</v>
      </c>
      <c r="H10" s="204">
        <f t="shared" si="4"/>
        <v>0</v>
      </c>
      <c r="I10" s="204">
        <f t="shared" si="4"/>
        <v>0</v>
      </c>
      <c r="J10" s="204">
        <f t="shared" si="4"/>
        <v>0</v>
      </c>
      <c r="K10" s="204">
        <f t="shared" si="4"/>
        <v>0</v>
      </c>
      <c r="L10" s="204">
        <f t="shared" si="4"/>
        <v>0</v>
      </c>
      <c r="M10" s="204">
        <f t="shared" si="4"/>
        <v>0</v>
      </c>
      <c r="N10" s="204">
        <f t="shared" si="4"/>
        <v>0</v>
      </c>
      <c r="O10" s="204">
        <f t="shared" si="4"/>
        <v>0</v>
      </c>
      <c r="P10" s="204">
        <f t="shared" si="4"/>
        <v>0</v>
      </c>
      <c r="Q10" s="204">
        <f t="shared" si="4"/>
        <v>0</v>
      </c>
      <c r="R10" s="204">
        <f t="shared" si="4"/>
        <v>0</v>
      </c>
      <c r="S10" s="204">
        <f t="shared" si="4"/>
        <v>0</v>
      </c>
      <c r="T10" s="204">
        <f t="shared" si="4"/>
        <v>0</v>
      </c>
      <c r="U10" s="204">
        <f t="shared" si="4"/>
        <v>0</v>
      </c>
      <c r="V10" s="204">
        <f t="shared" si="6"/>
        <v>0</v>
      </c>
      <c r="W10" s="204">
        <f t="shared" si="6"/>
        <v>0</v>
      </c>
      <c r="X10" s="204">
        <f t="shared" si="6"/>
        <v>0</v>
      </c>
      <c r="Y10" s="204">
        <f t="shared" si="6"/>
        <v>0</v>
      </c>
      <c r="Z10" s="204">
        <f t="shared" si="6"/>
        <v>0</v>
      </c>
      <c r="AA10" s="204">
        <f t="shared" si="6"/>
        <v>0</v>
      </c>
      <c r="AB10" s="204">
        <f t="shared" si="6"/>
        <v>0</v>
      </c>
      <c r="AC10" s="204">
        <f t="shared" si="6"/>
        <v>0</v>
      </c>
      <c r="AD10" s="204">
        <f t="shared" si="6"/>
        <v>0</v>
      </c>
      <c r="AE10" s="204">
        <f t="shared" si="6"/>
        <v>0</v>
      </c>
      <c r="AF10" s="204">
        <f t="shared" si="6"/>
        <v>0</v>
      </c>
      <c r="AG10" s="204">
        <f t="shared" si="6"/>
        <v>0</v>
      </c>
      <c r="AH10" s="204">
        <f t="shared" si="6"/>
        <v>0</v>
      </c>
      <c r="AI10" s="204">
        <f t="shared" si="6"/>
        <v>0</v>
      </c>
      <c r="AJ10" s="204">
        <f t="shared" si="6"/>
        <v>0</v>
      </c>
      <c r="AK10" s="204">
        <f t="shared" si="6"/>
        <v>0</v>
      </c>
      <c r="AL10" s="204">
        <f t="shared" si="7"/>
        <v>0</v>
      </c>
      <c r="AM10" s="204">
        <f t="shared" si="7"/>
        <v>0</v>
      </c>
      <c r="AN10" s="204">
        <f t="shared" si="7"/>
        <v>0</v>
      </c>
      <c r="AO10" s="204">
        <f t="shared" si="7"/>
        <v>0</v>
      </c>
      <c r="AP10" s="204">
        <f t="shared" si="7"/>
        <v>12958.361287557693</v>
      </c>
      <c r="AQ10" s="204">
        <f t="shared" si="7"/>
        <v>12958.361287557693</v>
      </c>
      <c r="AR10" s="204">
        <f t="shared" si="7"/>
        <v>12958.361287557693</v>
      </c>
      <c r="AS10" s="204">
        <f t="shared" si="7"/>
        <v>12958.361287557693</v>
      </c>
      <c r="AT10" s="204">
        <f t="shared" si="7"/>
        <v>12958.361287557693</v>
      </c>
      <c r="AU10" s="204">
        <f t="shared" si="7"/>
        <v>12958.361287557693</v>
      </c>
      <c r="AV10" s="204">
        <f t="shared" si="7"/>
        <v>12958.361287557693</v>
      </c>
      <c r="AW10" s="204">
        <f t="shared" si="7"/>
        <v>12958.361287557693</v>
      </c>
      <c r="AX10" s="204">
        <f t="shared" si="1"/>
        <v>12958.361287557693</v>
      </c>
      <c r="AY10" s="204">
        <f t="shared" si="1"/>
        <v>12958.361287557693</v>
      </c>
      <c r="AZ10" s="204">
        <f t="shared" si="1"/>
        <v>12958.361287557693</v>
      </c>
      <c r="BA10" s="204">
        <f t="shared" si="1"/>
        <v>12958.361287557693</v>
      </c>
      <c r="BB10" s="204">
        <f t="shared" si="1"/>
        <v>12958.361287557693</v>
      </c>
      <c r="BC10" s="204">
        <f t="shared" si="1"/>
        <v>12958.361287557693</v>
      </c>
      <c r="BD10" s="204">
        <f t="shared" si="1"/>
        <v>12958.361287557693</v>
      </c>
      <c r="BE10" s="204">
        <f t="shared" si="1"/>
        <v>12958.361287557693</v>
      </c>
      <c r="BF10" s="204">
        <f t="shared" si="1"/>
        <v>12958.361287557693</v>
      </c>
      <c r="BG10" s="204">
        <f t="shared" si="1"/>
        <v>12958.361287557693</v>
      </c>
      <c r="BH10" s="204">
        <f t="shared" si="1"/>
        <v>12958.361287557693</v>
      </c>
      <c r="BI10" s="204">
        <f t="shared" si="1"/>
        <v>12958.361287557693</v>
      </c>
      <c r="BJ10" s="204">
        <f t="shared" si="1"/>
        <v>12958.361287557693</v>
      </c>
      <c r="BK10" s="204">
        <f t="shared" si="1"/>
        <v>12958.361287557693</v>
      </c>
      <c r="BL10" s="204">
        <f t="shared" si="1"/>
        <v>12958.361287557693</v>
      </c>
      <c r="BM10" s="204">
        <f t="shared" si="1"/>
        <v>12958.361287557693</v>
      </c>
      <c r="BN10" s="204">
        <f t="shared" si="1"/>
        <v>12958.361287557693</v>
      </c>
      <c r="BO10" s="204">
        <f t="shared" si="1"/>
        <v>12958.361287557693</v>
      </c>
      <c r="BP10" s="204">
        <f t="shared" si="1"/>
        <v>12958.361287557693</v>
      </c>
      <c r="BQ10" s="204">
        <f t="shared" si="1"/>
        <v>12958.361287557693</v>
      </c>
      <c r="BR10" s="204">
        <f t="shared" ref="AX10:BZ18" si="8">IF(BR$2&lt;=($B$2+$C$2+$D$2),IF(BR$2&lt;=($B$2+$C$2),IF(BR$2&lt;=$B$2,$B10,$C10),$D10),$E10)</f>
        <v>12958.361287557693</v>
      </c>
      <c r="BS10" s="204">
        <f t="shared" si="8"/>
        <v>12958.361287557693</v>
      </c>
      <c r="BT10" s="204">
        <f t="shared" si="8"/>
        <v>12958.361287557693</v>
      </c>
      <c r="BU10" s="204">
        <f t="shared" si="8"/>
        <v>12958.361287557693</v>
      </c>
      <c r="BV10" s="204">
        <f t="shared" si="8"/>
        <v>12958.361287557693</v>
      </c>
      <c r="BW10" s="204">
        <f t="shared" si="8"/>
        <v>12958.361287557693</v>
      </c>
      <c r="BX10" s="204">
        <f t="shared" si="8"/>
        <v>44596.9576779583</v>
      </c>
      <c r="BY10" s="204">
        <f t="shared" si="8"/>
        <v>44596.9576779583</v>
      </c>
      <c r="BZ10" s="204">
        <f t="shared" si="8"/>
        <v>44596.9576779583</v>
      </c>
      <c r="CA10" s="204">
        <f t="shared" si="2"/>
        <v>44596.9576779583</v>
      </c>
      <c r="CB10" s="204">
        <f t="shared" si="2"/>
        <v>44596.9576779583</v>
      </c>
      <c r="CC10" s="204">
        <f t="shared" si="2"/>
        <v>44596.9576779583</v>
      </c>
      <c r="CD10" s="204">
        <f t="shared" si="2"/>
        <v>44596.9576779583</v>
      </c>
      <c r="CE10" s="204">
        <f t="shared" si="2"/>
        <v>44596.9576779583</v>
      </c>
      <c r="CF10" s="204">
        <f t="shared" si="2"/>
        <v>44596.9576779583</v>
      </c>
      <c r="CG10" s="204">
        <f t="shared" si="2"/>
        <v>44596.9576779583</v>
      </c>
      <c r="CH10" s="204">
        <f t="shared" si="2"/>
        <v>44596.9576779583</v>
      </c>
      <c r="CI10" s="204">
        <f t="shared" si="2"/>
        <v>44596.9576779583</v>
      </c>
      <c r="CJ10" s="204">
        <f t="shared" si="2"/>
        <v>44596.9576779583</v>
      </c>
      <c r="CK10" s="204">
        <f t="shared" si="2"/>
        <v>44596.9576779583</v>
      </c>
      <c r="CL10" s="204">
        <f t="shared" si="2"/>
        <v>44596.9576779583</v>
      </c>
      <c r="CM10" s="204">
        <f t="shared" si="2"/>
        <v>44596.9576779583</v>
      </c>
      <c r="CN10" s="204">
        <f t="shared" si="2"/>
        <v>44596.9576779583</v>
      </c>
      <c r="CO10" s="204">
        <f t="shared" si="2"/>
        <v>44596.9576779583</v>
      </c>
      <c r="CP10" s="204">
        <f t="shared" si="2"/>
        <v>44596.9576779583</v>
      </c>
      <c r="CQ10" s="204">
        <f t="shared" si="2"/>
        <v>44596.9576779583</v>
      </c>
      <c r="CR10" s="204">
        <f t="shared" si="2"/>
        <v>212045.91197821681</v>
      </c>
      <c r="CS10" s="204">
        <f t="shared" si="3"/>
        <v>212045.91197821681</v>
      </c>
      <c r="CT10" s="204">
        <f t="shared" si="3"/>
        <v>212045.91197821681</v>
      </c>
      <c r="CU10" s="204">
        <f t="shared" si="3"/>
        <v>212045.91197821681</v>
      </c>
      <c r="CV10" s="204">
        <f t="shared" si="3"/>
        <v>212045.91197821681</v>
      </c>
      <c r="CW10" s="204">
        <f t="shared" si="3"/>
        <v>212045.91197821681</v>
      </c>
      <c r="CX10" s="204">
        <f t="shared" si="3"/>
        <v>212045.91197821681</v>
      </c>
      <c r="CY10" s="204">
        <f t="shared" si="3"/>
        <v>212045.91197821681</v>
      </c>
      <c r="CZ10" s="204">
        <f t="shared" si="3"/>
        <v>212045.91197821681</v>
      </c>
      <c r="DA10" s="204">
        <f t="shared" si="3"/>
        <v>212045.91197821681</v>
      </c>
      <c r="DB10" s="204"/>
    </row>
    <row r="11" spans="1:106">
      <c r="A11" s="201" t="str">
        <f>Income!A81</f>
        <v>Self - employment</v>
      </c>
      <c r="B11" s="203">
        <f>Income!B81</f>
        <v>1125.0213663288723</v>
      </c>
      <c r="C11" s="203">
        <f>Income!C81</f>
        <v>6238.6656047294809</v>
      </c>
      <c r="D11" s="203">
        <f>Income!D81</f>
        <v>673.16162532767248</v>
      </c>
      <c r="E11" s="203">
        <f>Income!E81</f>
        <v>0</v>
      </c>
      <c r="F11" s="204">
        <f t="shared" si="4"/>
        <v>1125.0213663288723</v>
      </c>
      <c r="G11" s="204">
        <f t="shared" si="4"/>
        <v>1125.0213663288723</v>
      </c>
      <c r="H11" s="204">
        <f t="shared" si="4"/>
        <v>1125.0213663288723</v>
      </c>
      <c r="I11" s="204">
        <f t="shared" si="4"/>
        <v>1125.0213663288723</v>
      </c>
      <c r="J11" s="204">
        <f t="shared" si="4"/>
        <v>1125.0213663288723</v>
      </c>
      <c r="K11" s="204">
        <f t="shared" si="4"/>
        <v>1125.0213663288723</v>
      </c>
      <c r="L11" s="204">
        <f t="shared" si="4"/>
        <v>1125.0213663288723</v>
      </c>
      <c r="M11" s="204">
        <f t="shared" si="4"/>
        <v>1125.0213663288723</v>
      </c>
      <c r="N11" s="204">
        <f t="shared" si="4"/>
        <v>1125.0213663288723</v>
      </c>
      <c r="O11" s="204">
        <f t="shared" si="4"/>
        <v>1125.0213663288723</v>
      </c>
      <c r="P11" s="204">
        <f t="shared" si="4"/>
        <v>1125.0213663288723</v>
      </c>
      <c r="Q11" s="204">
        <f t="shared" si="4"/>
        <v>1125.0213663288723</v>
      </c>
      <c r="R11" s="204">
        <f t="shared" si="4"/>
        <v>1125.0213663288723</v>
      </c>
      <c r="S11" s="204">
        <f t="shared" si="4"/>
        <v>1125.0213663288723</v>
      </c>
      <c r="T11" s="204">
        <f t="shared" si="4"/>
        <v>1125.0213663288723</v>
      </c>
      <c r="U11" s="204">
        <f t="shared" si="4"/>
        <v>1125.0213663288723</v>
      </c>
      <c r="V11" s="204">
        <f t="shared" si="6"/>
        <v>1125.0213663288723</v>
      </c>
      <c r="W11" s="204">
        <f t="shared" si="6"/>
        <v>1125.0213663288723</v>
      </c>
      <c r="X11" s="204">
        <f t="shared" si="6"/>
        <v>1125.0213663288723</v>
      </c>
      <c r="Y11" s="204">
        <f t="shared" si="6"/>
        <v>1125.0213663288723</v>
      </c>
      <c r="Z11" s="204">
        <f t="shared" si="6"/>
        <v>1125.0213663288723</v>
      </c>
      <c r="AA11" s="204">
        <f t="shared" si="6"/>
        <v>1125.0213663288723</v>
      </c>
      <c r="AB11" s="204">
        <f t="shared" si="6"/>
        <v>1125.0213663288723</v>
      </c>
      <c r="AC11" s="204">
        <f t="shared" si="6"/>
        <v>1125.0213663288723</v>
      </c>
      <c r="AD11" s="204">
        <f t="shared" si="6"/>
        <v>1125.0213663288723</v>
      </c>
      <c r="AE11" s="204">
        <f t="shared" si="6"/>
        <v>1125.0213663288723</v>
      </c>
      <c r="AF11" s="204">
        <f t="shared" si="6"/>
        <v>1125.0213663288723</v>
      </c>
      <c r="AG11" s="204">
        <f t="shared" si="6"/>
        <v>1125.0213663288723</v>
      </c>
      <c r="AH11" s="204">
        <f t="shared" si="6"/>
        <v>1125.0213663288723</v>
      </c>
      <c r="AI11" s="204">
        <f t="shared" si="6"/>
        <v>1125.0213663288723</v>
      </c>
      <c r="AJ11" s="204">
        <f t="shared" si="6"/>
        <v>1125.0213663288723</v>
      </c>
      <c r="AK11" s="204">
        <f t="shared" si="6"/>
        <v>1125.0213663288723</v>
      </c>
      <c r="AL11" s="204">
        <f t="shared" si="7"/>
        <v>1125.0213663288723</v>
      </c>
      <c r="AM11" s="204">
        <f t="shared" si="7"/>
        <v>1125.0213663288723</v>
      </c>
      <c r="AN11" s="204">
        <f t="shared" si="7"/>
        <v>1125.0213663288723</v>
      </c>
      <c r="AO11" s="204">
        <f t="shared" si="7"/>
        <v>1125.0213663288723</v>
      </c>
      <c r="AP11" s="204">
        <f t="shared" si="7"/>
        <v>6238.6656047294809</v>
      </c>
      <c r="AQ11" s="204">
        <f t="shared" si="7"/>
        <v>6238.6656047294809</v>
      </c>
      <c r="AR11" s="204">
        <f t="shared" si="7"/>
        <v>6238.6656047294809</v>
      </c>
      <c r="AS11" s="204">
        <f t="shared" si="7"/>
        <v>6238.6656047294809</v>
      </c>
      <c r="AT11" s="204">
        <f t="shared" si="7"/>
        <v>6238.6656047294809</v>
      </c>
      <c r="AU11" s="204">
        <f t="shared" si="7"/>
        <v>6238.6656047294809</v>
      </c>
      <c r="AV11" s="204">
        <f t="shared" si="7"/>
        <v>6238.6656047294809</v>
      </c>
      <c r="AW11" s="204">
        <f t="shared" si="7"/>
        <v>6238.6656047294809</v>
      </c>
      <c r="AX11" s="204">
        <f t="shared" si="8"/>
        <v>6238.6656047294809</v>
      </c>
      <c r="AY11" s="204">
        <f t="shared" si="8"/>
        <v>6238.6656047294809</v>
      </c>
      <c r="AZ11" s="204">
        <f t="shared" si="8"/>
        <v>6238.6656047294809</v>
      </c>
      <c r="BA11" s="204">
        <f t="shared" si="8"/>
        <v>6238.6656047294809</v>
      </c>
      <c r="BB11" s="204">
        <f t="shared" si="8"/>
        <v>6238.6656047294809</v>
      </c>
      <c r="BC11" s="204">
        <f t="shared" si="8"/>
        <v>6238.6656047294809</v>
      </c>
      <c r="BD11" s="204">
        <f t="shared" si="8"/>
        <v>6238.6656047294809</v>
      </c>
      <c r="BE11" s="204">
        <f t="shared" si="8"/>
        <v>6238.6656047294809</v>
      </c>
      <c r="BF11" s="204">
        <f t="shared" si="8"/>
        <v>6238.6656047294809</v>
      </c>
      <c r="BG11" s="204">
        <f t="shared" si="8"/>
        <v>6238.6656047294809</v>
      </c>
      <c r="BH11" s="204">
        <f t="shared" si="8"/>
        <v>6238.6656047294809</v>
      </c>
      <c r="BI11" s="204">
        <f t="shared" si="8"/>
        <v>6238.6656047294809</v>
      </c>
      <c r="BJ11" s="204">
        <f t="shared" si="8"/>
        <v>6238.6656047294809</v>
      </c>
      <c r="BK11" s="204">
        <f t="shared" si="8"/>
        <v>6238.6656047294809</v>
      </c>
      <c r="BL11" s="204">
        <f t="shared" si="8"/>
        <v>6238.6656047294809</v>
      </c>
      <c r="BM11" s="204">
        <f t="shared" si="8"/>
        <v>6238.6656047294809</v>
      </c>
      <c r="BN11" s="204">
        <f t="shared" si="8"/>
        <v>6238.6656047294809</v>
      </c>
      <c r="BO11" s="204">
        <f t="shared" si="8"/>
        <v>6238.6656047294809</v>
      </c>
      <c r="BP11" s="204">
        <f t="shared" si="8"/>
        <v>6238.6656047294809</v>
      </c>
      <c r="BQ11" s="204">
        <f t="shared" si="8"/>
        <v>6238.6656047294809</v>
      </c>
      <c r="BR11" s="204">
        <f t="shared" si="8"/>
        <v>6238.6656047294809</v>
      </c>
      <c r="BS11" s="204">
        <f t="shared" si="8"/>
        <v>6238.6656047294809</v>
      </c>
      <c r="BT11" s="204">
        <f t="shared" si="8"/>
        <v>6238.6656047294809</v>
      </c>
      <c r="BU11" s="204">
        <f t="shared" si="8"/>
        <v>6238.6656047294809</v>
      </c>
      <c r="BV11" s="204">
        <f t="shared" si="8"/>
        <v>6238.6656047294809</v>
      </c>
      <c r="BW11" s="204">
        <f t="shared" si="8"/>
        <v>6238.6656047294809</v>
      </c>
      <c r="BX11" s="204">
        <f t="shared" si="8"/>
        <v>673.16162532767248</v>
      </c>
      <c r="BY11" s="204">
        <f t="shared" si="8"/>
        <v>673.16162532767248</v>
      </c>
      <c r="BZ11" s="204">
        <f t="shared" si="8"/>
        <v>673.16162532767248</v>
      </c>
      <c r="CA11" s="204">
        <f t="shared" si="2"/>
        <v>673.16162532767248</v>
      </c>
      <c r="CB11" s="204">
        <f t="shared" si="2"/>
        <v>673.16162532767248</v>
      </c>
      <c r="CC11" s="204">
        <f t="shared" si="2"/>
        <v>673.16162532767248</v>
      </c>
      <c r="CD11" s="204">
        <f t="shared" si="2"/>
        <v>673.16162532767248</v>
      </c>
      <c r="CE11" s="204">
        <f t="shared" si="2"/>
        <v>673.16162532767248</v>
      </c>
      <c r="CF11" s="204">
        <f t="shared" si="2"/>
        <v>673.16162532767248</v>
      </c>
      <c r="CG11" s="204">
        <f t="shared" si="2"/>
        <v>673.16162532767248</v>
      </c>
      <c r="CH11" s="204">
        <f t="shared" si="2"/>
        <v>673.16162532767248</v>
      </c>
      <c r="CI11" s="204">
        <f t="shared" si="2"/>
        <v>673.16162532767248</v>
      </c>
      <c r="CJ11" s="204">
        <f t="shared" si="2"/>
        <v>673.16162532767248</v>
      </c>
      <c r="CK11" s="204">
        <f t="shared" si="2"/>
        <v>673.16162532767248</v>
      </c>
      <c r="CL11" s="204">
        <f t="shared" si="2"/>
        <v>673.16162532767248</v>
      </c>
      <c r="CM11" s="204">
        <f t="shared" si="2"/>
        <v>673.16162532767248</v>
      </c>
      <c r="CN11" s="204">
        <f t="shared" si="2"/>
        <v>673.16162532767248</v>
      </c>
      <c r="CO11" s="204">
        <f t="shared" si="2"/>
        <v>673.16162532767248</v>
      </c>
      <c r="CP11" s="204">
        <f t="shared" si="2"/>
        <v>673.16162532767248</v>
      </c>
      <c r="CQ11" s="204">
        <f t="shared" si="2"/>
        <v>673.16162532767248</v>
      </c>
      <c r="CR11" s="204">
        <f t="shared" si="2"/>
        <v>0</v>
      </c>
      <c r="CS11" s="204">
        <f t="shared" si="3"/>
        <v>0</v>
      </c>
      <c r="CT11" s="204">
        <f t="shared" si="3"/>
        <v>0</v>
      </c>
      <c r="CU11" s="204">
        <f t="shared" si="3"/>
        <v>0</v>
      </c>
      <c r="CV11" s="204">
        <f t="shared" si="3"/>
        <v>0</v>
      </c>
      <c r="CW11" s="204">
        <f t="shared" si="3"/>
        <v>0</v>
      </c>
      <c r="CX11" s="204">
        <f t="shared" si="3"/>
        <v>0</v>
      </c>
      <c r="CY11" s="204">
        <f t="shared" si="3"/>
        <v>0</v>
      </c>
      <c r="CZ11" s="204">
        <f t="shared" si="3"/>
        <v>0</v>
      </c>
      <c r="DA11" s="204">
        <f t="shared" si="3"/>
        <v>0</v>
      </c>
      <c r="DB11" s="204"/>
    </row>
    <row r="12" spans="1:106">
      <c r="A12" s="201" t="str">
        <f>Income!A82</f>
        <v>Small business/petty trading</v>
      </c>
      <c r="B12" s="203">
        <f>Income!B82</f>
        <v>0</v>
      </c>
      <c r="C12" s="203">
        <f>Income!C82</f>
        <v>1413.639413188112</v>
      </c>
      <c r="D12" s="203">
        <f>Income!D82</f>
        <v>60360.159071047958</v>
      </c>
      <c r="E12" s="203">
        <f>Income!E82</f>
        <v>56619.624306310536</v>
      </c>
      <c r="F12" s="204">
        <f t="shared" si="4"/>
        <v>0</v>
      </c>
      <c r="G12" s="204">
        <f t="shared" si="4"/>
        <v>0</v>
      </c>
      <c r="H12" s="204">
        <f t="shared" si="4"/>
        <v>0</v>
      </c>
      <c r="I12" s="204">
        <f t="shared" si="4"/>
        <v>0</v>
      </c>
      <c r="J12" s="204">
        <f t="shared" si="4"/>
        <v>0</v>
      </c>
      <c r="K12" s="204">
        <f t="shared" si="4"/>
        <v>0</v>
      </c>
      <c r="L12" s="204">
        <f t="shared" si="4"/>
        <v>0</v>
      </c>
      <c r="M12" s="204">
        <f t="shared" si="4"/>
        <v>0</v>
      </c>
      <c r="N12" s="204">
        <f t="shared" si="4"/>
        <v>0</v>
      </c>
      <c r="O12" s="204">
        <f t="shared" si="4"/>
        <v>0</v>
      </c>
      <c r="P12" s="204">
        <f t="shared" si="4"/>
        <v>0</v>
      </c>
      <c r="Q12" s="204">
        <f t="shared" si="4"/>
        <v>0</v>
      </c>
      <c r="R12" s="204">
        <f t="shared" si="4"/>
        <v>0</v>
      </c>
      <c r="S12" s="204">
        <f t="shared" si="4"/>
        <v>0</v>
      </c>
      <c r="T12" s="204">
        <f t="shared" si="4"/>
        <v>0</v>
      </c>
      <c r="U12" s="204">
        <f t="shared" si="4"/>
        <v>0</v>
      </c>
      <c r="V12" s="204">
        <f t="shared" si="6"/>
        <v>0</v>
      </c>
      <c r="W12" s="204">
        <f t="shared" si="6"/>
        <v>0</v>
      </c>
      <c r="X12" s="204">
        <f t="shared" si="6"/>
        <v>0</v>
      </c>
      <c r="Y12" s="204">
        <f t="shared" si="6"/>
        <v>0</v>
      </c>
      <c r="Z12" s="204">
        <f t="shared" si="6"/>
        <v>0</v>
      </c>
      <c r="AA12" s="204">
        <f t="shared" si="6"/>
        <v>0</v>
      </c>
      <c r="AB12" s="204">
        <f t="shared" si="6"/>
        <v>0</v>
      </c>
      <c r="AC12" s="204">
        <f t="shared" si="6"/>
        <v>0</v>
      </c>
      <c r="AD12" s="204">
        <f t="shared" si="6"/>
        <v>0</v>
      </c>
      <c r="AE12" s="204">
        <f t="shared" si="6"/>
        <v>0</v>
      </c>
      <c r="AF12" s="204">
        <f t="shared" si="6"/>
        <v>0</v>
      </c>
      <c r="AG12" s="204">
        <f t="shared" si="6"/>
        <v>0</v>
      </c>
      <c r="AH12" s="204">
        <f t="shared" si="6"/>
        <v>0</v>
      </c>
      <c r="AI12" s="204">
        <f t="shared" si="6"/>
        <v>0</v>
      </c>
      <c r="AJ12" s="204">
        <f t="shared" si="6"/>
        <v>0</v>
      </c>
      <c r="AK12" s="204">
        <f t="shared" si="6"/>
        <v>0</v>
      </c>
      <c r="AL12" s="204">
        <f t="shared" si="7"/>
        <v>0</v>
      </c>
      <c r="AM12" s="204">
        <f t="shared" si="7"/>
        <v>0</v>
      </c>
      <c r="AN12" s="204">
        <f t="shared" si="7"/>
        <v>0</v>
      </c>
      <c r="AO12" s="204">
        <f t="shared" si="7"/>
        <v>0</v>
      </c>
      <c r="AP12" s="204">
        <f t="shared" si="7"/>
        <v>1413.639413188112</v>
      </c>
      <c r="AQ12" s="204">
        <f t="shared" si="7"/>
        <v>1413.639413188112</v>
      </c>
      <c r="AR12" s="204">
        <f t="shared" si="7"/>
        <v>1413.639413188112</v>
      </c>
      <c r="AS12" s="204">
        <f t="shared" si="7"/>
        <v>1413.639413188112</v>
      </c>
      <c r="AT12" s="204">
        <f t="shared" si="7"/>
        <v>1413.639413188112</v>
      </c>
      <c r="AU12" s="204">
        <f t="shared" si="7"/>
        <v>1413.639413188112</v>
      </c>
      <c r="AV12" s="204">
        <f t="shared" si="7"/>
        <v>1413.639413188112</v>
      </c>
      <c r="AW12" s="204">
        <f t="shared" si="7"/>
        <v>1413.639413188112</v>
      </c>
      <c r="AX12" s="204">
        <f t="shared" si="8"/>
        <v>1413.639413188112</v>
      </c>
      <c r="AY12" s="204">
        <f t="shared" si="8"/>
        <v>1413.639413188112</v>
      </c>
      <c r="AZ12" s="204">
        <f t="shared" si="8"/>
        <v>1413.639413188112</v>
      </c>
      <c r="BA12" s="204">
        <f t="shared" si="8"/>
        <v>1413.639413188112</v>
      </c>
      <c r="BB12" s="204">
        <f t="shared" si="8"/>
        <v>1413.639413188112</v>
      </c>
      <c r="BC12" s="204">
        <f t="shared" si="8"/>
        <v>1413.639413188112</v>
      </c>
      <c r="BD12" s="204">
        <f t="shared" si="8"/>
        <v>1413.639413188112</v>
      </c>
      <c r="BE12" s="204">
        <f t="shared" si="8"/>
        <v>1413.639413188112</v>
      </c>
      <c r="BF12" s="204">
        <f t="shared" si="8"/>
        <v>1413.639413188112</v>
      </c>
      <c r="BG12" s="204">
        <f t="shared" si="8"/>
        <v>1413.639413188112</v>
      </c>
      <c r="BH12" s="204">
        <f t="shared" si="8"/>
        <v>1413.639413188112</v>
      </c>
      <c r="BI12" s="204">
        <f t="shared" si="8"/>
        <v>1413.639413188112</v>
      </c>
      <c r="BJ12" s="204">
        <f t="shared" si="8"/>
        <v>1413.639413188112</v>
      </c>
      <c r="BK12" s="204">
        <f t="shared" si="8"/>
        <v>1413.639413188112</v>
      </c>
      <c r="BL12" s="204">
        <f t="shared" si="8"/>
        <v>1413.639413188112</v>
      </c>
      <c r="BM12" s="204">
        <f t="shared" si="8"/>
        <v>1413.639413188112</v>
      </c>
      <c r="BN12" s="204">
        <f t="shared" si="8"/>
        <v>1413.639413188112</v>
      </c>
      <c r="BO12" s="204">
        <f t="shared" si="8"/>
        <v>1413.639413188112</v>
      </c>
      <c r="BP12" s="204">
        <f t="shared" si="8"/>
        <v>1413.639413188112</v>
      </c>
      <c r="BQ12" s="204">
        <f t="shared" si="8"/>
        <v>1413.639413188112</v>
      </c>
      <c r="BR12" s="204">
        <f t="shared" si="8"/>
        <v>1413.639413188112</v>
      </c>
      <c r="BS12" s="204">
        <f t="shared" si="8"/>
        <v>1413.639413188112</v>
      </c>
      <c r="BT12" s="204">
        <f t="shared" si="8"/>
        <v>1413.639413188112</v>
      </c>
      <c r="BU12" s="204">
        <f t="shared" si="8"/>
        <v>1413.639413188112</v>
      </c>
      <c r="BV12" s="204">
        <f t="shared" si="8"/>
        <v>1413.639413188112</v>
      </c>
      <c r="BW12" s="204">
        <f t="shared" si="8"/>
        <v>1413.639413188112</v>
      </c>
      <c r="BX12" s="204">
        <f t="shared" si="8"/>
        <v>60360.159071047958</v>
      </c>
      <c r="BY12" s="204">
        <f t="shared" si="8"/>
        <v>60360.159071047958</v>
      </c>
      <c r="BZ12" s="204">
        <f t="shared" si="8"/>
        <v>60360.159071047958</v>
      </c>
      <c r="CA12" s="204">
        <f t="shared" si="2"/>
        <v>60360.159071047958</v>
      </c>
      <c r="CB12" s="204">
        <f t="shared" si="2"/>
        <v>60360.159071047958</v>
      </c>
      <c r="CC12" s="204">
        <f t="shared" si="2"/>
        <v>60360.159071047958</v>
      </c>
      <c r="CD12" s="204">
        <f t="shared" si="2"/>
        <v>60360.159071047958</v>
      </c>
      <c r="CE12" s="204">
        <f t="shared" si="2"/>
        <v>60360.159071047958</v>
      </c>
      <c r="CF12" s="204">
        <f t="shared" si="2"/>
        <v>60360.159071047958</v>
      </c>
      <c r="CG12" s="204">
        <f t="shared" si="2"/>
        <v>60360.159071047958</v>
      </c>
      <c r="CH12" s="204">
        <f t="shared" si="2"/>
        <v>60360.159071047958</v>
      </c>
      <c r="CI12" s="204">
        <f t="shared" si="2"/>
        <v>60360.159071047958</v>
      </c>
      <c r="CJ12" s="204">
        <f t="shared" si="2"/>
        <v>60360.159071047958</v>
      </c>
      <c r="CK12" s="204">
        <f t="shared" si="2"/>
        <v>60360.159071047958</v>
      </c>
      <c r="CL12" s="204">
        <f t="shared" si="2"/>
        <v>60360.159071047958</v>
      </c>
      <c r="CM12" s="204">
        <f t="shared" si="2"/>
        <v>60360.159071047958</v>
      </c>
      <c r="CN12" s="204">
        <f t="shared" si="2"/>
        <v>60360.159071047958</v>
      </c>
      <c r="CO12" s="204">
        <f t="shared" si="2"/>
        <v>60360.159071047958</v>
      </c>
      <c r="CP12" s="204">
        <f t="shared" si="2"/>
        <v>60360.159071047958</v>
      </c>
      <c r="CQ12" s="204">
        <f t="shared" si="2"/>
        <v>60360.159071047958</v>
      </c>
      <c r="CR12" s="204">
        <f t="shared" si="2"/>
        <v>56619.624306310536</v>
      </c>
      <c r="CS12" s="204">
        <f t="shared" si="3"/>
        <v>56619.624306310536</v>
      </c>
      <c r="CT12" s="204">
        <f t="shared" si="3"/>
        <v>56619.624306310536</v>
      </c>
      <c r="CU12" s="204">
        <f t="shared" si="3"/>
        <v>56619.624306310536</v>
      </c>
      <c r="CV12" s="204">
        <f t="shared" si="3"/>
        <v>56619.624306310536</v>
      </c>
      <c r="CW12" s="204">
        <f t="shared" si="3"/>
        <v>56619.624306310536</v>
      </c>
      <c r="CX12" s="204">
        <f t="shared" si="3"/>
        <v>56619.624306310536</v>
      </c>
      <c r="CY12" s="204">
        <f t="shared" si="3"/>
        <v>56619.624306310536</v>
      </c>
      <c r="CZ12" s="204">
        <f t="shared" si="3"/>
        <v>56619.624306310536</v>
      </c>
      <c r="DA12" s="204">
        <f t="shared" si="3"/>
        <v>56619.624306310536</v>
      </c>
      <c r="DB12" s="204"/>
    </row>
    <row r="13" spans="1:106">
      <c r="A13" s="201" t="str">
        <f>Income!A83</f>
        <v>Food transfer - official</v>
      </c>
      <c r="B13" s="203">
        <f>Income!B83</f>
        <v>1674.9399602351389</v>
      </c>
      <c r="C13" s="203">
        <f>Income!C83</f>
        <v>1577.6493338294108</v>
      </c>
      <c r="D13" s="203">
        <f>Income!D83</f>
        <v>667.85464453449299</v>
      </c>
      <c r="E13" s="203">
        <f>Income!E83</f>
        <v>667.85464453449299</v>
      </c>
      <c r="F13" s="204">
        <f t="shared" si="4"/>
        <v>1674.9399602351389</v>
      </c>
      <c r="G13" s="204">
        <f t="shared" si="4"/>
        <v>1674.9399602351389</v>
      </c>
      <c r="H13" s="204">
        <f t="shared" si="4"/>
        <v>1674.9399602351389</v>
      </c>
      <c r="I13" s="204">
        <f t="shared" si="4"/>
        <v>1674.9399602351389</v>
      </c>
      <c r="J13" s="204">
        <f t="shared" si="4"/>
        <v>1674.9399602351389</v>
      </c>
      <c r="K13" s="204">
        <f t="shared" si="4"/>
        <v>1674.9399602351389</v>
      </c>
      <c r="L13" s="204">
        <f t="shared" si="4"/>
        <v>1674.9399602351389</v>
      </c>
      <c r="M13" s="204">
        <f t="shared" si="4"/>
        <v>1674.9399602351389</v>
      </c>
      <c r="N13" s="204">
        <f t="shared" si="4"/>
        <v>1674.9399602351389</v>
      </c>
      <c r="O13" s="204">
        <f t="shared" si="4"/>
        <v>1674.9399602351389</v>
      </c>
      <c r="P13" s="204">
        <f t="shared" si="4"/>
        <v>1674.9399602351389</v>
      </c>
      <c r="Q13" s="204">
        <f t="shared" si="4"/>
        <v>1674.9399602351389</v>
      </c>
      <c r="R13" s="204">
        <f t="shared" si="4"/>
        <v>1674.9399602351389</v>
      </c>
      <c r="S13" s="204">
        <f t="shared" si="4"/>
        <v>1674.9399602351389</v>
      </c>
      <c r="T13" s="204">
        <f t="shared" si="4"/>
        <v>1674.9399602351389</v>
      </c>
      <c r="U13" s="204">
        <f t="shared" si="4"/>
        <v>1674.9399602351389</v>
      </c>
      <c r="V13" s="204">
        <f t="shared" si="6"/>
        <v>1674.9399602351389</v>
      </c>
      <c r="W13" s="204">
        <f t="shared" si="6"/>
        <v>1674.9399602351389</v>
      </c>
      <c r="X13" s="204">
        <f t="shared" si="6"/>
        <v>1674.9399602351389</v>
      </c>
      <c r="Y13" s="204">
        <f t="shared" si="6"/>
        <v>1674.9399602351389</v>
      </c>
      <c r="Z13" s="204">
        <f t="shared" si="6"/>
        <v>1674.9399602351389</v>
      </c>
      <c r="AA13" s="204">
        <f t="shared" si="6"/>
        <v>1674.9399602351389</v>
      </c>
      <c r="AB13" s="204">
        <f t="shared" si="6"/>
        <v>1674.9399602351389</v>
      </c>
      <c r="AC13" s="204">
        <f t="shared" si="6"/>
        <v>1674.9399602351389</v>
      </c>
      <c r="AD13" s="204">
        <f t="shared" si="6"/>
        <v>1674.9399602351389</v>
      </c>
      <c r="AE13" s="204">
        <f t="shared" si="6"/>
        <v>1674.9399602351389</v>
      </c>
      <c r="AF13" s="204">
        <f t="shared" si="6"/>
        <v>1674.9399602351389</v>
      </c>
      <c r="AG13" s="204">
        <f t="shared" si="6"/>
        <v>1674.9399602351389</v>
      </c>
      <c r="AH13" s="204">
        <f t="shared" si="6"/>
        <v>1674.9399602351389</v>
      </c>
      <c r="AI13" s="204">
        <f t="shared" si="6"/>
        <v>1674.9399602351389</v>
      </c>
      <c r="AJ13" s="204">
        <f t="shared" si="6"/>
        <v>1674.9399602351389</v>
      </c>
      <c r="AK13" s="204">
        <f t="shared" si="6"/>
        <v>1674.9399602351389</v>
      </c>
      <c r="AL13" s="204">
        <f t="shared" si="7"/>
        <v>1674.9399602351389</v>
      </c>
      <c r="AM13" s="204">
        <f t="shared" si="7"/>
        <v>1674.9399602351389</v>
      </c>
      <c r="AN13" s="204">
        <f t="shared" si="7"/>
        <v>1674.9399602351389</v>
      </c>
      <c r="AO13" s="204">
        <f t="shared" si="7"/>
        <v>1674.9399602351389</v>
      </c>
      <c r="AP13" s="204">
        <f t="shared" si="7"/>
        <v>1577.6493338294108</v>
      </c>
      <c r="AQ13" s="204">
        <f t="shared" si="7"/>
        <v>1577.6493338294108</v>
      </c>
      <c r="AR13" s="204">
        <f t="shared" si="7"/>
        <v>1577.6493338294108</v>
      </c>
      <c r="AS13" s="204">
        <f t="shared" si="7"/>
        <v>1577.6493338294108</v>
      </c>
      <c r="AT13" s="204">
        <f t="shared" si="7"/>
        <v>1577.6493338294108</v>
      </c>
      <c r="AU13" s="204">
        <f t="shared" si="7"/>
        <v>1577.6493338294108</v>
      </c>
      <c r="AV13" s="204">
        <f t="shared" si="7"/>
        <v>1577.6493338294108</v>
      </c>
      <c r="AW13" s="204">
        <f t="shared" si="7"/>
        <v>1577.6493338294108</v>
      </c>
      <c r="AX13" s="204">
        <f t="shared" si="8"/>
        <v>1577.6493338294108</v>
      </c>
      <c r="AY13" s="204">
        <f t="shared" si="8"/>
        <v>1577.6493338294108</v>
      </c>
      <c r="AZ13" s="204">
        <f t="shared" si="8"/>
        <v>1577.6493338294108</v>
      </c>
      <c r="BA13" s="204">
        <f t="shared" si="8"/>
        <v>1577.6493338294108</v>
      </c>
      <c r="BB13" s="204">
        <f t="shared" si="8"/>
        <v>1577.6493338294108</v>
      </c>
      <c r="BC13" s="204">
        <f t="shared" si="8"/>
        <v>1577.6493338294108</v>
      </c>
      <c r="BD13" s="204">
        <f t="shared" si="8"/>
        <v>1577.6493338294108</v>
      </c>
      <c r="BE13" s="204">
        <f t="shared" si="8"/>
        <v>1577.6493338294108</v>
      </c>
      <c r="BF13" s="204">
        <f t="shared" si="8"/>
        <v>1577.6493338294108</v>
      </c>
      <c r="BG13" s="204">
        <f t="shared" si="8"/>
        <v>1577.6493338294108</v>
      </c>
      <c r="BH13" s="204">
        <f t="shared" si="8"/>
        <v>1577.6493338294108</v>
      </c>
      <c r="BI13" s="204">
        <f t="shared" si="8"/>
        <v>1577.6493338294108</v>
      </c>
      <c r="BJ13" s="204">
        <f t="shared" si="8"/>
        <v>1577.6493338294108</v>
      </c>
      <c r="BK13" s="204">
        <f t="shared" si="8"/>
        <v>1577.6493338294108</v>
      </c>
      <c r="BL13" s="204">
        <f t="shared" si="8"/>
        <v>1577.6493338294108</v>
      </c>
      <c r="BM13" s="204">
        <f t="shared" si="8"/>
        <v>1577.6493338294108</v>
      </c>
      <c r="BN13" s="204">
        <f t="shared" si="8"/>
        <v>1577.6493338294108</v>
      </c>
      <c r="BO13" s="204">
        <f t="shared" si="8"/>
        <v>1577.6493338294108</v>
      </c>
      <c r="BP13" s="204">
        <f t="shared" si="8"/>
        <v>1577.6493338294108</v>
      </c>
      <c r="BQ13" s="204">
        <f t="shared" si="8"/>
        <v>1577.6493338294108</v>
      </c>
      <c r="BR13" s="204">
        <f t="shared" si="8"/>
        <v>1577.6493338294108</v>
      </c>
      <c r="BS13" s="204">
        <f t="shared" si="8"/>
        <v>1577.6493338294108</v>
      </c>
      <c r="BT13" s="204">
        <f t="shared" si="8"/>
        <v>1577.6493338294108</v>
      </c>
      <c r="BU13" s="204">
        <f t="shared" si="8"/>
        <v>1577.6493338294108</v>
      </c>
      <c r="BV13" s="204">
        <f t="shared" si="8"/>
        <v>1577.6493338294108</v>
      </c>
      <c r="BW13" s="204">
        <f t="shared" si="8"/>
        <v>1577.6493338294108</v>
      </c>
      <c r="BX13" s="204">
        <f t="shared" si="8"/>
        <v>667.85464453449299</v>
      </c>
      <c r="BY13" s="204">
        <f t="shared" si="8"/>
        <v>667.85464453449299</v>
      </c>
      <c r="BZ13" s="204">
        <f t="shared" si="8"/>
        <v>667.85464453449299</v>
      </c>
      <c r="CA13" s="204">
        <f t="shared" si="2"/>
        <v>667.85464453449299</v>
      </c>
      <c r="CB13" s="204">
        <f t="shared" si="2"/>
        <v>667.85464453449299</v>
      </c>
      <c r="CC13" s="204">
        <f t="shared" si="2"/>
        <v>667.85464453449299</v>
      </c>
      <c r="CD13" s="204">
        <f t="shared" si="2"/>
        <v>667.85464453449299</v>
      </c>
      <c r="CE13" s="204">
        <f t="shared" si="2"/>
        <v>667.85464453449299</v>
      </c>
      <c r="CF13" s="204">
        <f t="shared" si="2"/>
        <v>667.85464453449299</v>
      </c>
      <c r="CG13" s="204">
        <f t="shared" si="2"/>
        <v>667.85464453449299</v>
      </c>
      <c r="CH13" s="204">
        <f t="shared" si="2"/>
        <v>667.85464453449299</v>
      </c>
      <c r="CI13" s="204">
        <f t="shared" si="2"/>
        <v>667.85464453449299</v>
      </c>
      <c r="CJ13" s="204">
        <f t="shared" si="2"/>
        <v>667.85464453449299</v>
      </c>
      <c r="CK13" s="204">
        <f t="shared" si="2"/>
        <v>667.85464453449299</v>
      </c>
      <c r="CL13" s="204">
        <f t="shared" si="2"/>
        <v>667.85464453449299</v>
      </c>
      <c r="CM13" s="204">
        <f t="shared" si="2"/>
        <v>667.85464453449299</v>
      </c>
      <c r="CN13" s="204">
        <f t="shared" si="2"/>
        <v>667.85464453449299</v>
      </c>
      <c r="CO13" s="204">
        <f t="shared" si="2"/>
        <v>667.85464453449299</v>
      </c>
      <c r="CP13" s="204">
        <f t="shared" si="2"/>
        <v>667.85464453449299</v>
      </c>
      <c r="CQ13" s="204">
        <f t="shared" si="2"/>
        <v>667.85464453449299</v>
      </c>
      <c r="CR13" s="204">
        <f t="shared" si="2"/>
        <v>667.85464453449299</v>
      </c>
      <c r="CS13" s="204">
        <f t="shared" si="3"/>
        <v>667.85464453449299</v>
      </c>
      <c r="CT13" s="204">
        <f t="shared" si="3"/>
        <v>667.85464453449299</v>
      </c>
      <c r="CU13" s="204">
        <f t="shared" si="3"/>
        <v>667.85464453449299</v>
      </c>
      <c r="CV13" s="204">
        <f t="shared" si="3"/>
        <v>667.85464453449299</v>
      </c>
      <c r="CW13" s="204">
        <f t="shared" si="3"/>
        <v>667.85464453449299</v>
      </c>
      <c r="CX13" s="204">
        <f t="shared" si="3"/>
        <v>667.85464453449299</v>
      </c>
      <c r="CY13" s="204">
        <f t="shared" si="3"/>
        <v>667.85464453449299</v>
      </c>
      <c r="CZ13" s="204">
        <f t="shared" si="3"/>
        <v>667.85464453449299</v>
      </c>
      <c r="DA13" s="204">
        <f t="shared" si="3"/>
        <v>667.85464453449299</v>
      </c>
      <c r="DB13" s="204"/>
    </row>
    <row r="14" spans="1:106">
      <c r="A14" s="201" t="str">
        <f>Income!A85</f>
        <v>Cash transfer - official</v>
      </c>
      <c r="B14" s="203">
        <f>Income!B85</f>
        <v>31983.591723381032</v>
      </c>
      <c r="C14" s="203">
        <f>Income!C85</f>
        <v>31983.591723381032</v>
      </c>
      <c r="D14" s="203">
        <f>Income!D85</f>
        <v>13328.600181487915</v>
      </c>
      <c r="E14" s="203">
        <f>Income!E85</f>
        <v>13328.600181487915</v>
      </c>
      <c r="F14" s="204">
        <f t="shared" si="4"/>
        <v>31983.591723381032</v>
      </c>
      <c r="G14" s="204">
        <f t="shared" si="4"/>
        <v>31983.591723381032</v>
      </c>
      <c r="H14" s="204">
        <f t="shared" si="4"/>
        <v>31983.591723381032</v>
      </c>
      <c r="I14" s="204">
        <f t="shared" si="4"/>
        <v>31983.591723381032</v>
      </c>
      <c r="J14" s="204">
        <f t="shared" si="4"/>
        <v>31983.591723381032</v>
      </c>
      <c r="K14" s="204">
        <f t="shared" si="4"/>
        <v>31983.591723381032</v>
      </c>
      <c r="L14" s="204">
        <f t="shared" si="4"/>
        <v>31983.591723381032</v>
      </c>
      <c r="M14" s="204">
        <f t="shared" si="4"/>
        <v>31983.591723381032</v>
      </c>
      <c r="N14" s="204">
        <f t="shared" si="4"/>
        <v>31983.591723381032</v>
      </c>
      <c r="O14" s="204">
        <f t="shared" si="4"/>
        <v>31983.591723381032</v>
      </c>
      <c r="P14" s="204">
        <f t="shared" si="4"/>
        <v>31983.591723381032</v>
      </c>
      <c r="Q14" s="204">
        <f t="shared" si="4"/>
        <v>31983.591723381032</v>
      </c>
      <c r="R14" s="204">
        <f t="shared" si="4"/>
        <v>31983.591723381032</v>
      </c>
      <c r="S14" s="204">
        <f t="shared" si="4"/>
        <v>31983.591723381032</v>
      </c>
      <c r="T14" s="204">
        <f t="shared" si="4"/>
        <v>31983.591723381032</v>
      </c>
      <c r="U14" s="204">
        <f t="shared" si="4"/>
        <v>31983.591723381032</v>
      </c>
      <c r="V14" s="204">
        <f t="shared" si="6"/>
        <v>31983.591723381032</v>
      </c>
      <c r="W14" s="204">
        <f t="shared" si="6"/>
        <v>31983.591723381032</v>
      </c>
      <c r="X14" s="204">
        <f t="shared" si="6"/>
        <v>31983.591723381032</v>
      </c>
      <c r="Y14" s="204">
        <f t="shared" si="6"/>
        <v>31983.591723381032</v>
      </c>
      <c r="Z14" s="204">
        <f t="shared" si="6"/>
        <v>31983.591723381032</v>
      </c>
      <c r="AA14" s="204">
        <f t="shared" si="6"/>
        <v>31983.591723381032</v>
      </c>
      <c r="AB14" s="204">
        <f t="shared" si="6"/>
        <v>31983.591723381032</v>
      </c>
      <c r="AC14" s="204">
        <f t="shared" si="6"/>
        <v>31983.591723381032</v>
      </c>
      <c r="AD14" s="204">
        <f t="shared" si="6"/>
        <v>31983.591723381032</v>
      </c>
      <c r="AE14" s="204">
        <f t="shared" si="6"/>
        <v>31983.591723381032</v>
      </c>
      <c r="AF14" s="204">
        <f t="shared" si="6"/>
        <v>31983.591723381032</v>
      </c>
      <c r="AG14" s="204">
        <f t="shared" si="6"/>
        <v>31983.591723381032</v>
      </c>
      <c r="AH14" s="204">
        <f t="shared" si="6"/>
        <v>31983.591723381032</v>
      </c>
      <c r="AI14" s="204">
        <f t="shared" si="6"/>
        <v>31983.591723381032</v>
      </c>
      <c r="AJ14" s="204">
        <f t="shared" si="6"/>
        <v>31983.591723381032</v>
      </c>
      <c r="AK14" s="204">
        <f t="shared" si="6"/>
        <v>31983.591723381032</v>
      </c>
      <c r="AL14" s="204">
        <f t="shared" si="7"/>
        <v>31983.591723381032</v>
      </c>
      <c r="AM14" s="204">
        <f t="shared" si="7"/>
        <v>31983.591723381032</v>
      </c>
      <c r="AN14" s="204">
        <f t="shared" si="7"/>
        <v>31983.591723381032</v>
      </c>
      <c r="AO14" s="204">
        <f t="shared" si="7"/>
        <v>31983.591723381032</v>
      </c>
      <c r="AP14" s="204">
        <f t="shared" si="7"/>
        <v>31983.591723381032</v>
      </c>
      <c r="AQ14" s="204">
        <f t="shared" si="7"/>
        <v>31983.591723381032</v>
      </c>
      <c r="AR14" s="204">
        <f t="shared" si="7"/>
        <v>31983.591723381032</v>
      </c>
      <c r="AS14" s="204">
        <f t="shared" si="7"/>
        <v>31983.591723381032</v>
      </c>
      <c r="AT14" s="204">
        <f t="shared" si="7"/>
        <v>31983.591723381032</v>
      </c>
      <c r="AU14" s="204">
        <f t="shared" si="7"/>
        <v>31983.591723381032</v>
      </c>
      <c r="AV14" s="204">
        <f t="shared" si="7"/>
        <v>31983.591723381032</v>
      </c>
      <c r="AW14" s="204">
        <f t="shared" si="7"/>
        <v>31983.591723381032</v>
      </c>
      <c r="AX14" s="204">
        <f t="shared" si="7"/>
        <v>31983.591723381032</v>
      </c>
      <c r="AY14" s="204">
        <f t="shared" si="7"/>
        <v>31983.591723381032</v>
      </c>
      <c r="AZ14" s="204">
        <f t="shared" si="7"/>
        <v>31983.591723381032</v>
      </c>
      <c r="BA14" s="204">
        <f t="shared" si="7"/>
        <v>31983.591723381032</v>
      </c>
      <c r="BB14" s="204">
        <f t="shared" si="8"/>
        <v>31983.591723381032</v>
      </c>
      <c r="BC14" s="204">
        <f t="shared" si="8"/>
        <v>31983.591723381032</v>
      </c>
      <c r="BD14" s="204">
        <f t="shared" si="8"/>
        <v>31983.591723381032</v>
      </c>
      <c r="BE14" s="204">
        <f t="shared" si="8"/>
        <v>31983.591723381032</v>
      </c>
      <c r="BF14" s="204">
        <f t="shared" si="8"/>
        <v>31983.591723381032</v>
      </c>
      <c r="BG14" s="204">
        <f t="shared" si="8"/>
        <v>31983.591723381032</v>
      </c>
      <c r="BH14" s="204">
        <f t="shared" si="8"/>
        <v>31983.591723381032</v>
      </c>
      <c r="BI14" s="204">
        <f t="shared" si="8"/>
        <v>31983.591723381032</v>
      </c>
      <c r="BJ14" s="204">
        <f t="shared" si="8"/>
        <v>31983.591723381032</v>
      </c>
      <c r="BK14" s="204">
        <f t="shared" si="8"/>
        <v>31983.591723381032</v>
      </c>
      <c r="BL14" s="204">
        <f t="shared" si="8"/>
        <v>31983.591723381032</v>
      </c>
      <c r="BM14" s="204">
        <f t="shared" si="8"/>
        <v>31983.591723381032</v>
      </c>
      <c r="BN14" s="204">
        <f t="shared" si="8"/>
        <v>31983.591723381032</v>
      </c>
      <c r="BO14" s="204">
        <f t="shared" si="8"/>
        <v>31983.591723381032</v>
      </c>
      <c r="BP14" s="204">
        <f t="shared" si="8"/>
        <v>31983.591723381032</v>
      </c>
      <c r="BQ14" s="204">
        <f t="shared" si="8"/>
        <v>31983.591723381032</v>
      </c>
      <c r="BR14" s="204">
        <f t="shared" si="8"/>
        <v>31983.591723381032</v>
      </c>
      <c r="BS14" s="204">
        <f t="shared" si="8"/>
        <v>31983.591723381032</v>
      </c>
      <c r="BT14" s="204">
        <f t="shared" si="8"/>
        <v>31983.591723381032</v>
      </c>
      <c r="BU14" s="204">
        <f t="shared" si="8"/>
        <v>31983.591723381032</v>
      </c>
      <c r="BV14" s="204">
        <f t="shared" si="8"/>
        <v>31983.591723381032</v>
      </c>
      <c r="BW14" s="204">
        <f t="shared" si="8"/>
        <v>31983.591723381032</v>
      </c>
      <c r="BX14" s="204">
        <f t="shared" si="8"/>
        <v>13328.600181487915</v>
      </c>
      <c r="BY14" s="204">
        <f t="shared" si="8"/>
        <v>13328.600181487915</v>
      </c>
      <c r="BZ14" s="204">
        <f t="shared" si="8"/>
        <v>13328.600181487915</v>
      </c>
      <c r="CA14" s="204">
        <f t="shared" si="2"/>
        <v>13328.600181487915</v>
      </c>
      <c r="CB14" s="204">
        <f t="shared" si="2"/>
        <v>13328.600181487915</v>
      </c>
      <c r="CC14" s="204">
        <f t="shared" si="2"/>
        <v>13328.600181487915</v>
      </c>
      <c r="CD14" s="204">
        <f t="shared" si="2"/>
        <v>13328.600181487915</v>
      </c>
      <c r="CE14" s="204">
        <f t="shared" si="2"/>
        <v>13328.600181487915</v>
      </c>
      <c r="CF14" s="204">
        <f t="shared" si="2"/>
        <v>13328.600181487915</v>
      </c>
      <c r="CG14" s="204">
        <f t="shared" si="2"/>
        <v>13328.600181487915</v>
      </c>
      <c r="CH14" s="204">
        <f t="shared" si="2"/>
        <v>13328.600181487915</v>
      </c>
      <c r="CI14" s="204">
        <f t="shared" si="2"/>
        <v>13328.600181487915</v>
      </c>
      <c r="CJ14" s="204">
        <f t="shared" si="2"/>
        <v>13328.600181487915</v>
      </c>
      <c r="CK14" s="204">
        <f t="shared" si="2"/>
        <v>13328.600181487915</v>
      </c>
      <c r="CL14" s="204">
        <f t="shared" si="2"/>
        <v>13328.600181487915</v>
      </c>
      <c r="CM14" s="204">
        <f t="shared" si="2"/>
        <v>13328.600181487915</v>
      </c>
      <c r="CN14" s="204">
        <f t="shared" si="2"/>
        <v>13328.600181487915</v>
      </c>
      <c r="CO14" s="204">
        <f t="shared" si="2"/>
        <v>13328.600181487915</v>
      </c>
      <c r="CP14" s="204">
        <f t="shared" si="2"/>
        <v>13328.600181487915</v>
      </c>
      <c r="CQ14" s="204">
        <f t="shared" si="2"/>
        <v>13328.600181487915</v>
      </c>
      <c r="CR14" s="204">
        <f t="shared" si="2"/>
        <v>13328.600181487915</v>
      </c>
      <c r="CS14" s="204">
        <f t="shared" si="3"/>
        <v>13328.600181487915</v>
      </c>
      <c r="CT14" s="204">
        <f t="shared" si="3"/>
        <v>13328.600181487915</v>
      </c>
      <c r="CU14" s="204">
        <f t="shared" si="3"/>
        <v>13328.600181487915</v>
      </c>
      <c r="CV14" s="204">
        <f t="shared" si="3"/>
        <v>13328.600181487915</v>
      </c>
      <c r="CW14" s="204">
        <f t="shared" si="3"/>
        <v>13328.600181487915</v>
      </c>
      <c r="CX14" s="204">
        <f t="shared" si="3"/>
        <v>13328.600181487915</v>
      </c>
      <c r="CY14" s="204">
        <f t="shared" si="3"/>
        <v>13328.600181487915</v>
      </c>
      <c r="CZ14" s="204">
        <f t="shared" si="3"/>
        <v>13328.600181487915</v>
      </c>
      <c r="DA14" s="204">
        <f t="shared" si="3"/>
        <v>13328.600181487915</v>
      </c>
      <c r="DB14" s="204"/>
    </row>
    <row r="15" spans="1:106">
      <c r="A15" s="201" t="str">
        <f>Income!A86</f>
        <v>Cash transfer - gifts</v>
      </c>
      <c r="B15" s="203">
        <f>Income!B86</f>
        <v>0</v>
      </c>
      <c r="C15" s="203">
        <f>Income!C86</f>
        <v>3092.3362163489946</v>
      </c>
      <c r="D15" s="203">
        <f>Income!D86</f>
        <v>2468.2592928681324</v>
      </c>
      <c r="E15" s="203">
        <f>Income!E86</f>
        <v>6731.6162532767248</v>
      </c>
      <c r="F15" s="204">
        <f t="shared" si="4"/>
        <v>0</v>
      </c>
      <c r="G15" s="204">
        <f t="shared" si="4"/>
        <v>0</v>
      </c>
      <c r="H15" s="204">
        <f t="shared" si="4"/>
        <v>0</v>
      </c>
      <c r="I15" s="204">
        <f t="shared" si="4"/>
        <v>0</v>
      </c>
      <c r="J15" s="204">
        <f t="shared" si="4"/>
        <v>0</v>
      </c>
      <c r="K15" s="204">
        <f t="shared" si="4"/>
        <v>0</v>
      </c>
      <c r="L15" s="204">
        <f t="shared" si="4"/>
        <v>0</v>
      </c>
      <c r="M15" s="204">
        <f t="shared" si="4"/>
        <v>0</v>
      </c>
      <c r="N15" s="204">
        <f t="shared" si="4"/>
        <v>0</v>
      </c>
      <c r="O15" s="204">
        <f t="shared" si="4"/>
        <v>0</v>
      </c>
      <c r="P15" s="204">
        <f t="shared" si="4"/>
        <v>0</v>
      </c>
      <c r="Q15" s="204">
        <f t="shared" si="4"/>
        <v>0</v>
      </c>
      <c r="R15" s="204">
        <f t="shared" si="4"/>
        <v>0</v>
      </c>
      <c r="S15" s="204">
        <f t="shared" si="4"/>
        <v>0</v>
      </c>
      <c r="T15" s="204">
        <f t="shared" si="4"/>
        <v>0</v>
      </c>
      <c r="U15" s="204">
        <f t="shared" si="4"/>
        <v>0</v>
      </c>
      <c r="V15" s="204">
        <f t="shared" si="6"/>
        <v>0</v>
      </c>
      <c r="W15" s="204">
        <f t="shared" si="6"/>
        <v>0</v>
      </c>
      <c r="X15" s="204">
        <f t="shared" si="6"/>
        <v>0</v>
      </c>
      <c r="Y15" s="204">
        <f t="shared" si="6"/>
        <v>0</v>
      </c>
      <c r="Z15" s="204">
        <f t="shared" si="6"/>
        <v>0</v>
      </c>
      <c r="AA15" s="204">
        <f t="shared" si="6"/>
        <v>0</v>
      </c>
      <c r="AB15" s="204">
        <f t="shared" si="6"/>
        <v>0</v>
      </c>
      <c r="AC15" s="204">
        <f t="shared" si="6"/>
        <v>0</v>
      </c>
      <c r="AD15" s="204">
        <f t="shared" si="6"/>
        <v>0</v>
      </c>
      <c r="AE15" s="204">
        <f t="shared" si="6"/>
        <v>0</v>
      </c>
      <c r="AF15" s="204">
        <f t="shared" si="6"/>
        <v>0</v>
      </c>
      <c r="AG15" s="204">
        <f t="shared" si="6"/>
        <v>0</v>
      </c>
      <c r="AH15" s="204">
        <f t="shared" si="6"/>
        <v>0</v>
      </c>
      <c r="AI15" s="204">
        <f t="shared" si="6"/>
        <v>0</v>
      </c>
      <c r="AJ15" s="204">
        <f t="shared" si="6"/>
        <v>0</v>
      </c>
      <c r="AK15" s="204">
        <f t="shared" si="6"/>
        <v>0</v>
      </c>
      <c r="AL15" s="204">
        <f t="shared" si="7"/>
        <v>0</v>
      </c>
      <c r="AM15" s="204">
        <f t="shared" si="7"/>
        <v>0</v>
      </c>
      <c r="AN15" s="204">
        <f t="shared" si="7"/>
        <v>0</v>
      </c>
      <c r="AO15" s="204">
        <f t="shared" si="7"/>
        <v>0</v>
      </c>
      <c r="AP15" s="204">
        <f t="shared" si="7"/>
        <v>3092.3362163489946</v>
      </c>
      <c r="AQ15" s="204">
        <f t="shared" si="7"/>
        <v>3092.3362163489946</v>
      </c>
      <c r="AR15" s="204">
        <f t="shared" si="7"/>
        <v>3092.3362163489946</v>
      </c>
      <c r="AS15" s="204">
        <f t="shared" si="7"/>
        <v>3092.3362163489946</v>
      </c>
      <c r="AT15" s="204">
        <f t="shared" si="7"/>
        <v>3092.3362163489946</v>
      </c>
      <c r="AU15" s="204">
        <f t="shared" si="7"/>
        <v>3092.3362163489946</v>
      </c>
      <c r="AV15" s="204">
        <f t="shared" si="7"/>
        <v>3092.3362163489946</v>
      </c>
      <c r="AW15" s="204">
        <f t="shared" si="7"/>
        <v>3092.3362163489946</v>
      </c>
      <c r="AX15" s="204">
        <f t="shared" si="8"/>
        <v>3092.3362163489946</v>
      </c>
      <c r="AY15" s="204">
        <f t="shared" si="8"/>
        <v>3092.3362163489946</v>
      </c>
      <c r="AZ15" s="204">
        <f t="shared" si="8"/>
        <v>3092.3362163489946</v>
      </c>
      <c r="BA15" s="204">
        <f t="shared" si="8"/>
        <v>3092.3362163489946</v>
      </c>
      <c r="BB15" s="204">
        <f t="shared" si="8"/>
        <v>3092.3362163489946</v>
      </c>
      <c r="BC15" s="204">
        <f t="shared" si="8"/>
        <v>3092.3362163489946</v>
      </c>
      <c r="BD15" s="204">
        <f t="shared" si="8"/>
        <v>3092.3362163489946</v>
      </c>
      <c r="BE15" s="204">
        <f t="shared" si="8"/>
        <v>3092.3362163489946</v>
      </c>
      <c r="BF15" s="204">
        <f t="shared" si="8"/>
        <v>3092.3362163489946</v>
      </c>
      <c r="BG15" s="204">
        <f t="shared" si="8"/>
        <v>3092.3362163489946</v>
      </c>
      <c r="BH15" s="204">
        <f t="shared" si="8"/>
        <v>3092.3362163489946</v>
      </c>
      <c r="BI15" s="204">
        <f t="shared" si="8"/>
        <v>3092.3362163489946</v>
      </c>
      <c r="BJ15" s="204">
        <f t="shared" si="8"/>
        <v>3092.3362163489946</v>
      </c>
      <c r="BK15" s="204">
        <f t="shared" si="8"/>
        <v>3092.3362163489946</v>
      </c>
      <c r="BL15" s="204">
        <f t="shared" si="8"/>
        <v>3092.3362163489946</v>
      </c>
      <c r="BM15" s="204">
        <f t="shared" si="8"/>
        <v>3092.3362163489946</v>
      </c>
      <c r="BN15" s="204">
        <f t="shared" si="8"/>
        <v>3092.3362163489946</v>
      </c>
      <c r="BO15" s="204">
        <f t="shared" si="8"/>
        <v>3092.3362163489946</v>
      </c>
      <c r="BP15" s="204">
        <f t="shared" si="8"/>
        <v>3092.3362163489946</v>
      </c>
      <c r="BQ15" s="204">
        <f t="shared" si="8"/>
        <v>3092.3362163489946</v>
      </c>
      <c r="BR15" s="204">
        <f t="shared" si="8"/>
        <v>3092.3362163489946</v>
      </c>
      <c r="BS15" s="204">
        <f t="shared" si="8"/>
        <v>3092.3362163489946</v>
      </c>
      <c r="BT15" s="204">
        <f t="shared" si="8"/>
        <v>3092.3362163489946</v>
      </c>
      <c r="BU15" s="204">
        <f t="shared" si="8"/>
        <v>3092.3362163489946</v>
      </c>
      <c r="BV15" s="204">
        <f t="shared" si="8"/>
        <v>3092.3362163489946</v>
      </c>
      <c r="BW15" s="204">
        <f t="shared" si="8"/>
        <v>3092.3362163489946</v>
      </c>
      <c r="BX15" s="204">
        <f t="shared" si="8"/>
        <v>2468.2592928681324</v>
      </c>
      <c r="BY15" s="204">
        <f t="shared" si="8"/>
        <v>2468.2592928681324</v>
      </c>
      <c r="BZ15" s="204">
        <f t="shared" si="8"/>
        <v>2468.2592928681324</v>
      </c>
      <c r="CA15" s="204">
        <f t="shared" si="2"/>
        <v>2468.2592928681324</v>
      </c>
      <c r="CB15" s="204">
        <f t="shared" si="2"/>
        <v>2468.2592928681324</v>
      </c>
      <c r="CC15" s="204">
        <f t="shared" si="2"/>
        <v>2468.2592928681324</v>
      </c>
      <c r="CD15" s="204">
        <f t="shared" ref="CC15:CR18" si="9">IF(CD$2&lt;=($B$2+$C$2+$D$2),IF(CD$2&lt;=($B$2+$C$2),IF(CD$2&lt;=$B$2,$B15,$C15),$D15),$E15)</f>
        <v>2468.2592928681324</v>
      </c>
      <c r="CE15" s="204">
        <f t="shared" si="9"/>
        <v>2468.2592928681324</v>
      </c>
      <c r="CF15" s="204">
        <f t="shared" si="9"/>
        <v>2468.2592928681324</v>
      </c>
      <c r="CG15" s="204">
        <f t="shared" si="9"/>
        <v>2468.2592928681324</v>
      </c>
      <c r="CH15" s="204">
        <f t="shared" si="9"/>
        <v>2468.2592928681324</v>
      </c>
      <c r="CI15" s="204">
        <f t="shared" si="9"/>
        <v>2468.2592928681324</v>
      </c>
      <c r="CJ15" s="204">
        <f t="shared" si="9"/>
        <v>2468.2592928681324</v>
      </c>
      <c r="CK15" s="204">
        <f t="shared" si="9"/>
        <v>2468.2592928681324</v>
      </c>
      <c r="CL15" s="204">
        <f t="shared" si="9"/>
        <v>2468.2592928681324</v>
      </c>
      <c r="CM15" s="204">
        <f t="shared" si="9"/>
        <v>2468.2592928681324</v>
      </c>
      <c r="CN15" s="204">
        <f t="shared" si="9"/>
        <v>2468.2592928681324</v>
      </c>
      <c r="CO15" s="204">
        <f t="shared" si="9"/>
        <v>2468.2592928681324</v>
      </c>
      <c r="CP15" s="204">
        <f t="shared" si="9"/>
        <v>2468.2592928681324</v>
      </c>
      <c r="CQ15" s="204">
        <f t="shared" si="9"/>
        <v>2468.2592928681324</v>
      </c>
      <c r="CR15" s="204">
        <f t="shared" si="9"/>
        <v>6731.6162532767248</v>
      </c>
      <c r="CS15" s="204">
        <f t="shared" si="3"/>
        <v>6731.6162532767248</v>
      </c>
      <c r="CT15" s="204">
        <f t="shared" si="3"/>
        <v>6731.6162532767248</v>
      </c>
      <c r="CU15" s="204">
        <f t="shared" si="3"/>
        <v>6731.6162532767248</v>
      </c>
      <c r="CV15" s="204">
        <f t="shared" si="3"/>
        <v>6731.6162532767248</v>
      </c>
      <c r="CW15" s="204">
        <f t="shared" si="3"/>
        <v>6731.6162532767248</v>
      </c>
      <c r="CX15" s="204">
        <f t="shared" si="3"/>
        <v>6731.6162532767248</v>
      </c>
      <c r="CY15" s="204">
        <f t="shared" si="3"/>
        <v>6731.6162532767248</v>
      </c>
      <c r="CZ15" s="204">
        <f t="shared" si="3"/>
        <v>6731.6162532767248</v>
      </c>
      <c r="DA15" s="204">
        <f t="shared" si="3"/>
        <v>6731.6162532767248</v>
      </c>
      <c r="DB15" s="204"/>
    </row>
    <row r="16" spans="1:106">
      <c r="A16" s="201" t="s">
        <v>115</v>
      </c>
      <c r="B16" s="203">
        <f>Income!B88</f>
        <v>53891.067462932857</v>
      </c>
      <c r="C16" s="203">
        <f>Income!C88</f>
        <v>91493.298096761384</v>
      </c>
      <c r="D16" s="203">
        <f>Income!D88</f>
        <v>176686.60518183949</v>
      </c>
      <c r="E16" s="203">
        <f>Income!E88</f>
        <v>368517.33653598721</v>
      </c>
      <c r="F16" s="204">
        <f t="shared" si="4"/>
        <v>53891.067462932857</v>
      </c>
      <c r="G16" s="204">
        <f t="shared" si="4"/>
        <v>53891.067462932857</v>
      </c>
      <c r="H16" s="204">
        <f t="shared" si="4"/>
        <v>53891.067462932857</v>
      </c>
      <c r="I16" s="204">
        <f t="shared" si="4"/>
        <v>53891.067462932857</v>
      </c>
      <c r="J16" s="204">
        <f t="shared" si="4"/>
        <v>53891.067462932857</v>
      </c>
      <c r="K16" s="204">
        <f t="shared" si="4"/>
        <v>53891.067462932857</v>
      </c>
      <c r="L16" s="204">
        <f t="shared" si="4"/>
        <v>53891.067462932857</v>
      </c>
      <c r="M16" s="204">
        <f t="shared" si="4"/>
        <v>53891.067462932857</v>
      </c>
      <c r="N16" s="204">
        <f t="shared" si="4"/>
        <v>53891.067462932857</v>
      </c>
      <c r="O16" s="204">
        <f t="shared" si="4"/>
        <v>53891.067462932857</v>
      </c>
      <c r="P16" s="204">
        <f t="shared" si="4"/>
        <v>53891.067462932857</v>
      </c>
      <c r="Q16" s="204">
        <f t="shared" si="4"/>
        <v>53891.067462932857</v>
      </c>
      <c r="R16" s="204">
        <f t="shared" si="4"/>
        <v>53891.067462932857</v>
      </c>
      <c r="S16" s="204">
        <f t="shared" si="4"/>
        <v>53891.067462932857</v>
      </c>
      <c r="T16" s="204">
        <f t="shared" si="4"/>
        <v>53891.067462932857</v>
      </c>
      <c r="U16" s="204">
        <f t="shared" si="4"/>
        <v>53891.067462932857</v>
      </c>
      <c r="V16" s="204">
        <f t="shared" si="6"/>
        <v>53891.067462932857</v>
      </c>
      <c r="W16" s="204">
        <f t="shared" si="6"/>
        <v>53891.067462932857</v>
      </c>
      <c r="X16" s="204">
        <f t="shared" si="6"/>
        <v>53891.067462932857</v>
      </c>
      <c r="Y16" s="204">
        <f t="shared" si="6"/>
        <v>53891.067462932857</v>
      </c>
      <c r="Z16" s="204">
        <f t="shared" si="6"/>
        <v>53891.067462932857</v>
      </c>
      <c r="AA16" s="204">
        <f t="shared" si="6"/>
        <v>53891.067462932857</v>
      </c>
      <c r="AB16" s="204">
        <f t="shared" si="6"/>
        <v>53891.067462932857</v>
      </c>
      <c r="AC16" s="204">
        <f t="shared" si="6"/>
        <v>53891.067462932857</v>
      </c>
      <c r="AD16" s="204">
        <f t="shared" si="6"/>
        <v>53891.067462932857</v>
      </c>
      <c r="AE16" s="204">
        <f>IF(AE$2&lt;=($B$2+$C$2+$D$2),IF(AE$2&lt;=($B$2+$C$2),IF(AE$2&lt;=$B$2,$B16,$C16),$D16),$E16)</f>
        <v>53891.067462932857</v>
      </c>
      <c r="AF16" s="204">
        <f t="shared" si="6"/>
        <v>53891.067462932857</v>
      </c>
      <c r="AG16" s="204">
        <f t="shared" si="6"/>
        <v>53891.067462932857</v>
      </c>
      <c r="AH16" s="204">
        <f t="shared" si="6"/>
        <v>53891.067462932857</v>
      </c>
      <c r="AI16" s="204">
        <f t="shared" si="6"/>
        <v>53891.067462932857</v>
      </c>
      <c r="AJ16" s="204">
        <f t="shared" si="6"/>
        <v>53891.067462932857</v>
      </c>
      <c r="AK16" s="204">
        <f t="shared" si="6"/>
        <v>53891.067462932857</v>
      </c>
      <c r="AL16" s="204">
        <f t="shared" si="7"/>
        <v>53891.067462932857</v>
      </c>
      <c r="AM16" s="204">
        <f t="shared" si="7"/>
        <v>53891.067462932857</v>
      </c>
      <c r="AN16" s="204">
        <f t="shared" si="7"/>
        <v>53891.067462932857</v>
      </c>
      <c r="AO16" s="204">
        <f t="shared" si="7"/>
        <v>53891.067462932857</v>
      </c>
      <c r="AP16" s="204">
        <f t="shared" si="7"/>
        <v>91493.298096761384</v>
      </c>
      <c r="AQ16" s="204">
        <f t="shared" si="7"/>
        <v>91493.298096761384</v>
      </c>
      <c r="AR16" s="204">
        <f t="shared" si="7"/>
        <v>91493.298096761384</v>
      </c>
      <c r="AS16" s="204">
        <f t="shared" si="7"/>
        <v>91493.298096761384</v>
      </c>
      <c r="AT16" s="204">
        <f t="shared" si="7"/>
        <v>91493.298096761384</v>
      </c>
      <c r="AU16" s="204">
        <f t="shared" si="7"/>
        <v>91493.298096761384</v>
      </c>
      <c r="AV16" s="204">
        <f t="shared" si="7"/>
        <v>91493.298096761384</v>
      </c>
      <c r="AW16" s="204">
        <f t="shared" si="7"/>
        <v>91493.298096761384</v>
      </c>
      <c r="AX16" s="204">
        <f t="shared" si="8"/>
        <v>91493.298096761384</v>
      </c>
      <c r="AY16" s="204">
        <f t="shared" si="8"/>
        <v>91493.298096761384</v>
      </c>
      <c r="AZ16" s="204">
        <f t="shared" si="8"/>
        <v>91493.298096761384</v>
      </c>
      <c r="BA16" s="204">
        <f t="shared" si="8"/>
        <v>91493.298096761384</v>
      </c>
      <c r="BB16" s="204">
        <f t="shared" si="8"/>
        <v>91493.298096761384</v>
      </c>
      <c r="BC16" s="204">
        <f t="shared" si="8"/>
        <v>91493.298096761384</v>
      </c>
      <c r="BD16" s="204">
        <f t="shared" si="8"/>
        <v>91493.298096761384</v>
      </c>
      <c r="BE16" s="204">
        <f t="shared" si="8"/>
        <v>91493.298096761384</v>
      </c>
      <c r="BF16" s="204">
        <f t="shared" si="8"/>
        <v>91493.298096761384</v>
      </c>
      <c r="BG16" s="204">
        <f t="shared" si="8"/>
        <v>91493.298096761384</v>
      </c>
      <c r="BH16" s="204">
        <f t="shared" si="8"/>
        <v>91493.298096761384</v>
      </c>
      <c r="BI16" s="204">
        <f t="shared" si="8"/>
        <v>91493.298096761384</v>
      </c>
      <c r="BJ16" s="204">
        <f t="shared" si="8"/>
        <v>91493.298096761384</v>
      </c>
      <c r="BK16" s="204">
        <f t="shared" si="8"/>
        <v>91493.298096761384</v>
      </c>
      <c r="BL16" s="204">
        <f t="shared" si="8"/>
        <v>91493.298096761384</v>
      </c>
      <c r="BM16" s="204">
        <f t="shared" si="8"/>
        <v>91493.298096761384</v>
      </c>
      <c r="BN16" s="204">
        <f t="shared" si="8"/>
        <v>91493.298096761384</v>
      </c>
      <c r="BO16" s="204">
        <f t="shared" si="8"/>
        <v>91493.298096761384</v>
      </c>
      <c r="BP16" s="204">
        <f t="shared" si="8"/>
        <v>91493.298096761384</v>
      </c>
      <c r="BQ16" s="204">
        <f t="shared" si="8"/>
        <v>91493.298096761384</v>
      </c>
      <c r="BR16" s="204">
        <f t="shared" si="8"/>
        <v>91493.298096761384</v>
      </c>
      <c r="BS16" s="204">
        <f t="shared" si="8"/>
        <v>91493.298096761384</v>
      </c>
      <c r="BT16" s="204">
        <f t="shared" si="8"/>
        <v>91493.298096761384</v>
      </c>
      <c r="BU16" s="204">
        <f t="shared" si="8"/>
        <v>91493.298096761384</v>
      </c>
      <c r="BV16" s="204">
        <f t="shared" si="8"/>
        <v>91493.298096761384</v>
      </c>
      <c r="BW16" s="204">
        <f t="shared" si="8"/>
        <v>91493.298096761384</v>
      </c>
      <c r="BX16" s="204">
        <f t="shared" si="8"/>
        <v>176686.60518183949</v>
      </c>
      <c r="BY16" s="204">
        <f t="shared" si="8"/>
        <v>176686.60518183949</v>
      </c>
      <c r="BZ16" s="204">
        <f t="shared" si="8"/>
        <v>176686.60518183949</v>
      </c>
      <c r="CA16" s="204">
        <f t="shared" ref="CA16:CB18" si="10">IF(CA$2&lt;=($B$2+$C$2+$D$2),IF(CA$2&lt;=($B$2+$C$2),IF(CA$2&lt;=$B$2,$B16,$C16),$D16),$E16)</f>
        <v>176686.60518183949</v>
      </c>
      <c r="CB16" s="204">
        <f t="shared" si="10"/>
        <v>176686.60518183949</v>
      </c>
      <c r="CC16" s="204">
        <f t="shared" si="9"/>
        <v>176686.60518183949</v>
      </c>
      <c r="CD16" s="204">
        <f t="shared" si="9"/>
        <v>176686.60518183949</v>
      </c>
      <c r="CE16" s="204">
        <f t="shared" si="9"/>
        <v>176686.60518183949</v>
      </c>
      <c r="CF16" s="204">
        <f t="shared" si="9"/>
        <v>176686.60518183949</v>
      </c>
      <c r="CG16" s="204">
        <f t="shared" si="9"/>
        <v>176686.60518183949</v>
      </c>
      <c r="CH16" s="204">
        <f t="shared" si="9"/>
        <v>176686.60518183949</v>
      </c>
      <c r="CI16" s="204">
        <f t="shared" si="9"/>
        <v>176686.60518183949</v>
      </c>
      <c r="CJ16" s="204">
        <f t="shared" si="9"/>
        <v>176686.60518183949</v>
      </c>
      <c r="CK16" s="204">
        <f t="shared" si="9"/>
        <v>176686.60518183949</v>
      </c>
      <c r="CL16" s="204">
        <f t="shared" si="9"/>
        <v>176686.60518183949</v>
      </c>
      <c r="CM16" s="204">
        <f t="shared" si="9"/>
        <v>176686.60518183949</v>
      </c>
      <c r="CN16" s="204">
        <f t="shared" si="9"/>
        <v>176686.60518183949</v>
      </c>
      <c r="CO16" s="204">
        <f t="shared" si="9"/>
        <v>176686.60518183949</v>
      </c>
      <c r="CP16" s="204">
        <f t="shared" si="9"/>
        <v>176686.60518183949</v>
      </c>
      <c r="CQ16" s="204">
        <f t="shared" si="9"/>
        <v>176686.60518183949</v>
      </c>
      <c r="CR16" s="204">
        <f t="shared" si="9"/>
        <v>368517.33653598721</v>
      </c>
      <c r="CS16" s="204">
        <f t="shared" ref="CS16:DA18" si="11">IF(CS$2&lt;=($B$2+$C$2+$D$2),IF(CS$2&lt;=($B$2+$C$2),IF(CS$2&lt;=$B$2,$B16,$C16),$D16),$E16)</f>
        <v>368517.33653598721</v>
      </c>
      <c r="CT16" s="204">
        <f t="shared" si="11"/>
        <v>368517.33653598721</v>
      </c>
      <c r="CU16" s="204">
        <f t="shared" si="11"/>
        <v>368517.33653598721</v>
      </c>
      <c r="CV16" s="204">
        <f t="shared" si="11"/>
        <v>368517.33653598721</v>
      </c>
      <c r="CW16" s="204">
        <f t="shared" si="11"/>
        <v>368517.33653598721</v>
      </c>
      <c r="CX16" s="204">
        <f t="shared" si="11"/>
        <v>368517.33653598721</v>
      </c>
      <c r="CY16" s="204">
        <f t="shared" si="11"/>
        <v>368517.33653598721</v>
      </c>
      <c r="CZ16" s="204">
        <f t="shared" si="11"/>
        <v>368517.33653598721</v>
      </c>
      <c r="DA16" s="204">
        <f t="shared" si="11"/>
        <v>368517.33653598721</v>
      </c>
      <c r="DB16" s="204"/>
    </row>
    <row r="17" spans="1:105">
      <c r="A17" s="201" t="s">
        <v>101</v>
      </c>
      <c r="B17" s="203">
        <f>Income!B89</f>
        <v>40474.951687871187</v>
      </c>
      <c r="C17" s="203">
        <f>Income!C89</f>
        <v>40474.951687871187</v>
      </c>
      <c r="D17" s="203">
        <f>Income!D89</f>
        <v>40474.951687871129</v>
      </c>
      <c r="E17" s="203">
        <f>Income!E89</f>
        <v>40474.951687871129</v>
      </c>
      <c r="F17" s="204">
        <f t="shared" si="4"/>
        <v>40474.951687871187</v>
      </c>
      <c r="G17" s="204">
        <f t="shared" si="4"/>
        <v>40474.951687871187</v>
      </c>
      <c r="H17" s="204">
        <f t="shared" si="4"/>
        <v>40474.951687871187</v>
      </c>
      <c r="I17" s="204">
        <f t="shared" si="4"/>
        <v>40474.951687871187</v>
      </c>
      <c r="J17" s="204">
        <f t="shared" si="4"/>
        <v>40474.951687871187</v>
      </c>
      <c r="K17" s="204">
        <f t="shared" si="4"/>
        <v>40474.951687871187</v>
      </c>
      <c r="L17" s="204">
        <f t="shared" si="4"/>
        <v>40474.951687871187</v>
      </c>
      <c r="M17" s="204">
        <f t="shared" si="4"/>
        <v>40474.951687871187</v>
      </c>
      <c r="N17" s="204">
        <f t="shared" si="4"/>
        <v>40474.951687871187</v>
      </c>
      <c r="O17" s="204">
        <f t="shared" si="4"/>
        <v>40474.951687871187</v>
      </c>
      <c r="P17" s="204">
        <f t="shared" si="4"/>
        <v>40474.951687871187</v>
      </c>
      <c r="Q17" s="204">
        <f t="shared" si="4"/>
        <v>40474.951687871187</v>
      </c>
      <c r="R17" s="204">
        <f t="shared" si="4"/>
        <v>40474.951687871187</v>
      </c>
      <c r="S17" s="204">
        <f t="shared" si="4"/>
        <v>40474.951687871187</v>
      </c>
      <c r="T17" s="204">
        <f t="shared" si="4"/>
        <v>40474.951687871187</v>
      </c>
      <c r="U17" s="204">
        <f t="shared" si="4"/>
        <v>40474.951687871187</v>
      </c>
      <c r="V17" s="204">
        <f t="shared" si="6"/>
        <v>40474.951687871187</v>
      </c>
      <c r="W17" s="204">
        <f t="shared" si="6"/>
        <v>40474.951687871187</v>
      </c>
      <c r="X17" s="204">
        <f t="shared" si="6"/>
        <v>40474.951687871187</v>
      </c>
      <c r="Y17" s="204">
        <f t="shared" si="6"/>
        <v>40474.951687871187</v>
      </c>
      <c r="Z17" s="204">
        <f t="shared" si="6"/>
        <v>40474.951687871187</v>
      </c>
      <c r="AA17" s="204">
        <f t="shared" si="6"/>
        <v>40474.951687871187</v>
      </c>
      <c r="AB17" s="204">
        <f t="shared" si="6"/>
        <v>40474.951687871187</v>
      </c>
      <c r="AC17" s="204">
        <f t="shared" si="6"/>
        <v>40474.951687871187</v>
      </c>
      <c r="AD17" s="204">
        <f t="shared" si="6"/>
        <v>40474.951687871187</v>
      </c>
      <c r="AE17" s="204">
        <f t="shared" si="6"/>
        <v>40474.951687871187</v>
      </c>
      <c r="AF17" s="204">
        <f t="shared" si="6"/>
        <v>40474.951687871187</v>
      </c>
      <c r="AG17" s="204">
        <f t="shared" si="6"/>
        <v>40474.951687871187</v>
      </c>
      <c r="AH17" s="204">
        <f t="shared" si="6"/>
        <v>40474.951687871187</v>
      </c>
      <c r="AI17" s="204">
        <f t="shared" si="6"/>
        <v>40474.951687871187</v>
      </c>
      <c r="AJ17" s="204">
        <f t="shared" si="6"/>
        <v>40474.951687871187</v>
      </c>
      <c r="AK17" s="204">
        <f t="shared" si="6"/>
        <v>40474.951687871187</v>
      </c>
      <c r="AL17" s="204">
        <f t="shared" si="7"/>
        <v>40474.951687871187</v>
      </c>
      <c r="AM17" s="204">
        <f t="shared" si="7"/>
        <v>40474.951687871187</v>
      </c>
      <c r="AN17" s="204">
        <f t="shared" si="7"/>
        <v>40474.951687871187</v>
      </c>
      <c r="AO17" s="204">
        <f t="shared" si="7"/>
        <v>40474.951687871187</v>
      </c>
      <c r="AP17" s="204">
        <f t="shared" si="7"/>
        <v>40474.951687871187</v>
      </c>
      <c r="AQ17" s="204">
        <f t="shared" si="7"/>
        <v>40474.951687871187</v>
      </c>
      <c r="AR17" s="204">
        <f t="shared" si="7"/>
        <v>40474.951687871187</v>
      </c>
      <c r="AS17" s="204">
        <f t="shared" si="7"/>
        <v>40474.951687871187</v>
      </c>
      <c r="AT17" s="204">
        <f t="shared" si="7"/>
        <v>40474.951687871187</v>
      </c>
      <c r="AU17" s="204">
        <f t="shared" si="7"/>
        <v>40474.951687871187</v>
      </c>
      <c r="AV17" s="204">
        <f t="shared" si="7"/>
        <v>40474.951687871187</v>
      </c>
      <c r="AW17" s="204">
        <f t="shared" si="7"/>
        <v>40474.951687871187</v>
      </c>
      <c r="AX17" s="204">
        <f t="shared" si="8"/>
        <v>40474.951687871187</v>
      </c>
      <c r="AY17" s="204">
        <f t="shared" si="8"/>
        <v>40474.951687871187</v>
      </c>
      <c r="AZ17" s="204">
        <f t="shared" si="8"/>
        <v>40474.951687871187</v>
      </c>
      <c r="BA17" s="204">
        <f t="shared" si="8"/>
        <v>40474.951687871187</v>
      </c>
      <c r="BB17" s="204">
        <f t="shared" si="8"/>
        <v>40474.951687871187</v>
      </c>
      <c r="BC17" s="204">
        <f t="shared" si="8"/>
        <v>40474.951687871187</v>
      </c>
      <c r="BD17" s="204">
        <f t="shared" si="8"/>
        <v>40474.951687871187</v>
      </c>
      <c r="BE17" s="204">
        <f t="shared" si="8"/>
        <v>40474.951687871187</v>
      </c>
      <c r="BF17" s="204">
        <f t="shared" si="8"/>
        <v>40474.951687871187</v>
      </c>
      <c r="BG17" s="204">
        <f t="shared" si="8"/>
        <v>40474.951687871187</v>
      </c>
      <c r="BH17" s="204">
        <f t="shared" si="8"/>
        <v>40474.951687871187</v>
      </c>
      <c r="BI17" s="204">
        <f t="shared" si="8"/>
        <v>40474.951687871187</v>
      </c>
      <c r="BJ17" s="204">
        <f t="shared" si="8"/>
        <v>40474.951687871187</v>
      </c>
      <c r="BK17" s="204">
        <f t="shared" si="8"/>
        <v>40474.951687871187</v>
      </c>
      <c r="BL17" s="204">
        <f t="shared" si="8"/>
        <v>40474.951687871187</v>
      </c>
      <c r="BM17" s="204">
        <f t="shared" si="8"/>
        <v>40474.951687871187</v>
      </c>
      <c r="BN17" s="204">
        <f t="shared" si="8"/>
        <v>40474.951687871187</v>
      </c>
      <c r="BO17" s="204">
        <f t="shared" si="8"/>
        <v>40474.951687871187</v>
      </c>
      <c r="BP17" s="204">
        <f t="shared" si="8"/>
        <v>40474.951687871187</v>
      </c>
      <c r="BQ17" s="204">
        <f t="shared" si="8"/>
        <v>40474.951687871187</v>
      </c>
      <c r="BR17" s="204">
        <f t="shared" si="8"/>
        <v>40474.951687871187</v>
      </c>
      <c r="BS17" s="204">
        <f t="shared" si="8"/>
        <v>40474.951687871187</v>
      </c>
      <c r="BT17" s="204">
        <f t="shared" si="8"/>
        <v>40474.951687871187</v>
      </c>
      <c r="BU17" s="204">
        <f t="shared" si="8"/>
        <v>40474.951687871187</v>
      </c>
      <c r="BV17" s="204">
        <f t="shared" si="8"/>
        <v>40474.951687871187</v>
      </c>
      <c r="BW17" s="204">
        <f t="shared" si="8"/>
        <v>40474.951687871187</v>
      </c>
      <c r="BX17" s="204">
        <f t="shared" si="8"/>
        <v>40474.951687871129</v>
      </c>
      <c r="BY17" s="204">
        <f t="shared" si="8"/>
        <v>40474.951687871129</v>
      </c>
      <c r="BZ17" s="204">
        <f t="shared" si="8"/>
        <v>40474.951687871129</v>
      </c>
      <c r="CA17" s="204">
        <f t="shared" si="10"/>
        <v>40474.951687871129</v>
      </c>
      <c r="CB17" s="204">
        <f t="shared" si="10"/>
        <v>40474.951687871129</v>
      </c>
      <c r="CC17" s="204">
        <f t="shared" si="9"/>
        <v>40474.951687871129</v>
      </c>
      <c r="CD17" s="204">
        <f t="shared" si="9"/>
        <v>40474.951687871129</v>
      </c>
      <c r="CE17" s="204">
        <f t="shared" si="9"/>
        <v>40474.951687871129</v>
      </c>
      <c r="CF17" s="204">
        <f t="shared" si="9"/>
        <v>40474.951687871129</v>
      </c>
      <c r="CG17" s="204">
        <f t="shared" si="9"/>
        <v>40474.951687871129</v>
      </c>
      <c r="CH17" s="204">
        <f t="shared" si="9"/>
        <v>40474.951687871129</v>
      </c>
      <c r="CI17" s="204">
        <f t="shared" si="9"/>
        <v>40474.951687871129</v>
      </c>
      <c r="CJ17" s="204">
        <f t="shared" si="9"/>
        <v>40474.951687871129</v>
      </c>
      <c r="CK17" s="204">
        <f t="shared" si="9"/>
        <v>40474.951687871129</v>
      </c>
      <c r="CL17" s="204">
        <f t="shared" si="9"/>
        <v>40474.951687871129</v>
      </c>
      <c r="CM17" s="204">
        <f t="shared" si="9"/>
        <v>40474.951687871129</v>
      </c>
      <c r="CN17" s="204">
        <f t="shared" si="9"/>
        <v>40474.951687871129</v>
      </c>
      <c r="CO17" s="204">
        <f t="shared" si="9"/>
        <v>40474.951687871129</v>
      </c>
      <c r="CP17" s="204">
        <f t="shared" si="9"/>
        <v>40474.951687871129</v>
      </c>
      <c r="CQ17" s="204">
        <f t="shared" si="9"/>
        <v>40474.951687871129</v>
      </c>
      <c r="CR17" s="204">
        <f t="shared" si="9"/>
        <v>40474.951687871129</v>
      </c>
      <c r="CS17" s="204">
        <f t="shared" si="11"/>
        <v>40474.951687871129</v>
      </c>
      <c r="CT17" s="204">
        <f t="shared" si="11"/>
        <v>40474.951687871129</v>
      </c>
      <c r="CU17" s="204">
        <f t="shared" si="11"/>
        <v>40474.951687871129</v>
      </c>
      <c r="CV17" s="204">
        <f t="shared" si="11"/>
        <v>40474.951687871129</v>
      </c>
      <c r="CW17" s="204">
        <f t="shared" si="11"/>
        <v>40474.951687871129</v>
      </c>
      <c r="CX17" s="204">
        <f t="shared" si="11"/>
        <v>40474.951687871129</v>
      </c>
      <c r="CY17" s="204">
        <f t="shared" si="11"/>
        <v>40474.951687871129</v>
      </c>
      <c r="CZ17" s="204">
        <f t="shared" si="11"/>
        <v>40474.951687871129</v>
      </c>
      <c r="DA17" s="204">
        <f t="shared" si="11"/>
        <v>40474.951687871129</v>
      </c>
    </row>
    <row r="18" spans="1:105">
      <c r="A18" s="201" t="s">
        <v>85</v>
      </c>
      <c r="B18" s="203">
        <f>Income!B90</f>
        <v>59912.96057676011</v>
      </c>
      <c r="C18" s="203">
        <f>Income!C90</f>
        <v>59912.96057676011</v>
      </c>
      <c r="D18" s="203">
        <f>Income!D90</f>
        <v>59912.960576760015</v>
      </c>
      <c r="E18" s="203">
        <f>Income!E90</f>
        <v>59912.960576760015</v>
      </c>
      <c r="F18" s="204">
        <f t="shared" ref="F18:U18" si="12">IF(F$2&lt;=($B$2+$C$2+$D$2),IF(F$2&lt;=($B$2+$C$2),IF(F$2&lt;=$B$2,$B18,$C18),$D18),$E18)</f>
        <v>59912.96057676011</v>
      </c>
      <c r="G18" s="204">
        <f t="shared" si="12"/>
        <v>59912.96057676011</v>
      </c>
      <c r="H18" s="204">
        <f t="shared" si="12"/>
        <v>59912.96057676011</v>
      </c>
      <c r="I18" s="204">
        <f t="shared" si="12"/>
        <v>59912.96057676011</v>
      </c>
      <c r="J18" s="204">
        <f t="shared" si="12"/>
        <v>59912.96057676011</v>
      </c>
      <c r="K18" s="204">
        <f t="shared" si="12"/>
        <v>59912.96057676011</v>
      </c>
      <c r="L18" s="204">
        <f t="shared" si="12"/>
        <v>59912.96057676011</v>
      </c>
      <c r="M18" s="204">
        <f t="shared" si="12"/>
        <v>59912.96057676011</v>
      </c>
      <c r="N18" s="204">
        <f t="shared" si="12"/>
        <v>59912.96057676011</v>
      </c>
      <c r="O18" s="204">
        <f t="shared" si="12"/>
        <v>59912.96057676011</v>
      </c>
      <c r="P18" s="204">
        <f t="shared" si="12"/>
        <v>59912.96057676011</v>
      </c>
      <c r="Q18" s="204">
        <f t="shared" si="12"/>
        <v>59912.96057676011</v>
      </c>
      <c r="R18" s="204">
        <f t="shared" si="12"/>
        <v>59912.96057676011</v>
      </c>
      <c r="S18" s="204">
        <f t="shared" si="12"/>
        <v>59912.96057676011</v>
      </c>
      <c r="T18" s="204">
        <f t="shared" si="12"/>
        <v>59912.96057676011</v>
      </c>
      <c r="U18" s="204">
        <f t="shared" si="12"/>
        <v>59912.96057676011</v>
      </c>
      <c r="V18" s="204">
        <f t="shared" si="6"/>
        <v>59912.96057676011</v>
      </c>
      <c r="W18" s="204">
        <f t="shared" si="6"/>
        <v>59912.96057676011</v>
      </c>
      <c r="X18" s="204">
        <f t="shared" si="6"/>
        <v>59912.96057676011</v>
      </c>
      <c r="Y18" s="204">
        <f t="shared" si="6"/>
        <v>59912.96057676011</v>
      </c>
      <c r="Z18" s="204">
        <f t="shared" si="6"/>
        <v>59912.96057676011</v>
      </c>
      <c r="AA18" s="204">
        <f t="shared" si="6"/>
        <v>59912.96057676011</v>
      </c>
      <c r="AB18" s="204">
        <f t="shared" si="6"/>
        <v>59912.96057676011</v>
      </c>
      <c r="AC18" s="204">
        <f t="shared" si="6"/>
        <v>59912.96057676011</v>
      </c>
      <c r="AD18" s="204">
        <f t="shared" si="6"/>
        <v>59912.96057676011</v>
      </c>
      <c r="AE18" s="204">
        <f t="shared" si="6"/>
        <v>59912.96057676011</v>
      </c>
      <c r="AF18" s="204">
        <f t="shared" si="6"/>
        <v>59912.96057676011</v>
      </c>
      <c r="AG18" s="204">
        <f t="shared" si="6"/>
        <v>59912.96057676011</v>
      </c>
      <c r="AH18" s="204">
        <f t="shared" si="6"/>
        <v>59912.96057676011</v>
      </c>
      <c r="AI18" s="204">
        <f t="shared" si="6"/>
        <v>59912.96057676011</v>
      </c>
      <c r="AJ18" s="204">
        <f t="shared" si="6"/>
        <v>59912.96057676011</v>
      </c>
      <c r="AK18" s="204">
        <f t="shared" si="6"/>
        <v>59912.96057676011</v>
      </c>
      <c r="AL18" s="204">
        <f t="shared" si="7"/>
        <v>59912.96057676011</v>
      </c>
      <c r="AM18" s="204">
        <f t="shared" si="7"/>
        <v>59912.96057676011</v>
      </c>
      <c r="AN18" s="204">
        <f t="shared" si="7"/>
        <v>59912.96057676011</v>
      </c>
      <c r="AO18" s="204">
        <f t="shared" si="7"/>
        <v>59912.96057676011</v>
      </c>
      <c r="AP18" s="204">
        <f t="shared" si="7"/>
        <v>59912.96057676011</v>
      </c>
      <c r="AQ18" s="204">
        <f t="shared" si="7"/>
        <v>59912.96057676011</v>
      </c>
      <c r="AR18" s="204">
        <f t="shared" si="7"/>
        <v>59912.96057676011</v>
      </c>
      <c r="AS18" s="204">
        <f t="shared" si="7"/>
        <v>59912.96057676011</v>
      </c>
      <c r="AT18" s="204">
        <f t="shared" si="7"/>
        <v>59912.96057676011</v>
      </c>
      <c r="AU18" s="204">
        <f t="shared" si="7"/>
        <v>59912.96057676011</v>
      </c>
      <c r="AV18" s="204">
        <f t="shared" si="7"/>
        <v>59912.96057676011</v>
      </c>
      <c r="AW18" s="204">
        <f t="shared" si="7"/>
        <v>59912.96057676011</v>
      </c>
      <c r="AX18" s="204">
        <f t="shared" si="8"/>
        <v>59912.96057676011</v>
      </c>
      <c r="AY18" s="204">
        <f t="shared" si="8"/>
        <v>59912.96057676011</v>
      </c>
      <c r="AZ18" s="204">
        <f t="shared" si="8"/>
        <v>59912.96057676011</v>
      </c>
      <c r="BA18" s="204">
        <f t="shared" si="8"/>
        <v>59912.96057676011</v>
      </c>
      <c r="BB18" s="204">
        <f t="shared" si="8"/>
        <v>59912.96057676011</v>
      </c>
      <c r="BC18" s="204">
        <f t="shared" si="8"/>
        <v>59912.96057676011</v>
      </c>
      <c r="BD18" s="204">
        <f t="shared" si="8"/>
        <v>59912.96057676011</v>
      </c>
      <c r="BE18" s="204">
        <f t="shared" si="8"/>
        <v>59912.96057676011</v>
      </c>
      <c r="BF18" s="204">
        <f t="shared" si="8"/>
        <v>59912.96057676011</v>
      </c>
      <c r="BG18" s="204">
        <f t="shared" si="8"/>
        <v>59912.96057676011</v>
      </c>
      <c r="BH18" s="204">
        <f t="shared" si="8"/>
        <v>59912.96057676011</v>
      </c>
      <c r="BI18" s="204">
        <f t="shared" si="8"/>
        <v>59912.96057676011</v>
      </c>
      <c r="BJ18" s="204">
        <f t="shared" si="8"/>
        <v>59912.96057676011</v>
      </c>
      <c r="BK18" s="204">
        <f t="shared" si="8"/>
        <v>59912.96057676011</v>
      </c>
      <c r="BL18" s="204">
        <f t="shared" ref="BL18:BZ18" si="13">IF(BL$2&lt;=($B$2+$C$2+$D$2),IF(BL$2&lt;=($B$2+$C$2),IF(BL$2&lt;=$B$2,$B18,$C18),$D18),$E18)</f>
        <v>59912.96057676011</v>
      </c>
      <c r="BM18" s="204">
        <f t="shared" si="13"/>
        <v>59912.96057676011</v>
      </c>
      <c r="BN18" s="204">
        <f t="shared" si="13"/>
        <v>59912.96057676011</v>
      </c>
      <c r="BO18" s="204">
        <f t="shared" si="13"/>
        <v>59912.96057676011</v>
      </c>
      <c r="BP18" s="204">
        <f t="shared" si="13"/>
        <v>59912.96057676011</v>
      </c>
      <c r="BQ18" s="204">
        <f t="shared" si="13"/>
        <v>59912.96057676011</v>
      </c>
      <c r="BR18" s="204">
        <f t="shared" si="13"/>
        <v>59912.96057676011</v>
      </c>
      <c r="BS18" s="204">
        <f t="shared" si="13"/>
        <v>59912.96057676011</v>
      </c>
      <c r="BT18" s="204">
        <f t="shared" si="13"/>
        <v>59912.96057676011</v>
      </c>
      <c r="BU18" s="204">
        <f t="shared" si="13"/>
        <v>59912.96057676011</v>
      </c>
      <c r="BV18" s="204">
        <f t="shared" si="13"/>
        <v>59912.96057676011</v>
      </c>
      <c r="BW18" s="204">
        <f t="shared" si="13"/>
        <v>59912.96057676011</v>
      </c>
      <c r="BX18" s="204">
        <f t="shared" si="13"/>
        <v>59912.960576760015</v>
      </c>
      <c r="BY18" s="204">
        <f t="shared" si="13"/>
        <v>59912.960576760015</v>
      </c>
      <c r="BZ18" s="204">
        <f t="shared" si="13"/>
        <v>59912.960576760015</v>
      </c>
      <c r="CA18" s="204">
        <f t="shared" si="10"/>
        <v>59912.960576760015</v>
      </c>
      <c r="CB18" s="204">
        <f t="shared" si="10"/>
        <v>59912.960576760015</v>
      </c>
      <c r="CC18" s="204">
        <f t="shared" si="9"/>
        <v>59912.960576760015</v>
      </c>
      <c r="CD18" s="204">
        <f t="shared" si="9"/>
        <v>59912.960576760015</v>
      </c>
      <c r="CE18" s="204">
        <f t="shared" si="9"/>
        <v>59912.960576760015</v>
      </c>
      <c r="CF18" s="204">
        <f t="shared" si="9"/>
        <v>59912.960576760015</v>
      </c>
      <c r="CG18" s="204">
        <f t="shared" si="9"/>
        <v>59912.960576760015</v>
      </c>
      <c r="CH18" s="204">
        <f t="shared" si="9"/>
        <v>59912.960576760015</v>
      </c>
      <c r="CI18" s="204">
        <f t="shared" si="9"/>
        <v>59912.960576760015</v>
      </c>
      <c r="CJ18" s="204">
        <f t="shared" si="9"/>
        <v>59912.960576760015</v>
      </c>
      <c r="CK18" s="204">
        <f t="shared" si="9"/>
        <v>59912.960576760015</v>
      </c>
      <c r="CL18" s="204">
        <f t="shared" si="9"/>
        <v>59912.960576760015</v>
      </c>
      <c r="CM18" s="204">
        <f t="shared" si="9"/>
        <v>59912.960576760015</v>
      </c>
      <c r="CN18" s="204">
        <f t="shared" si="9"/>
        <v>59912.960576760015</v>
      </c>
      <c r="CO18" s="204">
        <f t="shared" si="9"/>
        <v>59912.960576760015</v>
      </c>
      <c r="CP18" s="204">
        <f t="shared" si="9"/>
        <v>59912.960576760015</v>
      </c>
      <c r="CQ18" s="204">
        <f t="shared" si="9"/>
        <v>59912.960576760015</v>
      </c>
      <c r="CR18" s="204">
        <f t="shared" si="9"/>
        <v>59912.960576760015</v>
      </c>
      <c r="CS18" s="204">
        <f t="shared" si="11"/>
        <v>59912.960576760015</v>
      </c>
      <c r="CT18" s="204">
        <f t="shared" si="11"/>
        <v>59912.960576760015</v>
      </c>
      <c r="CU18" s="204">
        <f t="shared" si="11"/>
        <v>59912.960576760015</v>
      </c>
      <c r="CV18" s="204">
        <f t="shared" si="11"/>
        <v>59912.960576760015</v>
      </c>
      <c r="CW18" s="204">
        <f t="shared" si="11"/>
        <v>59912.960576760015</v>
      </c>
      <c r="CX18" s="204">
        <f t="shared" si="11"/>
        <v>59912.960576760015</v>
      </c>
      <c r="CY18" s="204">
        <f t="shared" si="11"/>
        <v>59912.960576760015</v>
      </c>
      <c r="CZ18" s="204">
        <f t="shared" si="11"/>
        <v>59912.960576760015</v>
      </c>
      <c r="DA18" s="204">
        <f t="shared" si="11"/>
        <v>59912.960576760015</v>
      </c>
    </row>
    <row r="19" spans="1:105">
      <c r="A19" s="201" t="s">
        <v>116</v>
      </c>
      <c r="F19" s="201" t="str">
        <f>IF(F$22&lt;$E$24,IF(F$22&lt;$D$24,IF(F$22&lt;$C$24,IF(F$22&lt;$B$24,"",$B$16+(F$22-$B$24)*(($C$16-$B$16)/($C$24-$B$24))),$C$16+(F$22-$C$24)*(($D$16-$C$16)/($D$24-$C$24))),$D$16+(F$22-$D$24)*(($E$16-$D$16)/($E$24-$D$24))),"")</f>
        <v/>
      </c>
      <c r="G19" s="201" t="str">
        <f t="shared" ref="G19:BR19" si="14">IF(G$22&lt;$E$24,IF(G$22&lt;$D$24,IF(G$22&lt;$C$24,IF(G$22&lt;$B$24,"",$B$16+(G$22-$B$24)*(($C$16-$B$16)/($C$24-$B$24))),$C$16+(G$22-$C$24)*(($D$16-$C$16)/($D$24-$C$24))),$D$16+(G$22-$D$24)*(($E$16-$D$16)/($E$24-$D$24))),"")</f>
        <v/>
      </c>
      <c r="H19" s="201" t="str">
        <f t="shared" si="14"/>
        <v/>
      </c>
      <c r="I19" s="201" t="str">
        <f t="shared" si="14"/>
        <v/>
      </c>
      <c r="J19" s="201" t="str">
        <f t="shared" si="14"/>
        <v/>
      </c>
      <c r="K19" s="201" t="str">
        <f t="shared" si="14"/>
        <v/>
      </c>
      <c r="L19" s="201" t="str">
        <f t="shared" si="14"/>
        <v/>
      </c>
      <c r="M19" s="201" t="str">
        <f t="shared" si="14"/>
        <v/>
      </c>
      <c r="N19" s="201" t="str">
        <f t="shared" si="14"/>
        <v/>
      </c>
      <c r="O19" s="201" t="str">
        <f t="shared" si="14"/>
        <v/>
      </c>
      <c r="P19" s="201" t="str">
        <f t="shared" si="14"/>
        <v/>
      </c>
      <c r="Q19" s="201" t="str">
        <f t="shared" si="14"/>
        <v/>
      </c>
      <c r="R19" s="201" t="str">
        <f>IF(R$22&lt;$E$24,IF(R$22&lt;$D$24,IF(R$22&lt;$C$24,IF(R$22&lt;$B$24,"",$B$16+(R$22-$B$24)*(($C$16-$B$16)/($C$24-$B$24))),$C$16+(R$22-$C$24)*(($D$16-$C$16)/($D$24-$C$24))),$D$16+(R$22-$D$24)*(($E$16-$D$16)/($E$24-$D$24))),"")</f>
        <v/>
      </c>
      <c r="S19" s="201" t="str">
        <f>IF(S$22&lt;$E$24,IF(S$22&lt;$D$24,IF(S$22&lt;$C$24,IF(S$22&lt;$B$24,"",$B$16+(S$22-$B$24)*(($C$16-$B$16)/($C$24-$B$24))),$C$16+(S$22-$C$24)*(($D$16-$C$16)/($D$24-$C$24))),$D$16+(S$22-$D$24)*(($E$16-$D$16)/($E$24-$D$24))),"")</f>
        <v/>
      </c>
      <c r="T19" s="201" t="str">
        <f t="shared" si="14"/>
        <v/>
      </c>
      <c r="U19" s="201" t="str">
        <f t="shared" si="14"/>
        <v/>
      </c>
      <c r="V19" s="201" t="str">
        <f t="shared" si="14"/>
        <v/>
      </c>
      <c r="W19" s="201" t="str">
        <f t="shared" si="14"/>
        <v/>
      </c>
      <c r="X19" s="201" t="str">
        <f t="shared" si="14"/>
        <v/>
      </c>
      <c r="Y19" s="201">
        <f t="shared" si="14"/>
        <v>54786.358668500208</v>
      </c>
      <c r="Z19" s="201">
        <f t="shared" si="14"/>
        <v>55860.70811518102</v>
      </c>
      <c r="AA19" s="201">
        <f t="shared" si="14"/>
        <v>56935.057561861839</v>
      </c>
      <c r="AB19" s="201">
        <f t="shared" si="14"/>
        <v>58009.40700854265</v>
      </c>
      <c r="AC19" s="201">
        <f t="shared" si="14"/>
        <v>59083.756455223469</v>
      </c>
      <c r="AD19" s="201">
        <f t="shared" si="14"/>
        <v>60158.10590190428</v>
      </c>
      <c r="AE19" s="201">
        <f t="shared" si="14"/>
        <v>61232.455348585099</v>
      </c>
      <c r="AF19" s="201">
        <f t="shared" si="14"/>
        <v>62306.804795265911</v>
      </c>
      <c r="AG19" s="201">
        <f t="shared" si="14"/>
        <v>63381.15424194673</v>
      </c>
      <c r="AH19" s="201">
        <f t="shared" si="14"/>
        <v>64455.503688627541</v>
      </c>
      <c r="AI19" s="201">
        <f t="shared" si="14"/>
        <v>65529.853135308353</v>
      </c>
      <c r="AJ19" s="201">
        <f t="shared" si="14"/>
        <v>66604.202581989171</v>
      </c>
      <c r="AK19" s="201">
        <f t="shared" si="14"/>
        <v>67678.55202866999</v>
      </c>
      <c r="AL19" s="201">
        <f t="shared" si="14"/>
        <v>68752.901475350809</v>
      </c>
      <c r="AM19" s="201">
        <f t="shared" si="14"/>
        <v>69827.250922031613</v>
      </c>
      <c r="AN19" s="201">
        <f t="shared" si="14"/>
        <v>70901.600368712432</v>
      </c>
      <c r="AO19" s="201">
        <f t="shared" si="14"/>
        <v>71975.949815393251</v>
      </c>
      <c r="AP19" s="201">
        <f t="shared" si="14"/>
        <v>73050.299262074055</v>
      </c>
      <c r="AQ19" s="201">
        <f t="shared" si="14"/>
        <v>74124.648708754874</v>
      </c>
      <c r="AR19" s="201">
        <f t="shared" si="14"/>
        <v>75198.998155435693</v>
      </c>
      <c r="AS19" s="201">
        <f t="shared" si="14"/>
        <v>76273.347602116512</v>
      </c>
      <c r="AT19" s="201">
        <f t="shared" si="14"/>
        <v>77347.69704879733</v>
      </c>
      <c r="AU19" s="201">
        <f t="shared" si="14"/>
        <v>78422.046495478135</v>
      </c>
      <c r="AV19" s="201">
        <f t="shared" si="14"/>
        <v>79496.395942158953</v>
      </c>
      <c r="AW19" s="201">
        <f t="shared" si="14"/>
        <v>80570.745388839772</v>
      </c>
      <c r="AX19" s="201">
        <f t="shared" si="14"/>
        <v>81645.094835520576</v>
      </c>
      <c r="AY19" s="201">
        <f t="shared" si="14"/>
        <v>82719.444282201395</v>
      </c>
      <c r="AZ19" s="201">
        <f t="shared" si="14"/>
        <v>83793.793728882214</v>
      </c>
      <c r="BA19" s="201">
        <f t="shared" si="14"/>
        <v>84868.143175563033</v>
      </c>
      <c r="BB19" s="201">
        <f t="shared" si="14"/>
        <v>85942.492622243852</v>
      </c>
      <c r="BC19" s="201">
        <f t="shared" si="14"/>
        <v>87016.842068924656</v>
      </c>
      <c r="BD19" s="201">
        <f t="shared" si="14"/>
        <v>88091.191515605475</v>
      </c>
      <c r="BE19" s="201">
        <f t="shared" si="14"/>
        <v>89165.540962286294</v>
      </c>
      <c r="BF19" s="201">
        <f t="shared" si="14"/>
        <v>90239.890408967098</v>
      </c>
      <c r="BG19" s="201">
        <f t="shared" si="14"/>
        <v>91314.239855647931</v>
      </c>
      <c r="BH19" s="201">
        <f t="shared" si="14"/>
        <v>94122.721154942818</v>
      </c>
      <c r="BI19" s="201">
        <f t="shared" si="14"/>
        <v>97278.02882476052</v>
      </c>
      <c r="BJ19" s="201">
        <f t="shared" si="14"/>
        <v>100433.33649457824</v>
      </c>
      <c r="BK19" s="201">
        <f t="shared" si="14"/>
        <v>103588.64416439594</v>
      </c>
      <c r="BL19" s="201">
        <f t="shared" si="14"/>
        <v>106743.95183421364</v>
      </c>
      <c r="BM19" s="201">
        <f t="shared" si="14"/>
        <v>109899.25950403136</v>
      </c>
      <c r="BN19" s="201">
        <f t="shared" si="14"/>
        <v>113054.56717384906</v>
      </c>
      <c r="BO19" s="201">
        <f t="shared" si="14"/>
        <v>116209.87484366677</v>
      </c>
      <c r="BP19" s="201">
        <f t="shared" si="14"/>
        <v>119365.18251348448</v>
      </c>
      <c r="BQ19" s="201">
        <f t="shared" si="14"/>
        <v>122520.49018330219</v>
      </c>
      <c r="BR19" s="201">
        <f t="shared" si="14"/>
        <v>125675.7978531199</v>
      </c>
      <c r="BS19" s="201">
        <f t="shared" ref="BS19:DA19" si="15">IF(BS$22&lt;$E$24,IF(BS$22&lt;$D$24,IF(BS$22&lt;$C$24,IF(BS$22&lt;$B$24,"",$B$16+(BS$22-$B$24)*(($C$16-$B$16)/($C$24-$B$24))),$C$16+(BS$22-$C$24)*(($D$16-$C$16)/($D$24-$C$24))),$D$16+(BS$22-$D$24)*(($E$16-$D$16)/($E$24-$D$24))),"")</f>
        <v>128831.10552293761</v>
      </c>
      <c r="BT19" s="201">
        <f t="shared" si="15"/>
        <v>131986.41319275531</v>
      </c>
      <c r="BU19" s="201">
        <f t="shared" si="15"/>
        <v>135141.72086257301</v>
      </c>
      <c r="BV19" s="201">
        <f t="shared" si="15"/>
        <v>138297.02853239072</v>
      </c>
      <c r="BW19" s="201">
        <f t="shared" si="15"/>
        <v>141452.33620220845</v>
      </c>
      <c r="BX19" s="201">
        <f t="shared" si="15"/>
        <v>144607.64387202615</v>
      </c>
      <c r="BY19" s="201">
        <f t="shared" si="15"/>
        <v>147762.95154184385</v>
      </c>
      <c r="BZ19" s="201">
        <f t="shared" si="15"/>
        <v>150918.25921166156</v>
      </c>
      <c r="CA19" s="201">
        <f t="shared" si="15"/>
        <v>154073.56688147929</v>
      </c>
      <c r="CB19" s="201">
        <f t="shared" si="15"/>
        <v>157228.87455129699</v>
      </c>
      <c r="CC19" s="201">
        <f t="shared" si="15"/>
        <v>160384.18222111469</v>
      </c>
      <c r="CD19" s="201">
        <f t="shared" si="15"/>
        <v>163539.4898909324</v>
      </c>
      <c r="CE19" s="201">
        <f t="shared" si="15"/>
        <v>166694.7975607501</v>
      </c>
      <c r="CF19" s="201">
        <f t="shared" si="15"/>
        <v>169850.1052305678</v>
      </c>
      <c r="CG19" s="201">
        <f t="shared" si="15"/>
        <v>173005.41290038551</v>
      </c>
      <c r="CH19" s="201">
        <f t="shared" si="15"/>
        <v>176160.72057020324</v>
      </c>
      <c r="CI19" s="201">
        <f t="shared" si="15"/>
        <v>187343.86803484781</v>
      </c>
      <c r="CJ19" s="201">
        <f t="shared" si="15"/>
        <v>200132.58345845767</v>
      </c>
      <c r="CK19" s="201">
        <f t="shared" si="15"/>
        <v>212921.29888206752</v>
      </c>
      <c r="CL19" s="201">
        <f t="shared" si="15"/>
        <v>225710.01430567738</v>
      </c>
      <c r="CM19" s="201">
        <f t="shared" si="15"/>
        <v>238498.72972928721</v>
      </c>
      <c r="CN19" s="201">
        <f t="shared" si="15"/>
        <v>251287.44515289707</v>
      </c>
      <c r="CO19" s="201">
        <f t="shared" si="15"/>
        <v>264076.16057650693</v>
      </c>
      <c r="CP19" s="201">
        <f t="shared" si="15"/>
        <v>276864.87600011675</v>
      </c>
      <c r="CQ19" s="201">
        <f t="shared" si="15"/>
        <v>289653.59142372664</v>
      </c>
      <c r="CR19" s="201">
        <f t="shared" si="15"/>
        <v>302442.30684733647</v>
      </c>
      <c r="CS19" s="201">
        <f t="shared" si="15"/>
        <v>315231.0222709463</v>
      </c>
      <c r="CT19" s="201">
        <f t="shared" si="15"/>
        <v>328019.73769455613</v>
      </c>
      <c r="CU19" s="201">
        <f t="shared" si="15"/>
        <v>340808.45311816601</v>
      </c>
      <c r="CV19" s="201">
        <f t="shared" si="15"/>
        <v>353597.16854177584</v>
      </c>
      <c r="CW19" s="201">
        <f t="shared" si="15"/>
        <v>366385.88396538573</v>
      </c>
      <c r="CX19" s="201" t="str">
        <f t="shared" si="15"/>
        <v/>
      </c>
      <c r="CY19" s="201" t="str">
        <f t="shared" si="15"/>
        <v/>
      </c>
      <c r="CZ19" s="201" t="str">
        <f t="shared" si="15"/>
        <v/>
      </c>
      <c r="DA19" s="201" t="str">
        <f t="shared" si="15"/>
        <v/>
      </c>
    </row>
    <row r="21" spans="1:105">
      <c r="B21" s="201" t="s">
        <v>97</v>
      </c>
      <c r="C21" s="201" t="s">
        <v>96</v>
      </c>
      <c r="D21" s="201" t="s">
        <v>98</v>
      </c>
      <c r="E21" s="201" t="s">
        <v>99</v>
      </c>
    </row>
    <row r="22" spans="1:105">
      <c r="B22" s="205">
        <f>B2*100</f>
        <v>36.333333333333329</v>
      </c>
      <c r="C22" s="205">
        <f>C2*100</f>
        <v>33.666666666666664</v>
      </c>
      <c r="D22" s="205">
        <f>D2*100</f>
        <v>20.333333333333332</v>
      </c>
      <c r="E22" s="205">
        <f>E2*100</f>
        <v>9.6666666666666679</v>
      </c>
      <c r="F22" s="205">
        <v>0</v>
      </c>
      <c r="G22" s="205">
        <v>1</v>
      </c>
      <c r="H22" s="205">
        <v>2</v>
      </c>
      <c r="I22" s="205">
        <v>3</v>
      </c>
      <c r="J22" s="205">
        <v>4</v>
      </c>
      <c r="K22" s="205">
        <v>5</v>
      </c>
      <c r="L22" s="205">
        <v>6</v>
      </c>
      <c r="M22" s="205">
        <v>7</v>
      </c>
      <c r="N22" s="205">
        <v>8</v>
      </c>
      <c r="O22" s="205">
        <v>9</v>
      </c>
      <c r="P22" s="205">
        <v>10</v>
      </c>
      <c r="Q22" s="205">
        <v>11</v>
      </c>
      <c r="R22" s="205">
        <v>12</v>
      </c>
      <c r="S22" s="205">
        <v>13</v>
      </c>
      <c r="T22" s="205">
        <v>14</v>
      </c>
      <c r="U22" s="205">
        <v>15</v>
      </c>
      <c r="V22" s="205">
        <v>16</v>
      </c>
      <c r="W22" s="205">
        <v>17</v>
      </c>
      <c r="X22" s="205">
        <v>18</v>
      </c>
      <c r="Y22" s="205">
        <v>19</v>
      </c>
      <c r="Z22" s="205">
        <v>20</v>
      </c>
      <c r="AA22" s="205">
        <v>21</v>
      </c>
      <c r="AB22" s="205">
        <v>22</v>
      </c>
      <c r="AC22" s="205">
        <v>23</v>
      </c>
      <c r="AD22" s="205">
        <v>24</v>
      </c>
      <c r="AE22" s="205">
        <v>25</v>
      </c>
      <c r="AF22" s="205">
        <v>26</v>
      </c>
      <c r="AG22" s="205">
        <v>27</v>
      </c>
      <c r="AH22" s="205">
        <v>28</v>
      </c>
      <c r="AI22" s="205">
        <v>29</v>
      </c>
      <c r="AJ22" s="205">
        <v>30</v>
      </c>
      <c r="AK22" s="205">
        <v>31</v>
      </c>
      <c r="AL22" s="205">
        <v>32</v>
      </c>
      <c r="AM22" s="205">
        <v>33</v>
      </c>
      <c r="AN22" s="205">
        <v>34</v>
      </c>
      <c r="AO22" s="205">
        <v>35</v>
      </c>
      <c r="AP22" s="205">
        <v>36</v>
      </c>
      <c r="AQ22" s="205">
        <v>37</v>
      </c>
      <c r="AR22" s="205">
        <v>38</v>
      </c>
      <c r="AS22" s="205">
        <v>39</v>
      </c>
      <c r="AT22" s="205">
        <v>40</v>
      </c>
      <c r="AU22" s="205">
        <v>41</v>
      </c>
      <c r="AV22" s="205">
        <v>42</v>
      </c>
      <c r="AW22" s="205">
        <v>43</v>
      </c>
      <c r="AX22" s="205">
        <v>44</v>
      </c>
      <c r="AY22" s="205">
        <v>45</v>
      </c>
      <c r="AZ22" s="205">
        <v>46</v>
      </c>
      <c r="BA22" s="205">
        <v>47</v>
      </c>
      <c r="BB22" s="205">
        <v>48</v>
      </c>
      <c r="BC22" s="205">
        <v>49</v>
      </c>
      <c r="BD22" s="205">
        <v>50</v>
      </c>
      <c r="BE22" s="205">
        <v>51</v>
      </c>
      <c r="BF22" s="205">
        <v>52</v>
      </c>
      <c r="BG22" s="205">
        <v>53</v>
      </c>
      <c r="BH22" s="205">
        <v>54</v>
      </c>
      <c r="BI22" s="205">
        <v>55</v>
      </c>
      <c r="BJ22" s="205">
        <v>56</v>
      </c>
      <c r="BK22" s="205">
        <v>57</v>
      </c>
      <c r="BL22" s="205">
        <v>58</v>
      </c>
      <c r="BM22" s="205">
        <v>59</v>
      </c>
      <c r="BN22" s="205">
        <v>60</v>
      </c>
      <c r="BO22" s="205">
        <v>61</v>
      </c>
      <c r="BP22" s="205">
        <v>62</v>
      </c>
      <c r="BQ22" s="205">
        <v>63</v>
      </c>
      <c r="BR22" s="205">
        <v>64</v>
      </c>
      <c r="BS22" s="205">
        <v>65</v>
      </c>
      <c r="BT22" s="205">
        <v>66</v>
      </c>
      <c r="BU22" s="205">
        <v>67</v>
      </c>
      <c r="BV22" s="205">
        <v>68</v>
      </c>
      <c r="BW22" s="205">
        <v>69</v>
      </c>
      <c r="BX22" s="205">
        <v>70</v>
      </c>
      <c r="BY22" s="205">
        <v>71</v>
      </c>
      <c r="BZ22" s="205">
        <v>72</v>
      </c>
      <c r="CA22" s="205">
        <v>73</v>
      </c>
      <c r="CB22" s="205">
        <v>74</v>
      </c>
      <c r="CC22" s="205">
        <v>75</v>
      </c>
      <c r="CD22" s="205">
        <v>76</v>
      </c>
      <c r="CE22" s="205">
        <v>77</v>
      </c>
      <c r="CF22" s="205">
        <v>78</v>
      </c>
      <c r="CG22" s="205">
        <v>79</v>
      </c>
      <c r="CH22" s="205">
        <v>80</v>
      </c>
      <c r="CI22" s="205">
        <v>81</v>
      </c>
      <c r="CJ22" s="205">
        <v>82</v>
      </c>
      <c r="CK22" s="205">
        <v>83</v>
      </c>
      <c r="CL22" s="205">
        <v>84</v>
      </c>
      <c r="CM22" s="205">
        <v>85</v>
      </c>
      <c r="CN22" s="205">
        <v>86</v>
      </c>
      <c r="CO22" s="205">
        <v>87</v>
      </c>
      <c r="CP22" s="205">
        <v>88</v>
      </c>
      <c r="CQ22" s="205">
        <v>89</v>
      </c>
      <c r="CR22" s="205">
        <v>90</v>
      </c>
      <c r="CS22" s="205">
        <v>91</v>
      </c>
      <c r="CT22" s="205">
        <v>92</v>
      </c>
      <c r="CU22" s="205">
        <v>93</v>
      </c>
      <c r="CV22" s="205">
        <v>94</v>
      </c>
      <c r="CW22" s="205">
        <v>95</v>
      </c>
      <c r="CX22" s="205">
        <v>96</v>
      </c>
      <c r="CY22" s="205">
        <v>97</v>
      </c>
      <c r="CZ22" s="205">
        <v>98</v>
      </c>
      <c r="DA22" s="205">
        <v>99</v>
      </c>
    </row>
    <row r="23" spans="1:105">
      <c r="B23" s="206">
        <f>SUM($B22:B22)</f>
        <v>36.333333333333329</v>
      </c>
      <c r="C23" s="206">
        <f>SUM($B22:C22)</f>
        <v>70</v>
      </c>
      <c r="D23" s="206">
        <f>SUM($B22:D22)</f>
        <v>90.333333333333329</v>
      </c>
      <c r="E23" s="206">
        <f>SUM($B22:E22)</f>
        <v>100</v>
      </c>
      <c r="F23" s="207"/>
      <c r="G23" s="207"/>
      <c r="H23" s="207"/>
      <c r="I23" s="207"/>
      <c r="J23" s="207"/>
      <c r="K23" s="207"/>
      <c r="L23" s="207"/>
      <c r="M23" s="207"/>
      <c r="N23" s="207"/>
      <c r="O23" s="207"/>
      <c r="P23" s="207"/>
      <c r="Q23" s="207"/>
      <c r="R23" s="207"/>
      <c r="S23" s="207"/>
      <c r="T23" s="207"/>
      <c r="U23" s="207"/>
      <c r="V23" s="207"/>
      <c r="W23" s="207"/>
      <c r="X23" s="207"/>
      <c r="Y23" s="207"/>
      <c r="Z23" s="207"/>
      <c r="AA23" s="207"/>
      <c r="AB23" s="207"/>
      <c r="AC23" s="207"/>
      <c r="AD23" s="207"/>
      <c r="AE23" s="207"/>
      <c r="AF23" s="207"/>
      <c r="AG23" s="207"/>
      <c r="AH23" s="207"/>
      <c r="AI23" s="207"/>
      <c r="AJ23" s="207"/>
      <c r="AK23" s="207"/>
      <c r="AL23" s="207"/>
      <c r="AM23" s="207"/>
      <c r="AN23" s="207"/>
      <c r="AO23" s="207"/>
      <c r="AP23" s="207"/>
      <c r="AQ23" s="207"/>
      <c r="AR23" s="207"/>
      <c r="AS23" s="207"/>
      <c r="AT23" s="207"/>
      <c r="AU23" s="207"/>
      <c r="AV23" s="207"/>
      <c r="AW23" s="207"/>
      <c r="AX23" s="207"/>
      <c r="AY23" s="207"/>
      <c r="AZ23" s="207"/>
      <c r="BA23" s="207"/>
      <c r="BB23" s="207"/>
      <c r="BC23" s="207"/>
      <c r="BD23" s="207"/>
      <c r="BE23" s="207"/>
      <c r="BF23" s="207"/>
      <c r="BG23" s="207"/>
      <c r="BH23" s="207"/>
      <c r="BI23" s="207"/>
      <c r="BJ23" s="207"/>
      <c r="BK23" s="207"/>
      <c r="BL23" s="207"/>
      <c r="BM23" s="207"/>
      <c r="BN23" s="207"/>
      <c r="BO23" s="207"/>
      <c r="BP23" s="207"/>
      <c r="BQ23" s="207"/>
      <c r="BR23" s="207"/>
      <c r="BS23" s="207"/>
      <c r="BT23" s="207"/>
      <c r="BU23" s="207"/>
      <c r="BV23" s="207"/>
      <c r="BW23" s="207"/>
      <c r="BX23" s="207"/>
      <c r="BY23" s="207"/>
      <c r="BZ23" s="207"/>
      <c r="CA23" s="207"/>
      <c r="CB23" s="207"/>
      <c r="CC23" s="207"/>
      <c r="CD23" s="207"/>
      <c r="CE23" s="207"/>
      <c r="CF23" s="207"/>
      <c r="CG23" s="207"/>
      <c r="CH23" s="207"/>
      <c r="CI23" s="207"/>
      <c r="CJ23" s="207"/>
      <c r="CK23" s="207"/>
      <c r="CL23" s="207"/>
      <c r="CM23" s="207"/>
      <c r="CN23" s="207"/>
      <c r="CO23" s="207"/>
      <c r="CP23" s="207"/>
      <c r="CQ23" s="207"/>
      <c r="CR23" s="207"/>
      <c r="CS23" s="207"/>
      <c r="CT23" s="207"/>
      <c r="CU23" s="207"/>
      <c r="CV23" s="207"/>
      <c r="CW23" s="207"/>
      <c r="CX23" s="207"/>
      <c r="CY23" s="207"/>
      <c r="CZ23" s="207"/>
      <c r="DA23" s="207"/>
    </row>
    <row r="24" spans="1:105">
      <c r="B24" s="208">
        <f>A23+(B23-A23)/2</f>
        <v>18.166666666666664</v>
      </c>
      <c r="C24" s="208">
        <f>B23+(C23-B23)/2</f>
        <v>53.166666666666664</v>
      </c>
      <c r="D24" s="208">
        <f>C23+(D23-C23)/2</f>
        <v>80.166666666666657</v>
      </c>
      <c r="E24" s="208">
        <f>D23+(E23-D23)/2</f>
        <v>95.166666666666657</v>
      </c>
      <c r="F24" s="209"/>
      <c r="G24" s="209"/>
      <c r="H24" s="209"/>
      <c r="I24" s="209"/>
      <c r="J24" s="209"/>
      <c r="K24" s="209"/>
      <c r="L24" s="209"/>
      <c r="M24" s="209"/>
      <c r="N24" s="209"/>
      <c r="O24" s="209"/>
      <c r="P24" s="209"/>
      <c r="Q24" s="209"/>
      <c r="R24" s="209"/>
      <c r="S24" s="209"/>
      <c r="T24" s="209"/>
      <c r="U24" s="209"/>
      <c r="V24" s="209"/>
      <c r="W24" s="209"/>
      <c r="X24" s="209"/>
      <c r="Y24" s="209"/>
      <c r="Z24" s="209"/>
      <c r="AA24" s="209"/>
      <c r="AB24" s="209"/>
      <c r="AC24" s="209"/>
      <c r="AD24" s="209"/>
      <c r="AE24" s="209"/>
      <c r="AF24" s="209"/>
      <c r="AG24" s="209"/>
      <c r="AH24" s="209"/>
      <c r="AI24" s="209"/>
      <c r="AJ24" s="209"/>
      <c r="AK24" s="209"/>
      <c r="AL24" s="209"/>
      <c r="AM24" s="209"/>
      <c r="AN24" s="209"/>
      <c r="AO24" s="209"/>
      <c r="AP24" s="209"/>
      <c r="AQ24" s="209"/>
      <c r="AR24" s="209"/>
      <c r="AS24" s="209"/>
      <c r="AT24" s="209"/>
      <c r="AU24" s="209"/>
      <c r="AV24" s="209"/>
      <c r="AW24" s="209"/>
      <c r="AX24" s="209"/>
      <c r="AY24" s="209"/>
      <c r="AZ24" s="209"/>
      <c r="BA24" s="209"/>
      <c r="BB24" s="209"/>
      <c r="BC24" s="209"/>
      <c r="BD24" s="209"/>
      <c r="BE24" s="209"/>
      <c r="BF24" s="209"/>
      <c r="BG24" s="209"/>
      <c r="BH24" s="209"/>
      <c r="BI24" s="209"/>
      <c r="BJ24" s="209"/>
      <c r="BK24" s="209"/>
      <c r="BL24" s="209"/>
      <c r="BM24" s="209"/>
      <c r="BN24" s="209"/>
      <c r="BO24" s="209"/>
      <c r="BP24" s="209"/>
      <c r="BQ24" s="209"/>
      <c r="BR24" s="209"/>
      <c r="BS24" s="209"/>
      <c r="BT24" s="209"/>
      <c r="BU24" s="209"/>
      <c r="BV24" s="209"/>
      <c r="BW24" s="209"/>
      <c r="BX24" s="209"/>
      <c r="BY24" s="209"/>
      <c r="BZ24" s="209"/>
      <c r="CA24" s="209"/>
      <c r="CB24" s="209"/>
      <c r="CC24" s="209"/>
      <c r="CD24" s="209"/>
      <c r="CE24" s="209"/>
      <c r="CF24" s="209"/>
      <c r="CG24" s="209"/>
      <c r="CH24" s="209"/>
      <c r="CI24" s="209"/>
      <c r="CJ24" s="209"/>
      <c r="CK24" s="209"/>
      <c r="CL24" s="209"/>
      <c r="CM24" s="209"/>
      <c r="CN24" s="209"/>
      <c r="CO24" s="209"/>
      <c r="CP24" s="209"/>
      <c r="CQ24" s="209"/>
      <c r="CR24" s="209"/>
      <c r="CS24" s="209"/>
      <c r="CT24" s="209"/>
      <c r="CU24" s="209"/>
      <c r="CV24" s="209"/>
      <c r="CW24" s="209"/>
      <c r="CX24" s="209"/>
      <c r="CY24" s="209"/>
      <c r="CZ24" s="209"/>
      <c r="DA24" s="209"/>
    </row>
    <row r="25" spans="1:105">
      <c r="A25" s="201" t="str">
        <f>Income!A72</f>
        <v>Own crops Consumed</v>
      </c>
      <c r="B25" s="203">
        <f>Income!B72</f>
        <v>3455.8792739655614</v>
      </c>
      <c r="C25" s="203">
        <f>Income!C72</f>
        <v>5518.8805377167355</v>
      </c>
      <c r="D25" s="203">
        <f>Income!D72</f>
        <v>5826.549801134769</v>
      </c>
      <c r="E25" s="203">
        <f>Income!E72</f>
        <v>5853.1594742804473</v>
      </c>
      <c r="F25" s="210">
        <f>IF(F$22&lt;=$E$24,IF(F$22&lt;=$D$24,IF(F$22&lt;=$C$24,IF(F$22&lt;=$B$24,$B25,$B25+(F$22-$B$24)*($C25-$B25)/($C$24-$B$24)),$C25+(F$22-$C$24)*($D25-$C25)/($D$24-$C$24)),$D25+(F$22-$D$24)*($E25-$D25)/($E$24-$D$24)),$E25)</f>
        <v>3455.8792739655614</v>
      </c>
      <c r="G25" s="210">
        <f t="shared" ref="F25:U37" si="16">IF(G$22&lt;=$E$24,IF(G$22&lt;=$D$24,IF(G$22&lt;=$C$24,IF(G$22&lt;=$B$24,$B25,$B25+(G$22-$B$24)*($C25-$B25)/($C$24-$B$24)),$C25+(G$22-$C$24)*($D25-$C25)/($D$24-$C$24)),$D25+(G$22-$D$24)*($E25-$D25)/($E$24-$D$24)),$E25)</f>
        <v>3455.8792739655614</v>
      </c>
      <c r="H25" s="210">
        <f t="shared" si="16"/>
        <v>3455.8792739655614</v>
      </c>
      <c r="I25" s="210">
        <f t="shared" si="16"/>
        <v>3455.8792739655614</v>
      </c>
      <c r="J25" s="210">
        <f t="shared" si="16"/>
        <v>3455.8792739655614</v>
      </c>
      <c r="K25" s="210">
        <f t="shared" si="16"/>
        <v>3455.8792739655614</v>
      </c>
      <c r="L25" s="210">
        <f t="shared" si="16"/>
        <v>3455.8792739655614</v>
      </c>
      <c r="M25" s="210">
        <f t="shared" si="16"/>
        <v>3455.8792739655614</v>
      </c>
      <c r="N25" s="210">
        <f t="shared" si="16"/>
        <v>3455.8792739655614</v>
      </c>
      <c r="O25" s="210">
        <f t="shared" si="16"/>
        <v>3455.8792739655614</v>
      </c>
      <c r="P25" s="210">
        <f t="shared" ref="P25:AE37" si="17">IF(P$22&lt;=$E$24,IF(P$22&lt;=$D$24,IF(P$22&lt;=$C$24,IF(P$22&lt;=$B$24,$B25,$B25+(P$22-$B$24)*($C25-$B25)/($C$24-$B$24)),$C25+(P$22-$C$24)*($D25-$C25)/($D$24-$C$24)),$D25+(P$22-$D$24)*($E25-$D25)/($E$24-$D$24)),$E25)</f>
        <v>3455.8792739655614</v>
      </c>
      <c r="Q25" s="210">
        <f t="shared" si="17"/>
        <v>3455.8792739655614</v>
      </c>
      <c r="R25" s="210">
        <f t="shared" si="17"/>
        <v>3455.8792739655614</v>
      </c>
      <c r="S25" s="210">
        <f>IF(S$22&lt;=$E$24,IF(S$22&lt;=$D$24,IF(S$22&lt;=$C$24,IF(S$22&lt;=$B$24,$B25,$B25+(S$22-$B$24)*($C25-$B25)/($C$24-$B$24)),$C25+(S$22-$C$24)*($D25-$C25)/($D$24-$C$24)),$D25+(S$22-$D$24)*($E25-$D25)/($E$24-$D$24)),$E25)</f>
        <v>3455.8792739655614</v>
      </c>
      <c r="T25" s="210">
        <f t="shared" si="17"/>
        <v>3455.8792739655614</v>
      </c>
      <c r="U25" s="210">
        <f t="shared" si="17"/>
        <v>3455.8792739655614</v>
      </c>
      <c r="V25" s="210">
        <f t="shared" si="17"/>
        <v>3455.8792739655614</v>
      </c>
      <c r="W25" s="210">
        <f t="shared" si="17"/>
        <v>3455.8792739655614</v>
      </c>
      <c r="X25" s="210">
        <f t="shared" si="17"/>
        <v>3455.8792739655614</v>
      </c>
      <c r="Y25" s="210">
        <f t="shared" si="17"/>
        <v>3504.998351673923</v>
      </c>
      <c r="Z25" s="210">
        <f t="shared" ref="Z25:AO37" si="18">IF(Z$22&lt;=$E$24,IF(Z$22&lt;=$D$24,IF(Z$22&lt;=$C$24,IF(Z$22&lt;=$B$24,$B25,$B25+(Z$22-$B$24)*($C25-$B25)/($C$24-$B$24)),$C25+(Z$22-$C$24)*($D25-$C25)/($D$24-$C$24)),$D25+(Z$22-$D$24)*($E25-$D25)/($E$24-$D$24)),$E25)</f>
        <v>3563.9412449239562</v>
      </c>
      <c r="AA25" s="210">
        <f t="shared" si="18"/>
        <v>3622.8841381739899</v>
      </c>
      <c r="AB25" s="210">
        <f t="shared" si="18"/>
        <v>3681.8270314240235</v>
      </c>
      <c r="AC25" s="210">
        <f t="shared" si="18"/>
        <v>3740.7699246740572</v>
      </c>
      <c r="AD25" s="210">
        <f t="shared" si="18"/>
        <v>3799.7128179240908</v>
      </c>
      <c r="AE25" s="210">
        <f t="shared" si="18"/>
        <v>3858.655711174124</v>
      </c>
      <c r="AF25" s="210">
        <f t="shared" si="18"/>
        <v>3917.5986044241577</v>
      </c>
      <c r="AG25" s="210">
        <f t="shared" si="18"/>
        <v>3976.5414976741913</v>
      </c>
      <c r="AH25" s="210">
        <f t="shared" si="18"/>
        <v>4035.4843909242245</v>
      </c>
      <c r="AI25" s="210">
        <f t="shared" si="18"/>
        <v>4094.4272841742581</v>
      </c>
      <c r="AJ25" s="210">
        <f t="shared" ref="AJ25:AY37" si="19">IF(AJ$22&lt;=$E$24,IF(AJ$22&lt;=$D$24,IF(AJ$22&lt;=$C$24,IF(AJ$22&lt;=$B$24,$B25,$B25+(AJ$22-$B$24)*($C25-$B25)/($C$24-$B$24)),$C25+(AJ$22-$C$24)*($D25-$C25)/($D$24-$C$24)),$D25+(AJ$22-$D$24)*($E25-$D25)/($E$24-$D$24)),$E25)</f>
        <v>4153.3701774242918</v>
      </c>
      <c r="AK25" s="210">
        <f t="shared" si="19"/>
        <v>4212.313070674325</v>
      </c>
      <c r="AL25" s="210">
        <f t="shared" si="19"/>
        <v>4271.2559639243591</v>
      </c>
      <c r="AM25" s="210">
        <f t="shared" si="19"/>
        <v>4330.1988571743923</v>
      </c>
      <c r="AN25" s="210">
        <f t="shared" si="19"/>
        <v>4389.1417504244264</v>
      </c>
      <c r="AO25" s="210">
        <f t="shared" si="19"/>
        <v>4448.0846436744596</v>
      </c>
      <c r="AP25" s="210">
        <f t="shared" si="19"/>
        <v>4507.0275369244928</v>
      </c>
      <c r="AQ25" s="210">
        <f t="shared" si="19"/>
        <v>4565.9704301745269</v>
      </c>
      <c r="AR25" s="210">
        <f t="shared" si="19"/>
        <v>4624.9133234245601</v>
      </c>
      <c r="AS25" s="210">
        <f t="shared" si="19"/>
        <v>4683.8562166745942</v>
      </c>
      <c r="AT25" s="210">
        <f t="shared" ref="AT25:BI37" si="20">IF(AT$22&lt;=$E$24,IF(AT$22&lt;=$D$24,IF(AT$22&lt;=$C$24,IF(AT$22&lt;=$B$24,$B25,$B25+(AT$22-$B$24)*($C25-$B25)/($C$24-$B$24)),$C25+(AT$22-$C$24)*($D25-$C25)/($D$24-$C$24)),$D25+(AT$22-$D$24)*($E25-$D25)/($E$24-$D$24)),$E25)</f>
        <v>4742.7991099246274</v>
      </c>
      <c r="AU25" s="210">
        <f t="shared" si="20"/>
        <v>4801.7420031746606</v>
      </c>
      <c r="AV25" s="210">
        <f t="shared" si="20"/>
        <v>4860.6848964246947</v>
      </c>
      <c r="AW25" s="210">
        <f t="shared" si="20"/>
        <v>4919.6277896747279</v>
      </c>
      <c r="AX25" s="210">
        <f t="shared" si="20"/>
        <v>4978.5706829247611</v>
      </c>
      <c r="AY25" s="210">
        <f t="shared" si="20"/>
        <v>5037.5135761747952</v>
      </c>
      <c r="AZ25" s="210">
        <f t="shared" si="20"/>
        <v>5096.4564694248284</v>
      </c>
      <c r="BA25" s="210">
        <f t="shared" si="20"/>
        <v>5155.3993626748615</v>
      </c>
      <c r="BB25" s="210">
        <f t="shared" si="20"/>
        <v>5214.3422559248957</v>
      </c>
      <c r="BC25" s="210">
        <f t="shared" si="20"/>
        <v>5273.2851491749298</v>
      </c>
      <c r="BD25" s="210">
        <f t="shared" ref="BD25:BS37" si="21">IF(BD$22&lt;=$E$24,IF(BD$22&lt;=$D$24,IF(BD$22&lt;=$C$24,IF(BD$22&lt;=$B$24,$B25,$B25+(BD$22-$B$24)*($C25-$B25)/($C$24-$B$24)),$C25+(BD$22-$C$24)*($D25-$C25)/($D$24-$C$24)),$D25+(BD$22-$D$24)*($E25-$D25)/($E$24-$D$24)),$E25)</f>
        <v>5332.228042424963</v>
      </c>
      <c r="BE25" s="210">
        <f t="shared" si="21"/>
        <v>5391.1709356749961</v>
      </c>
      <c r="BF25" s="210">
        <f t="shared" si="21"/>
        <v>5450.1138289250302</v>
      </c>
      <c r="BG25" s="210">
        <f t="shared" si="21"/>
        <v>5509.0567221750634</v>
      </c>
      <c r="BH25" s="210">
        <f t="shared" si="21"/>
        <v>5528.3765026370456</v>
      </c>
      <c r="BI25" s="210">
        <f t="shared" si="21"/>
        <v>5539.7716605414171</v>
      </c>
      <c r="BJ25" s="210">
        <f t="shared" si="21"/>
        <v>5551.1668184457885</v>
      </c>
      <c r="BK25" s="210">
        <f t="shared" si="21"/>
        <v>5562.56197635016</v>
      </c>
      <c r="BL25" s="210">
        <f t="shared" si="21"/>
        <v>5573.9571342545314</v>
      </c>
      <c r="BM25" s="210">
        <f t="shared" si="21"/>
        <v>5585.3522921589029</v>
      </c>
      <c r="BN25" s="210">
        <f t="shared" ref="BN25:CC37" si="22">IF(BN$22&lt;=$E$24,IF(BN$22&lt;=$D$24,IF(BN$22&lt;=$C$24,IF(BN$22&lt;=$B$24,$B25,$B25+(BN$22-$B$24)*($C25-$B25)/($C$24-$B$24)),$C25+(BN$22-$C$24)*($D25-$C25)/($D$24-$C$24)),$D25+(BN$22-$D$24)*($E25-$D25)/($E$24-$D$24)),$E25)</f>
        <v>5596.7474500632752</v>
      </c>
      <c r="BO25" s="210">
        <f t="shared" si="22"/>
        <v>5608.1426079676467</v>
      </c>
      <c r="BP25" s="210">
        <f t="shared" si="22"/>
        <v>5619.5377658720181</v>
      </c>
      <c r="BQ25" s="210">
        <f t="shared" si="22"/>
        <v>5630.9329237763895</v>
      </c>
      <c r="BR25" s="210">
        <f t="shared" si="22"/>
        <v>5642.328081680761</v>
      </c>
      <c r="BS25" s="210">
        <f t="shared" si="22"/>
        <v>5653.7232395851333</v>
      </c>
      <c r="BT25" s="210">
        <f t="shared" si="22"/>
        <v>5665.1183974895048</v>
      </c>
      <c r="BU25" s="210">
        <f t="shared" si="22"/>
        <v>5676.5135553938762</v>
      </c>
      <c r="BV25" s="210">
        <f t="shared" si="22"/>
        <v>5687.9087132982477</v>
      </c>
      <c r="BW25" s="210">
        <f t="shared" si="22"/>
        <v>5699.3038712026191</v>
      </c>
      <c r="BX25" s="210">
        <f t="shared" ref="BX25:CM37" si="23">IF(BX$22&lt;=$E$24,IF(BX$22&lt;=$D$24,IF(BX$22&lt;=$C$24,IF(BX$22&lt;=$B$24,$B25,$B25+(BX$22-$B$24)*($C25-$B25)/($C$24-$B$24)),$C25+(BX$22-$C$24)*($D25-$C25)/($D$24-$C$24)),$D25+(BX$22-$D$24)*($E25-$D25)/($E$24-$D$24)),$E25)</f>
        <v>5710.6990291069915</v>
      </c>
      <c r="BY25" s="210">
        <f t="shared" si="23"/>
        <v>5722.0941870113629</v>
      </c>
      <c r="BZ25" s="210">
        <f t="shared" si="23"/>
        <v>5733.4893449157344</v>
      </c>
      <c r="CA25" s="210">
        <f t="shared" si="23"/>
        <v>5744.8845028201058</v>
      </c>
      <c r="CB25" s="210">
        <f t="shared" si="23"/>
        <v>5756.2796607244773</v>
      </c>
      <c r="CC25" s="210">
        <f t="shared" si="23"/>
        <v>5767.6748186288487</v>
      </c>
      <c r="CD25" s="210">
        <f t="shared" si="23"/>
        <v>5779.0699765332211</v>
      </c>
      <c r="CE25" s="210">
        <f t="shared" si="23"/>
        <v>5790.4651344375925</v>
      </c>
      <c r="CF25" s="210">
        <f t="shared" si="23"/>
        <v>5801.8602923419639</v>
      </c>
      <c r="CG25" s="210">
        <f t="shared" si="23"/>
        <v>5813.2554502463354</v>
      </c>
      <c r="CH25" s="210">
        <f t="shared" ref="CH25:CW37" si="24">IF(CH$22&lt;=$E$24,IF(CH$22&lt;=$D$24,IF(CH$22&lt;=$C$24,IF(CH$22&lt;=$B$24,$B25,$B25+(CH$22-$B$24)*($C25-$B25)/($C$24-$B$24)),$C25+(CH$22-$C$24)*($D25-$C25)/($D$24-$C$24)),$D25+(CH$22-$D$24)*($E25-$D25)/($E$24-$D$24)),$E25)</f>
        <v>5824.6506081507068</v>
      </c>
      <c r="CI25" s="210">
        <f t="shared" si="24"/>
        <v>5828.0281163095287</v>
      </c>
      <c r="CJ25" s="210">
        <f t="shared" si="24"/>
        <v>5829.8020945192411</v>
      </c>
      <c r="CK25" s="210">
        <f t="shared" si="24"/>
        <v>5831.5760727289526</v>
      </c>
      <c r="CL25" s="210">
        <f t="shared" si="24"/>
        <v>5833.3500509386649</v>
      </c>
      <c r="CM25" s="210">
        <f t="shared" si="24"/>
        <v>5835.1240291483764</v>
      </c>
      <c r="CN25" s="210">
        <f t="shared" si="24"/>
        <v>5836.8980073580888</v>
      </c>
      <c r="CO25" s="210">
        <f t="shared" si="24"/>
        <v>5838.6719855678002</v>
      </c>
      <c r="CP25" s="210">
        <f t="shared" si="24"/>
        <v>5840.4459637775126</v>
      </c>
      <c r="CQ25" s="210">
        <f t="shared" si="24"/>
        <v>5842.219941987224</v>
      </c>
      <c r="CR25" s="210">
        <f t="shared" ref="CR25:DA37" si="25">IF(CR$22&lt;=$E$24,IF(CR$22&lt;=$D$24,IF(CR$22&lt;=$C$24,IF(CR$22&lt;=$B$24,$B25,$B25+(CR$22-$B$24)*($C25-$B25)/($C$24-$B$24)),$C25+(CR$22-$C$24)*($D25-$C25)/($D$24-$C$24)),$D25+(CR$22-$D$24)*($E25-$D25)/($E$24-$D$24)),$E25)</f>
        <v>5843.9939201969355</v>
      </c>
      <c r="CS25" s="210">
        <f t="shared" si="25"/>
        <v>5845.7678984066479</v>
      </c>
      <c r="CT25" s="210">
        <f t="shared" si="25"/>
        <v>5847.5418766163593</v>
      </c>
      <c r="CU25" s="210">
        <f t="shared" si="25"/>
        <v>5849.3158548260717</v>
      </c>
      <c r="CV25" s="210">
        <f t="shared" si="25"/>
        <v>5851.0898330357832</v>
      </c>
      <c r="CW25" s="210">
        <f t="shared" si="25"/>
        <v>5852.8638112454955</v>
      </c>
      <c r="CX25" s="210">
        <f t="shared" si="25"/>
        <v>5853.1594742804473</v>
      </c>
      <c r="CY25" s="210">
        <f t="shared" si="25"/>
        <v>5853.1594742804473</v>
      </c>
      <c r="CZ25" s="210">
        <f t="shared" si="25"/>
        <v>5853.1594742804473</v>
      </c>
      <c r="DA25" s="210">
        <f t="shared" si="25"/>
        <v>5853.1594742804473</v>
      </c>
    </row>
    <row r="26" spans="1:105">
      <c r="A26" s="201" t="str">
        <f>Income!A73</f>
        <v>Own crops sold</v>
      </c>
      <c r="B26" s="203">
        <f>Income!B73</f>
        <v>1172.1426801018094</v>
      </c>
      <c r="C26" s="203">
        <f>Income!C73</f>
        <v>2245.6251094915315</v>
      </c>
      <c r="D26" s="203">
        <f>Income!D73</f>
        <v>22480.232477817626</v>
      </c>
      <c r="E26" s="203">
        <f>Income!E73</f>
        <v>36140.364759779412</v>
      </c>
      <c r="F26" s="210">
        <f t="shared" si="16"/>
        <v>1172.1426801018094</v>
      </c>
      <c r="G26" s="210">
        <f t="shared" si="16"/>
        <v>1172.1426801018094</v>
      </c>
      <c r="H26" s="210">
        <f t="shared" si="16"/>
        <v>1172.1426801018094</v>
      </c>
      <c r="I26" s="210">
        <f t="shared" si="16"/>
        <v>1172.1426801018094</v>
      </c>
      <c r="J26" s="210">
        <f t="shared" si="16"/>
        <v>1172.1426801018094</v>
      </c>
      <c r="K26" s="210">
        <f t="shared" si="16"/>
        <v>1172.1426801018094</v>
      </c>
      <c r="L26" s="210">
        <f t="shared" si="16"/>
        <v>1172.1426801018094</v>
      </c>
      <c r="M26" s="210">
        <f t="shared" si="16"/>
        <v>1172.1426801018094</v>
      </c>
      <c r="N26" s="210">
        <f t="shared" si="16"/>
        <v>1172.1426801018094</v>
      </c>
      <c r="O26" s="210">
        <f t="shared" si="16"/>
        <v>1172.1426801018094</v>
      </c>
      <c r="P26" s="210">
        <f t="shared" si="17"/>
        <v>1172.1426801018094</v>
      </c>
      <c r="Q26" s="210">
        <f t="shared" si="17"/>
        <v>1172.1426801018094</v>
      </c>
      <c r="R26" s="210">
        <f t="shared" si="17"/>
        <v>1172.1426801018094</v>
      </c>
      <c r="S26" s="210">
        <f t="shared" si="17"/>
        <v>1172.1426801018094</v>
      </c>
      <c r="T26" s="210">
        <f t="shared" si="17"/>
        <v>1172.1426801018094</v>
      </c>
      <c r="U26" s="210">
        <f t="shared" si="17"/>
        <v>1172.1426801018094</v>
      </c>
      <c r="V26" s="210">
        <f t="shared" si="17"/>
        <v>1172.1426801018094</v>
      </c>
      <c r="W26" s="210">
        <f t="shared" si="17"/>
        <v>1172.1426801018094</v>
      </c>
      <c r="X26" s="210">
        <f t="shared" si="17"/>
        <v>1172.1426801018094</v>
      </c>
      <c r="Y26" s="210">
        <f t="shared" si="17"/>
        <v>1197.7017855634695</v>
      </c>
      <c r="Z26" s="210">
        <f t="shared" si="18"/>
        <v>1228.3727121174616</v>
      </c>
      <c r="AA26" s="210">
        <f t="shared" si="18"/>
        <v>1259.0436386714537</v>
      </c>
      <c r="AB26" s="210">
        <f t="shared" si="18"/>
        <v>1289.7145652254458</v>
      </c>
      <c r="AC26" s="210">
        <f t="shared" si="18"/>
        <v>1320.3854917794379</v>
      </c>
      <c r="AD26" s="210">
        <f t="shared" si="18"/>
        <v>1351.05641833343</v>
      </c>
      <c r="AE26" s="210">
        <f t="shared" si="18"/>
        <v>1381.7273448874219</v>
      </c>
      <c r="AF26" s="210">
        <f t="shared" si="18"/>
        <v>1412.398271441414</v>
      </c>
      <c r="AG26" s="210">
        <f t="shared" si="18"/>
        <v>1443.0691979954061</v>
      </c>
      <c r="AH26" s="210">
        <f t="shared" si="18"/>
        <v>1473.7401245493982</v>
      </c>
      <c r="AI26" s="210">
        <f t="shared" si="18"/>
        <v>1504.41105110339</v>
      </c>
      <c r="AJ26" s="210">
        <f t="shared" si="19"/>
        <v>1535.0819776573821</v>
      </c>
      <c r="AK26" s="210">
        <f t="shared" si="19"/>
        <v>1565.7529042113742</v>
      </c>
      <c r="AL26" s="210">
        <f t="shared" si="19"/>
        <v>1596.4238307653663</v>
      </c>
      <c r="AM26" s="210">
        <f t="shared" si="19"/>
        <v>1627.0947573193585</v>
      </c>
      <c r="AN26" s="210">
        <f t="shared" si="19"/>
        <v>1657.7656838733506</v>
      </c>
      <c r="AO26" s="210">
        <f t="shared" si="19"/>
        <v>1688.4366104273424</v>
      </c>
      <c r="AP26" s="210">
        <f t="shared" si="19"/>
        <v>1719.1075369813345</v>
      </c>
      <c r="AQ26" s="210">
        <f t="shared" si="19"/>
        <v>1749.7784635353264</v>
      </c>
      <c r="AR26" s="210">
        <f t="shared" si="19"/>
        <v>1780.4493900893185</v>
      </c>
      <c r="AS26" s="210">
        <f t="shared" si="19"/>
        <v>1811.1203166433106</v>
      </c>
      <c r="AT26" s="210">
        <f t="shared" si="20"/>
        <v>1841.7912431973027</v>
      </c>
      <c r="AU26" s="210">
        <f t="shared" si="20"/>
        <v>1872.4621697512948</v>
      </c>
      <c r="AV26" s="210">
        <f t="shared" si="20"/>
        <v>1903.1330963052869</v>
      </c>
      <c r="AW26" s="210">
        <f t="shared" si="20"/>
        <v>1933.804022859279</v>
      </c>
      <c r="AX26" s="210">
        <f t="shared" si="20"/>
        <v>1964.4749494132711</v>
      </c>
      <c r="AY26" s="210">
        <f t="shared" si="20"/>
        <v>1995.1458759672632</v>
      </c>
      <c r="AZ26" s="210">
        <f t="shared" si="20"/>
        <v>2025.8168025212551</v>
      </c>
      <c r="BA26" s="210">
        <f t="shared" si="20"/>
        <v>2056.4877290752474</v>
      </c>
      <c r="BB26" s="210">
        <f t="shared" si="20"/>
        <v>2087.1586556292391</v>
      </c>
      <c r="BC26" s="210">
        <f t="shared" si="20"/>
        <v>2117.8295821832317</v>
      </c>
      <c r="BD26" s="210">
        <f t="shared" si="21"/>
        <v>2148.5005087372233</v>
      </c>
      <c r="BE26" s="210">
        <f t="shared" si="21"/>
        <v>2179.1714352912154</v>
      </c>
      <c r="BF26" s="210">
        <f t="shared" si="21"/>
        <v>2209.8423618452075</v>
      </c>
      <c r="BG26" s="210">
        <f t="shared" si="21"/>
        <v>2240.5132883991996</v>
      </c>
      <c r="BH26" s="210">
        <f t="shared" si="21"/>
        <v>2870.1500282670304</v>
      </c>
      <c r="BI26" s="210">
        <f t="shared" si="21"/>
        <v>3619.5799307976267</v>
      </c>
      <c r="BJ26" s="210">
        <f t="shared" si="21"/>
        <v>4369.0098333282231</v>
      </c>
      <c r="BK26" s="210">
        <f t="shared" si="21"/>
        <v>5118.4397358588194</v>
      </c>
      <c r="BL26" s="210">
        <f t="shared" si="21"/>
        <v>5867.8696383894148</v>
      </c>
      <c r="BM26" s="210">
        <f t="shared" si="21"/>
        <v>6617.2995409200121</v>
      </c>
      <c r="BN26" s="210">
        <f t="shared" si="22"/>
        <v>7366.7294434506075</v>
      </c>
      <c r="BO26" s="210">
        <f t="shared" si="22"/>
        <v>8116.1593459812038</v>
      </c>
      <c r="BP26" s="210">
        <f t="shared" si="22"/>
        <v>8865.589248511802</v>
      </c>
      <c r="BQ26" s="210">
        <f t="shared" si="22"/>
        <v>9615.0191510423974</v>
      </c>
      <c r="BR26" s="210">
        <f t="shared" si="22"/>
        <v>10364.449053572993</v>
      </c>
      <c r="BS26" s="210">
        <f t="shared" si="22"/>
        <v>11113.87895610359</v>
      </c>
      <c r="BT26" s="210">
        <f t="shared" si="22"/>
        <v>11863.308858634186</v>
      </c>
      <c r="BU26" s="210">
        <f t="shared" si="22"/>
        <v>12612.738761164781</v>
      </c>
      <c r="BV26" s="210">
        <f t="shared" si="22"/>
        <v>13362.168663695378</v>
      </c>
      <c r="BW26" s="210">
        <f t="shared" si="22"/>
        <v>14111.598566225975</v>
      </c>
      <c r="BX26" s="210">
        <f t="shared" si="23"/>
        <v>14861.028468756571</v>
      </c>
      <c r="BY26" s="210">
        <f t="shared" si="23"/>
        <v>15610.458371287168</v>
      </c>
      <c r="BZ26" s="210">
        <f t="shared" si="23"/>
        <v>16359.888273817762</v>
      </c>
      <c r="CA26" s="210">
        <f t="shared" si="23"/>
        <v>17109.318176348359</v>
      </c>
      <c r="CB26" s="210">
        <f t="shared" si="23"/>
        <v>17858.748078878954</v>
      </c>
      <c r="CC26" s="210">
        <f t="shared" si="23"/>
        <v>18608.177981409553</v>
      </c>
      <c r="CD26" s="210">
        <f t="shared" si="23"/>
        <v>19357.607883940149</v>
      </c>
      <c r="CE26" s="210">
        <f t="shared" si="23"/>
        <v>20107.037786470744</v>
      </c>
      <c r="CF26" s="210">
        <f t="shared" si="23"/>
        <v>20856.46768900134</v>
      </c>
      <c r="CG26" s="210">
        <f t="shared" si="23"/>
        <v>21605.897591531939</v>
      </c>
      <c r="CH26" s="210">
        <f t="shared" si="24"/>
        <v>22355.327494062534</v>
      </c>
      <c r="CI26" s="210">
        <f t="shared" si="24"/>
        <v>23239.128715704399</v>
      </c>
      <c r="CJ26" s="210">
        <f t="shared" si="24"/>
        <v>24149.804201168521</v>
      </c>
      <c r="CK26" s="210">
        <f t="shared" si="24"/>
        <v>25060.47968663264</v>
      </c>
      <c r="CL26" s="210">
        <f t="shared" si="24"/>
        <v>25971.155172096758</v>
      </c>
      <c r="CM26" s="210">
        <f t="shared" si="24"/>
        <v>26881.830657560877</v>
      </c>
      <c r="CN26" s="210">
        <f t="shared" si="24"/>
        <v>27792.506143024995</v>
      </c>
      <c r="CO26" s="210">
        <f t="shared" si="24"/>
        <v>28703.181628489114</v>
      </c>
      <c r="CP26" s="210">
        <f t="shared" si="24"/>
        <v>29613.857113953232</v>
      </c>
      <c r="CQ26" s="210">
        <f t="shared" si="24"/>
        <v>30524.532599417355</v>
      </c>
      <c r="CR26" s="210">
        <f t="shared" si="25"/>
        <v>31435.208084881473</v>
      </c>
      <c r="CS26" s="210">
        <f t="shared" si="25"/>
        <v>32345.883570345592</v>
      </c>
      <c r="CT26" s="210">
        <f t="shared" si="25"/>
        <v>33256.55905580971</v>
      </c>
      <c r="CU26" s="210">
        <f t="shared" si="25"/>
        <v>34167.234541273829</v>
      </c>
      <c r="CV26" s="210">
        <f t="shared" si="25"/>
        <v>35077.910026737947</v>
      </c>
      <c r="CW26" s="210">
        <f t="shared" si="25"/>
        <v>35988.585512202066</v>
      </c>
      <c r="CX26" s="210">
        <f t="shared" si="25"/>
        <v>36140.364759779412</v>
      </c>
      <c r="CY26" s="210">
        <f t="shared" si="25"/>
        <v>36140.364759779412</v>
      </c>
      <c r="CZ26" s="210">
        <f t="shared" si="25"/>
        <v>36140.364759779412</v>
      </c>
      <c r="DA26" s="210">
        <f t="shared" si="25"/>
        <v>36140.364759779412</v>
      </c>
    </row>
    <row r="27" spans="1:105">
      <c r="A27" s="201" t="str">
        <f>Income!A74</f>
        <v>Animal products consumed</v>
      </c>
      <c r="B27" s="203">
        <f>Income!B74</f>
        <v>573.66831497016756</v>
      </c>
      <c r="C27" s="203">
        <f>Income!C74</f>
        <v>1129.676859632458</v>
      </c>
      <c r="D27" s="203">
        <f>Income!D74</f>
        <v>1459.2244439662368</v>
      </c>
      <c r="E27" s="203">
        <f>Income!E74</f>
        <v>2403.4795915096111</v>
      </c>
      <c r="F27" s="210">
        <f t="shared" si="16"/>
        <v>573.66831497016756</v>
      </c>
      <c r="G27" s="210">
        <f t="shared" si="16"/>
        <v>573.66831497016756</v>
      </c>
      <c r="H27" s="210">
        <f t="shared" si="16"/>
        <v>573.66831497016756</v>
      </c>
      <c r="I27" s="210">
        <f t="shared" si="16"/>
        <v>573.66831497016756</v>
      </c>
      <c r="J27" s="210">
        <f t="shared" si="16"/>
        <v>573.66831497016756</v>
      </c>
      <c r="K27" s="210">
        <f t="shared" si="16"/>
        <v>573.66831497016756</v>
      </c>
      <c r="L27" s="210">
        <f t="shared" si="16"/>
        <v>573.66831497016756</v>
      </c>
      <c r="M27" s="210">
        <f t="shared" si="16"/>
        <v>573.66831497016756</v>
      </c>
      <c r="N27" s="210">
        <f t="shared" si="16"/>
        <v>573.66831497016756</v>
      </c>
      <c r="O27" s="210">
        <f t="shared" si="16"/>
        <v>573.66831497016756</v>
      </c>
      <c r="P27" s="210">
        <f t="shared" si="17"/>
        <v>573.66831497016756</v>
      </c>
      <c r="Q27" s="210">
        <f t="shared" si="17"/>
        <v>573.66831497016756</v>
      </c>
      <c r="R27" s="210">
        <f t="shared" si="17"/>
        <v>573.66831497016756</v>
      </c>
      <c r="S27" s="210">
        <f t="shared" si="17"/>
        <v>573.66831497016756</v>
      </c>
      <c r="T27" s="210">
        <f t="shared" si="17"/>
        <v>573.66831497016756</v>
      </c>
      <c r="U27" s="210">
        <f t="shared" si="17"/>
        <v>573.66831497016756</v>
      </c>
      <c r="V27" s="210">
        <f t="shared" si="17"/>
        <v>573.66831497016756</v>
      </c>
      <c r="W27" s="210">
        <f t="shared" si="17"/>
        <v>573.66831497016756</v>
      </c>
      <c r="X27" s="210">
        <f t="shared" si="17"/>
        <v>573.66831497016756</v>
      </c>
      <c r="Y27" s="210">
        <f t="shared" si="17"/>
        <v>586.90661365260303</v>
      </c>
      <c r="Z27" s="210">
        <f t="shared" si="18"/>
        <v>602.79257207152568</v>
      </c>
      <c r="AA27" s="210">
        <f t="shared" si="18"/>
        <v>618.67853049044822</v>
      </c>
      <c r="AB27" s="210">
        <f t="shared" si="18"/>
        <v>634.56448890937088</v>
      </c>
      <c r="AC27" s="210">
        <f t="shared" si="18"/>
        <v>650.45044732829342</v>
      </c>
      <c r="AD27" s="210">
        <f t="shared" si="18"/>
        <v>666.33640574721596</v>
      </c>
      <c r="AE27" s="210">
        <f t="shared" si="18"/>
        <v>682.22236416613862</v>
      </c>
      <c r="AF27" s="210">
        <f t="shared" si="18"/>
        <v>698.10832258506116</v>
      </c>
      <c r="AG27" s="210">
        <f t="shared" si="18"/>
        <v>713.99428100398382</v>
      </c>
      <c r="AH27" s="210">
        <f t="shared" si="18"/>
        <v>729.88023942290636</v>
      </c>
      <c r="AI27" s="210">
        <f t="shared" si="18"/>
        <v>745.7661978418289</v>
      </c>
      <c r="AJ27" s="210">
        <f t="shared" si="19"/>
        <v>761.65215626075155</v>
      </c>
      <c r="AK27" s="210">
        <f t="shared" si="19"/>
        <v>777.53811467967409</v>
      </c>
      <c r="AL27" s="210">
        <f t="shared" si="19"/>
        <v>793.42407309859664</v>
      </c>
      <c r="AM27" s="210">
        <f t="shared" si="19"/>
        <v>809.31003151751929</v>
      </c>
      <c r="AN27" s="210">
        <f t="shared" si="19"/>
        <v>825.19598993644183</v>
      </c>
      <c r="AO27" s="210">
        <f t="shared" si="19"/>
        <v>841.08194835536437</v>
      </c>
      <c r="AP27" s="210">
        <f t="shared" si="19"/>
        <v>856.96790677428703</v>
      </c>
      <c r="AQ27" s="210">
        <f t="shared" si="19"/>
        <v>872.85386519320957</v>
      </c>
      <c r="AR27" s="210">
        <f t="shared" si="19"/>
        <v>888.73982361213211</v>
      </c>
      <c r="AS27" s="210">
        <f t="shared" si="19"/>
        <v>904.62578203105477</v>
      </c>
      <c r="AT27" s="210">
        <f t="shared" si="20"/>
        <v>920.51174044997742</v>
      </c>
      <c r="AU27" s="210">
        <f t="shared" si="20"/>
        <v>936.39769886889997</v>
      </c>
      <c r="AV27" s="210">
        <f t="shared" si="20"/>
        <v>952.28365728782251</v>
      </c>
      <c r="AW27" s="210">
        <f t="shared" si="20"/>
        <v>968.16961570674516</v>
      </c>
      <c r="AX27" s="210">
        <f t="shared" si="20"/>
        <v>984.05557412566759</v>
      </c>
      <c r="AY27" s="210">
        <f t="shared" si="20"/>
        <v>999.94153254459025</v>
      </c>
      <c r="AZ27" s="210">
        <f t="shared" si="20"/>
        <v>1015.8274909635129</v>
      </c>
      <c r="BA27" s="210">
        <f t="shared" si="20"/>
        <v>1031.7134493824356</v>
      </c>
      <c r="BB27" s="210">
        <f t="shared" si="20"/>
        <v>1047.599407801358</v>
      </c>
      <c r="BC27" s="210">
        <f t="shared" si="20"/>
        <v>1063.4853662202806</v>
      </c>
      <c r="BD27" s="210">
        <f t="shared" si="21"/>
        <v>1079.3713246392033</v>
      </c>
      <c r="BE27" s="210">
        <f t="shared" si="21"/>
        <v>1095.2572830581257</v>
      </c>
      <c r="BF27" s="210">
        <f t="shared" si="21"/>
        <v>1111.1432414770484</v>
      </c>
      <c r="BG27" s="210">
        <f t="shared" si="21"/>
        <v>1127.029199895971</v>
      </c>
      <c r="BH27" s="210">
        <f t="shared" si="21"/>
        <v>1139.8480813711549</v>
      </c>
      <c r="BI27" s="210">
        <f t="shared" si="21"/>
        <v>1152.0535474575911</v>
      </c>
      <c r="BJ27" s="210">
        <f t="shared" si="21"/>
        <v>1164.2590135440273</v>
      </c>
      <c r="BK27" s="210">
        <f t="shared" si="21"/>
        <v>1176.4644796304638</v>
      </c>
      <c r="BL27" s="210">
        <f t="shared" si="21"/>
        <v>1188.6699457169</v>
      </c>
      <c r="BM27" s="210">
        <f t="shared" si="21"/>
        <v>1200.8754118033362</v>
      </c>
      <c r="BN27" s="210">
        <f t="shared" si="22"/>
        <v>1213.0808778897724</v>
      </c>
      <c r="BO27" s="210">
        <f t="shared" si="22"/>
        <v>1225.2863439762086</v>
      </c>
      <c r="BP27" s="210">
        <f t="shared" si="22"/>
        <v>1237.4918100626448</v>
      </c>
      <c r="BQ27" s="210">
        <f t="shared" si="22"/>
        <v>1249.6972761490813</v>
      </c>
      <c r="BR27" s="210">
        <f t="shared" si="22"/>
        <v>1261.9027422355175</v>
      </c>
      <c r="BS27" s="210">
        <f t="shared" si="22"/>
        <v>1274.1082083219537</v>
      </c>
      <c r="BT27" s="210">
        <f t="shared" si="22"/>
        <v>1286.3136744083899</v>
      </c>
      <c r="BU27" s="210">
        <f t="shared" si="22"/>
        <v>1298.5191404948262</v>
      </c>
      <c r="BV27" s="210">
        <f t="shared" si="22"/>
        <v>1310.7246065812624</v>
      </c>
      <c r="BW27" s="210">
        <f t="shared" si="22"/>
        <v>1322.9300726676988</v>
      </c>
      <c r="BX27" s="210">
        <f t="shared" si="23"/>
        <v>1335.135538754135</v>
      </c>
      <c r="BY27" s="210">
        <f t="shared" si="23"/>
        <v>1347.3410048405713</v>
      </c>
      <c r="BZ27" s="210">
        <f t="shared" si="23"/>
        <v>1359.5464709270075</v>
      </c>
      <c r="CA27" s="210">
        <f t="shared" si="23"/>
        <v>1371.7519370134437</v>
      </c>
      <c r="CB27" s="210">
        <f t="shared" si="23"/>
        <v>1383.9574030998799</v>
      </c>
      <c r="CC27" s="210">
        <f t="shared" si="23"/>
        <v>1396.1628691863161</v>
      </c>
      <c r="CD27" s="210">
        <f t="shared" si="23"/>
        <v>1408.3683352727526</v>
      </c>
      <c r="CE27" s="210">
        <f t="shared" si="23"/>
        <v>1420.5738013591888</v>
      </c>
      <c r="CF27" s="210">
        <f t="shared" si="23"/>
        <v>1432.779267445625</v>
      </c>
      <c r="CG27" s="210">
        <f t="shared" si="23"/>
        <v>1444.9847335320612</v>
      </c>
      <c r="CH27" s="210">
        <f t="shared" si="24"/>
        <v>1457.1901996184974</v>
      </c>
      <c r="CI27" s="210">
        <f t="shared" si="24"/>
        <v>1511.6830632742026</v>
      </c>
      <c r="CJ27" s="210">
        <f t="shared" si="24"/>
        <v>1574.6334064437608</v>
      </c>
      <c r="CK27" s="210">
        <f t="shared" si="24"/>
        <v>1637.5837496133192</v>
      </c>
      <c r="CL27" s="210">
        <f t="shared" si="24"/>
        <v>1700.5340927828775</v>
      </c>
      <c r="CM27" s="210">
        <f t="shared" si="24"/>
        <v>1763.4844359524357</v>
      </c>
      <c r="CN27" s="210">
        <f t="shared" si="24"/>
        <v>1826.4347791219941</v>
      </c>
      <c r="CO27" s="210">
        <f t="shared" si="24"/>
        <v>1889.3851222915523</v>
      </c>
      <c r="CP27" s="210">
        <f t="shared" si="24"/>
        <v>1952.3354654611107</v>
      </c>
      <c r="CQ27" s="210">
        <f t="shared" si="24"/>
        <v>2015.285808630669</v>
      </c>
      <c r="CR27" s="210">
        <f t="shared" si="25"/>
        <v>2078.2361518002272</v>
      </c>
      <c r="CS27" s="210">
        <f t="shared" si="25"/>
        <v>2141.1864949697856</v>
      </c>
      <c r="CT27" s="210">
        <f t="shared" si="25"/>
        <v>2204.1368381393436</v>
      </c>
      <c r="CU27" s="210">
        <f t="shared" si="25"/>
        <v>2267.087181308902</v>
      </c>
      <c r="CV27" s="210">
        <f t="shared" si="25"/>
        <v>2330.0375244784605</v>
      </c>
      <c r="CW27" s="210">
        <f t="shared" si="25"/>
        <v>2392.9878676480184</v>
      </c>
      <c r="CX27" s="210">
        <f t="shared" si="25"/>
        <v>2403.4795915096111</v>
      </c>
      <c r="CY27" s="210">
        <f t="shared" si="25"/>
        <v>2403.4795915096111</v>
      </c>
      <c r="CZ27" s="210">
        <f t="shared" si="25"/>
        <v>2403.4795915096111</v>
      </c>
      <c r="DA27" s="210">
        <f t="shared" si="25"/>
        <v>2403.4795915096111</v>
      </c>
    </row>
    <row r="28" spans="1:105">
      <c r="A28" s="201" t="str">
        <f>Income!A75</f>
        <v>Animal products sold</v>
      </c>
      <c r="B28" s="203">
        <f>Income!B75</f>
        <v>0</v>
      </c>
      <c r="C28" s="203">
        <f>Income!C75</f>
        <v>0</v>
      </c>
      <c r="D28" s="203">
        <f>Income!D75</f>
        <v>0</v>
      </c>
      <c r="E28" s="203">
        <f>Income!E75</f>
        <v>0</v>
      </c>
      <c r="F28" s="210">
        <f t="shared" si="16"/>
        <v>0</v>
      </c>
      <c r="G28" s="210">
        <f t="shared" si="16"/>
        <v>0</v>
      </c>
      <c r="H28" s="210">
        <f t="shared" si="16"/>
        <v>0</v>
      </c>
      <c r="I28" s="210">
        <f t="shared" si="16"/>
        <v>0</v>
      </c>
      <c r="J28" s="210">
        <f t="shared" si="16"/>
        <v>0</v>
      </c>
      <c r="K28" s="210">
        <f t="shared" si="16"/>
        <v>0</v>
      </c>
      <c r="L28" s="210">
        <f t="shared" si="16"/>
        <v>0</v>
      </c>
      <c r="M28" s="210">
        <f t="shared" si="16"/>
        <v>0</v>
      </c>
      <c r="N28" s="210">
        <f t="shared" si="16"/>
        <v>0</v>
      </c>
      <c r="O28" s="210">
        <f t="shared" si="16"/>
        <v>0</v>
      </c>
      <c r="P28" s="210">
        <f t="shared" si="17"/>
        <v>0</v>
      </c>
      <c r="Q28" s="210">
        <f t="shared" si="17"/>
        <v>0</v>
      </c>
      <c r="R28" s="210">
        <f t="shared" si="17"/>
        <v>0</v>
      </c>
      <c r="S28" s="210">
        <f t="shared" si="17"/>
        <v>0</v>
      </c>
      <c r="T28" s="210">
        <f t="shared" si="17"/>
        <v>0</v>
      </c>
      <c r="U28" s="210">
        <f t="shared" si="17"/>
        <v>0</v>
      </c>
      <c r="V28" s="210">
        <f t="shared" si="17"/>
        <v>0</v>
      </c>
      <c r="W28" s="210">
        <f t="shared" si="17"/>
        <v>0</v>
      </c>
      <c r="X28" s="210">
        <f t="shared" si="17"/>
        <v>0</v>
      </c>
      <c r="Y28" s="210">
        <f t="shared" si="17"/>
        <v>0</v>
      </c>
      <c r="Z28" s="210">
        <f t="shared" si="18"/>
        <v>0</v>
      </c>
      <c r="AA28" s="210">
        <f t="shared" si="18"/>
        <v>0</v>
      </c>
      <c r="AB28" s="210">
        <f t="shared" si="18"/>
        <v>0</v>
      </c>
      <c r="AC28" s="210">
        <f t="shared" si="18"/>
        <v>0</v>
      </c>
      <c r="AD28" s="210">
        <f t="shared" si="18"/>
        <v>0</v>
      </c>
      <c r="AE28" s="210">
        <f t="shared" si="18"/>
        <v>0</v>
      </c>
      <c r="AF28" s="210">
        <f t="shared" si="18"/>
        <v>0</v>
      </c>
      <c r="AG28" s="210">
        <f t="shared" si="18"/>
        <v>0</v>
      </c>
      <c r="AH28" s="210">
        <f t="shared" si="18"/>
        <v>0</v>
      </c>
      <c r="AI28" s="210">
        <f t="shared" si="18"/>
        <v>0</v>
      </c>
      <c r="AJ28" s="210">
        <f t="shared" si="19"/>
        <v>0</v>
      </c>
      <c r="AK28" s="210">
        <f t="shared" si="19"/>
        <v>0</v>
      </c>
      <c r="AL28" s="210">
        <f t="shared" si="19"/>
        <v>0</v>
      </c>
      <c r="AM28" s="210">
        <f t="shared" si="19"/>
        <v>0</v>
      </c>
      <c r="AN28" s="210">
        <f t="shared" si="19"/>
        <v>0</v>
      </c>
      <c r="AO28" s="210">
        <f t="shared" si="19"/>
        <v>0</v>
      </c>
      <c r="AP28" s="210">
        <f t="shared" si="19"/>
        <v>0</v>
      </c>
      <c r="AQ28" s="210">
        <f t="shared" si="19"/>
        <v>0</v>
      </c>
      <c r="AR28" s="210">
        <f t="shared" si="19"/>
        <v>0</v>
      </c>
      <c r="AS28" s="210">
        <f t="shared" si="19"/>
        <v>0</v>
      </c>
      <c r="AT28" s="210">
        <f t="shared" si="20"/>
        <v>0</v>
      </c>
      <c r="AU28" s="210">
        <f t="shared" si="20"/>
        <v>0</v>
      </c>
      <c r="AV28" s="210">
        <f t="shared" si="20"/>
        <v>0</v>
      </c>
      <c r="AW28" s="210">
        <f t="shared" si="20"/>
        <v>0</v>
      </c>
      <c r="AX28" s="210">
        <f t="shared" si="20"/>
        <v>0</v>
      </c>
      <c r="AY28" s="210">
        <f t="shared" si="20"/>
        <v>0</v>
      </c>
      <c r="AZ28" s="210">
        <f t="shared" si="20"/>
        <v>0</v>
      </c>
      <c r="BA28" s="210">
        <f t="shared" si="20"/>
        <v>0</v>
      </c>
      <c r="BB28" s="210">
        <f t="shared" si="20"/>
        <v>0</v>
      </c>
      <c r="BC28" s="210">
        <f t="shared" si="20"/>
        <v>0</v>
      </c>
      <c r="BD28" s="210">
        <f t="shared" si="21"/>
        <v>0</v>
      </c>
      <c r="BE28" s="210">
        <f t="shared" si="21"/>
        <v>0</v>
      </c>
      <c r="BF28" s="210">
        <f t="shared" si="21"/>
        <v>0</v>
      </c>
      <c r="BG28" s="210">
        <f t="shared" si="21"/>
        <v>0</v>
      </c>
      <c r="BH28" s="210">
        <f t="shared" si="21"/>
        <v>0</v>
      </c>
      <c r="BI28" s="210">
        <f t="shared" si="21"/>
        <v>0</v>
      </c>
      <c r="BJ28" s="210">
        <f t="shared" si="21"/>
        <v>0</v>
      </c>
      <c r="BK28" s="210">
        <f t="shared" si="21"/>
        <v>0</v>
      </c>
      <c r="BL28" s="210">
        <f t="shared" si="21"/>
        <v>0</v>
      </c>
      <c r="BM28" s="210">
        <f t="shared" si="21"/>
        <v>0</v>
      </c>
      <c r="BN28" s="210">
        <f t="shared" si="22"/>
        <v>0</v>
      </c>
      <c r="BO28" s="210">
        <f t="shared" si="22"/>
        <v>0</v>
      </c>
      <c r="BP28" s="210">
        <f t="shared" si="22"/>
        <v>0</v>
      </c>
      <c r="BQ28" s="210">
        <f t="shared" si="22"/>
        <v>0</v>
      </c>
      <c r="BR28" s="210">
        <f t="shared" si="22"/>
        <v>0</v>
      </c>
      <c r="BS28" s="210">
        <f t="shared" si="22"/>
        <v>0</v>
      </c>
      <c r="BT28" s="210">
        <f t="shared" si="22"/>
        <v>0</v>
      </c>
      <c r="BU28" s="210">
        <f t="shared" si="22"/>
        <v>0</v>
      </c>
      <c r="BV28" s="210">
        <f t="shared" si="22"/>
        <v>0</v>
      </c>
      <c r="BW28" s="210">
        <f t="shared" si="22"/>
        <v>0</v>
      </c>
      <c r="BX28" s="210">
        <f t="shared" si="23"/>
        <v>0</v>
      </c>
      <c r="BY28" s="210">
        <f t="shared" si="23"/>
        <v>0</v>
      </c>
      <c r="BZ28" s="210">
        <f t="shared" si="23"/>
        <v>0</v>
      </c>
      <c r="CA28" s="210">
        <f t="shared" si="23"/>
        <v>0</v>
      </c>
      <c r="CB28" s="210">
        <f t="shared" si="23"/>
        <v>0</v>
      </c>
      <c r="CC28" s="210">
        <f t="shared" si="23"/>
        <v>0</v>
      </c>
      <c r="CD28" s="210">
        <f t="shared" si="23"/>
        <v>0</v>
      </c>
      <c r="CE28" s="210">
        <f t="shared" si="23"/>
        <v>0</v>
      </c>
      <c r="CF28" s="210">
        <f t="shared" si="23"/>
        <v>0</v>
      </c>
      <c r="CG28" s="210">
        <f t="shared" si="23"/>
        <v>0</v>
      </c>
      <c r="CH28" s="210">
        <f t="shared" si="24"/>
        <v>0</v>
      </c>
      <c r="CI28" s="210">
        <f t="shared" si="24"/>
        <v>0</v>
      </c>
      <c r="CJ28" s="210">
        <f t="shared" si="24"/>
        <v>0</v>
      </c>
      <c r="CK28" s="210">
        <f t="shared" si="24"/>
        <v>0</v>
      </c>
      <c r="CL28" s="210">
        <f t="shared" si="24"/>
        <v>0</v>
      </c>
      <c r="CM28" s="210">
        <f t="shared" si="24"/>
        <v>0</v>
      </c>
      <c r="CN28" s="210">
        <f t="shared" si="24"/>
        <v>0</v>
      </c>
      <c r="CO28" s="210">
        <f t="shared" si="24"/>
        <v>0</v>
      </c>
      <c r="CP28" s="210">
        <f t="shared" si="24"/>
        <v>0</v>
      </c>
      <c r="CQ28" s="210">
        <f t="shared" si="24"/>
        <v>0</v>
      </c>
      <c r="CR28" s="210">
        <f t="shared" si="25"/>
        <v>0</v>
      </c>
      <c r="CS28" s="210">
        <f t="shared" si="25"/>
        <v>0</v>
      </c>
      <c r="CT28" s="210">
        <f t="shared" si="25"/>
        <v>0</v>
      </c>
      <c r="CU28" s="210">
        <f t="shared" si="25"/>
        <v>0</v>
      </c>
      <c r="CV28" s="210">
        <f t="shared" si="25"/>
        <v>0</v>
      </c>
      <c r="CW28" s="210">
        <f t="shared" si="25"/>
        <v>0</v>
      </c>
      <c r="CX28" s="210">
        <f t="shared" si="25"/>
        <v>0</v>
      </c>
      <c r="CY28" s="210">
        <f t="shared" si="25"/>
        <v>0</v>
      </c>
      <c r="CZ28" s="210">
        <f t="shared" si="25"/>
        <v>0</v>
      </c>
      <c r="DA28" s="210">
        <f t="shared" si="25"/>
        <v>0</v>
      </c>
    </row>
    <row r="29" spans="1:105">
      <c r="A29" s="201" t="str">
        <f>Income!A76</f>
        <v>Animals sold</v>
      </c>
      <c r="B29" s="203">
        <f>Income!B76</f>
        <v>0</v>
      </c>
      <c r="C29" s="203">
        <f>Income!C76</f>
        <v>5786.8409242296002</v>
      </c>
      <c r="D29" s="203">
        <f>Income!D76</f>
        <v>17821.954030550129</v>
      </c>
      <c r="E29" s="203">
        <f>Income!E76</f>
        <v>31091.652569821865</v>
      </c>
      <c r="F29" s="210">
        <f t="shared" si="16"/>
        <v>0</v>
      </c>
      <c r="G29" s="210">
        <f t="shared" si="16"/>
        <v>0</v>
      </c>
      <c r="H29" s="210">
        <f t="shared" si="16"/>
        <v>0</v>
      </c>
      <c r="I29" s="210">
        <f t="shared" si="16"/>
        <v>0</v>
      </c>
      <c r="J29" s="210">
        <f t="shared" si="16"/>
        <v>0</v>
      </c>
      <c r="K29" s="210">
        <f t="shared" si="16"/>
        <v>0</v>
      </c>
      <c r="L29" s="210">
        <f t="shared" si="16"/>
        <v>0</v>
      </c>
      <c r="M29" s="210">
        <f t="shared" si="16"/>
        <v>0</v>
      </c>
      <c r="N29" s="210">
        <f t="shared" si="16"/>
        <v>0</v>
      </c>
      <c r="O29" s="210">
        <f t="shared" si="16"/>
        <v>0</v>
      </c>
      <c r="P29" s="210">
        <f t="shared" si="17"/>
        <v>0</v>
      </c>
      <c r="Q29" s="210">
        <f t="shared" si="17"/>
        <v>0</v>
      </c>
      <c r="R29" s="210">
        <f t="shared" si="17"/>
        <v>0</v>
      </c>
      <c r="S29" s="210">
        <f t="shared" si="17"/>
        <v>0</v>
      </c>
      <c r="T29" s="210">
        <f t="shared" si="17"/>
        <v>0</v>
      </c>
      <c r="U29" s="210">
        <f t="shared" si="17"/>
        <v>0</v>
      </c>
      <c r="V29" s="210">
        <f t="shared" si="17"/>
        <v>0</v>
      </c>
      <c r="W29" s="210">
        <f t="shared" si="17"/>
        <v>0</v>
      </c>
      <c r="X29" s="210">
        <f t="shared" si="17"/>
        <v>0</v>
      </c>
      <c r="Y29" s="210">
        <f t="shared" si="17"/>
        <v>137.78192676737183</v>
      </c>
      <c r="Z29" s="210">
        <f t="shared" si="18"/>
        <v>303.12023888821756</v>
      </c>
      <c r="AA29" s="210">
        <f t="shared" si="18"/>
        <v>468.45855100906329</v>
      </c>
      <c r="AB29" s="210">
        <f t="shared" si="18"/>
        <v>633.79686312990896</v>
      </c>
      <c r="AC29" s="210">
        <f t="shared" si="18"/>
        <v>799.13517525075474</v>
      </c>
      <c r="AD29" s="210">
        <f t="shared" si="18"/>
        <v>964.47348737160041</v>
      </c>
      <c r="AE29" s="210">
        <f t="shared" si="18"/>
        <v>1129.811799492446</v>
      </c>
      <c r="AF29" s="210">
        <f t="shared" si="18"/>
        <v>1295.150111613292</v>
      </c>
      <c r="AG29" s="210">
        <f t="shared" si="18"/>
        <v>1460.4884237341375</v>
      </c>
      <c r="AH29" s="210">
        <f t="shared" si="18"/>
        <v>1625.8267358549833</v>
      </c>
      <c r="AI29" s="210">
        <f t="shared" si="18"/>
        <v>1791.1650479758289</v>
      </c>
      <c r="AJ29" s="210">
        <f t="shared" si="19"/>
        <v>1956.5033600966744</v>
      </c>
      <c r="AK29" s="210">
        <f t="shared" si="19"/>
        <v>2121.8416722175202</v>
      </c>
      <c r="AL29" s="210">
        <f t="shared" si="19"/>
        <v>2287.179984338366</v>
      </c>
      <c r="AM29" s="210">
        <f t="shared" si="19"/>
        <v>2452.5182964592118</v>
      </c>
      <c r="AN29" s="210">
        <f t="shared" si="19"/>
        <v>2617.8566085800576</v>
      </c>
      <c r="AO29" s="210">
        <f t="shared" si="19"/>
        <v>2783.1949207009034</v>
      </c>
      <c r="AP29" s="210">
        <f t="shared" si="19"/>
        <v>2948.5332328217492</v>
      </c>
      <c r="AQ29" s="210">
        <f t="shared" si="19"/>
        <v>3113.8715449425949</v>
      </c>
      <c r="AR29" s="210">
        <f t="shared" si="19"/>
        <v>3279.2098570634403</v>
      </c>
      <c r="AS29" s="210">
        <f t="shared" si="19"/>
        <v>3444.5481691842861</v>
      </c>
      <c r="AT29" s="210">
        <f t="shared" si="20"/>
        <v>3609.8864813051318</v>
      </c>
      <c r="AU29" s="210">
        <f t="shared" si="20"/>
        <v>3775.2247934259772</v>
      </c>
      <c r="AV29" s="210">
        <f t="shared" si="20"/>
        <v>3940.5631055468234</v>
      </c>
      <c r="AW29" s="210">
        <f t="shared" si="20"/>
        <v>4105.9014176676692</v>
      </c>
      <c r="AX29" s="210">
        <f t="shared" si="20"/>
        <v>4271.2397297885145</v>
      </c>
      <c r="AY29" s="210">
        <f t="shared" si="20"/>
        <v>4436.5780419093608</v>
      </c>
      <c r="AZ29" s="210">
        <f t="shared" si="20"/>
        <v>4601.9163540302061</v>
      </c>
      <c r="BA29" s="210">
        <f t="shared" si="20"/>
        <v>4767.2546661510523</v>
      </c>
      <c r="BB29" s="210">
        <f t="shared" si="20"/>
        <v>4932.5929782718977</v>
      </c>
      <c r="BC29" s="210">
        <f t="shared" si="20"/>
        <v>5097.931290392743</v>
      </c>
      <c r="BD29" s="210">
        <f t="shared" si="21"/>
        <v>5263.2696025135892</v>
      </c>
      <c r="BE29" s="210">
        <f t="shared" si="21"/>
        <v>5428.6079146344346</v>
      </c>
      <c r="BF29" s="210">
        <f t="shared" si="21"/>
        <v>5593.9462267552799</v>
      </c>
      <c r="BG29" s="210">
        <f t="shared" si="21"/>
        <v>5759.2845388761261</v>
      </c>
      <c r="BH29" s="210">
        <f t="shared" si="21"/>
        <v>6158.2950324493704</v>
      </c>
      <c r="BI29" s="210">
        <f t="shared" si="21"/>
        <v>6604.0399623130943</v>
      </c>
      <c r="BJ29" s="210">
        <f t="shared" si="21"/>
        <v>7049.7848921768182</v>
      </c>
      <c r="BK29" s="210">
        <f t="shared" si="21"/>
        <v>7495.5298220405411</v>
      </c>
      <c r="BL29" s="210">
        <f t="shared" si="21"/>
        <v>7941.2747519042641</v>
      </c>
      <c r="BM29" s="210">
        <f t="shared" si="21"/>
        <v>8387.019681767988</v>
      </c>
      <c r="BN29" s="210">
        <f t="shared" si="22"/>
        <v>8832.7646116317119</v>
      </c>
      <c r="BO29" s="210">
        <f t="shared" si="22"/>
        <v>9278.509541495434</v>
      </c>
      <c r="BP29" s="210">
        <f t="shared" si="22"/>
        <v>9724.2544713591578</v>
      </c>
      <c r="BQ29" s="210">
        <f t="shared" si="22"/>
        <v>10169.999401222882</v>
      </c>
      <c r="BR29" s="210">
        <f t="shared" si="22"/>
        <v>10615.744331086604</v>
      </c>
      <c r="BS29" s="210">
        <f t="shared" si="22"/>
        <v>11061.489260950328</v>
      </c>
      <c r="BT29" s="210">
        <f t="shared" si="22"/>
        <v>11507.234190814052</v>
      </c>
      <c r="BU29" s="210">
        <f t="shared" si="22"/>
        <v>11952.979120677775</v>
      </c>
      <c r="BV29" s="210">
        <f t="shared" si="22"/>
        <v>12398.724050541499</v>
      </c>
      <c r="BW29" s="210">
        <f t="shared" si="22"/>
        <v>12844.468980405221</v>
      </c>
      <c r="BX29" s="210">
        <f t="shared" si="23"/>
        <v>13290.213910268945</v>
      </c>
      <c r="BY29" s="210">
        <f t="shared" si="23"/>
        <v>13735.958840132669</v>
      </c>
      <c r="BZ29" s="210">
        <f t="shared" si="23"/>
        <v>14181.703769996391</v>
      </c>
      <c r="CA29" s="210">
        <f t="shared" si="23"/>
        <v>14627.448699860115</v>
      </c>
      <c r="CB29" s="210">
        <f t="shared" si="23"/>
        <v>15073.193629723839</v>
      </c>
      <c r="CC29" s="210">
        <f t="shared" si="23"/>
        <v>15518.938559587563</v>
      </c>
      <c r="CD29" s="210">
        <f t="shared" si="23"/>
        <v>15964.683489451285</v>
      </c>
      <c r="CE29" s="210">
        <f t="shared" si="23"/>
        <v>16410.428419315009</v>
      </c>
      <c r="CF29" s="210">
        <f t="shared" si="23"/>
        <v>16856.173349178731</v>
      </c>
      <c r="CG29" s="210">
        <f t="shared" si="23"/>
        <v>17301.918279042453</v>
      </c>
      <c r="CH29" s="210">
        <f t="shared" si="24"/>
        <v>17747.663208906182</v>
      </c>
      <c r="CI29" s="210">
        <f t="shared" si="24"/>
        <v>18559.159504954121</v>
      </c>
      <c r="CJ29" s="210">
        <f t="shared" si="24"/>
        <v>19443.806074238906</v>
      </c>
      <c r="CK29" s="210">
        <f t="shared" si="24"/>
        <v>20328.452643523688</v>
      </c>
      <c r="CL29" s="210">
        <f t="shared" si="24"/>
        <v>21213.099212808469</v>
      </c>
      <c r="CM29" s="210">
        <f t="shared" si="24"/>
        <v>22097.745782093254</v>
      </c>
      <c r="CN29" s="210">
        <f t="shared" si="24"/>
        <v>22982.392351378036</v>
      </c>
      <c r="CO29" s="210">
        <f t="shared" si="24"/>
        <v>23867.038920662817</v>
      </c>
      <c r="CP29" s="210">
        <f t="shared" si="24"/>
        <v>24751.685489947598</v>
      </c>
      <c r="CQ29" s="210">
        <f t="shared" si="24"/>
        <v>25636.33205923238</v>
      </c>
      <c r="CR29" s="210">
        <f t="shared" si="25"/>
        <v>26520.978628517165</v>
      </c>
      <c r="CS29" s="210">
        <f t="shared" si="25"/>
        <v>27405.625197801946</v>
      </c>
      <c r="CT29" s="210">
        <f t="shared" si="25"/>
        <v>28290.271767086728</v>
      </c>
      <c r="CU29" s="210">
        <f t="shared" si="25"/>
        <v>29174.918336371513</v>
      </c>
      <c r="CV29" s="210">
        <f t="shared" si="25"/>
        <v>30059.564905656291</v>
      </c>
      <c r="CW29" s="210">
        <f t="shared" si="25"/>
        <v>30944.211474941076</v>
      </c>
      <c r="CX29" s="210">
        <f t="shared" si="25"/>
        <v>31091.652569821865</v>
      </c>
      <c r="CY29" s="210">
        <f t="shared" si="25"/>
        <v>31091.652569821865</v>
      </c>
      <c r="CZ29" s="210">
        <f t="shared" si="25"/>
        <v>31091.652569821865</v>
      </c>
      <c r="DA29" s="210">
        <f t="shared" si="25"/>
        <v>31091.652569821865</v>
      </c>
    </row>
    <row r="30" spans="1:105">
      <c r="A30" s="201" t="str">
        <f>Income!A77</f>
        <v>Wild foods consumed and sold</v>
      </c>
      <c r="B30" s="203">
        <f>Income!B77</f>
        <v>657.73500474724642</v>
      </c>
      <c r="C30" s="203">
        <f>Income!C77</f>
        <v>1143.6735530306601</v>
      </c>
      <c r="D30" s="203">
        <f>Income!D77</f>
        <v>0</v>
      </c>
      <c r="E30" s="203">
        <f>Income!E77</f>
        <v>0</v>
      </c>
      <c r="F30" s="210">
        <f t="shared" si="16"/>
        <v>657.73500474724642</v>
      </c>
      <c r="G30" s="210">
        <f t="shared" si="16"/>
        <v>657.73500474724642</v>
      </c>
      <c r="H30" s="210">
        <f t="shared" si="16"/>
        <v>657.73500474724642</v>
      </c>
      <c r="I30" s="210">
        <f t="shared" si="16"/>
        <v>657.73500474724642</v>
      </c>
      <c r="J30" s="210">
        <f t="shared" si="16"/>
        <v>657.73500474724642</v>
      </c>
      <c r="K30" s="210">
        <f t="shared" si="16"/>
        <v>657.73500474724642</v>
      </c>
      <c r="L30" s="210">
        <f t="shared" si="16"/>
        <v>657.73500474724642</v>
      </c>
      <c r="M30" s="210">
        <f t="shared" si="16"/>
        <v>657.73500474724642</v>
      </c>
      <c r="N30" s="210">
        <f t="shared" si="16"/>
        <v>657.73500474724642</v>
      </c>
      <c r="O30" s="210">
        <f t="shared" si="16"/>
        <v>657.73500474724642</v>
      </c>
      <c r="P30" s="210">
        <f t="shared" si="17"/>
        <v>657.73500474724642</v>
      </c>
      <c r="Q30" s="210">
        <f t="shared" si="17"/>
        <v>657.73500474724642</v>
      </c>
      <c r="R30" s="210">
        <f t="shared" si="17"/>
        <v>657.73500474724642</v>
      </c>
      <c r="S30" s="210">
        <f t="shared" si="17"/>
        <v>657.73500474724642</v>
      </c>
      <c r="T30" s="210">
        <f t="shared" si="17"/>
        <v>657.73500474724642</v>
      </c>
      <c r="U30" s="210">
        <f t="shared" si="17"/>
        <v>657.73500474724642</v>
      </c>
      <c r="V30" s="210">
        <f t="shared" si="17"/>
        <v>657.73500474724642</v>
      </c>
      <c r="W30" s="210">
        <f t="shared" si="17"/>
        <v>657.73500474724642</v>
      </c>
      <c r="X30" s="210">
        <f t="shared" si="17"/>
        <v>657.73500474724642</v>
      </c>
      <c r="Y30" s="210">
        <f t="shared" si="17"/>
        <v>669.30497018256585</v>
      </c>
      <c r="Z30" s="210">
        <f t="shared" si="18"/>
        <v>683.18892870494903</v>
      </c>
      <c r="AA30" s="210">
        <f t="shared" si="18"/>
        <v>697.07288722733233</v>
      </c>
      <c r="AB30" s="210">
        <f t="shared" si="18"/>
        <v>710.95684574971551</v>
      </c>
      <c r="AC30" s="210">
        <f t="shared" si="18"/>
        <v>724.84080427209881</v>
      </c>
      <c r="AD30" s="210">
        <f t="shared" si="18"/>
        <v>738.7247627944821</v>
      </c>
      <c r="AE30" s="210">
        <f t="shared" si="18"/>
        <v>752.60872131686529</v>
      </c>
      <c r="AF30" s="210">
        <f t="shared" si="18"/>
        <v>766.49267983924858</v>
      </c>
      <c r="AG30" s="210">
        <f t="shared" si="18"/>
        <v>780.37663836163176</v>
      </c>
      <c r="AH30" s="210">
        <f t="shared" si="18"/>
        <v>794.26059688401506</v>
      </c>
      <c r="AI30" s="210">
        <f t="shared" si="18"/>
        <v>808.14455540639824</v>
      </c>
      <c r="AJ30" s="210">
        <f t="shared" si="19"/>
        <v>822.02851392878154</v>
      </c>
      <c r="AK30" s="210">
        <f t="shared" si="19"/>
        <v>835.91247245116483</v>
      </c>
      <c r="AL30" s="210">
        <f t="shared" si="19"/>
        <v>849.79643097354801</v>
      </c>
      <c r="AM30" s="210">
        <f t="shared" si="19"/>
        <v>863.68038949593131</v>
      </c>
      <c r="AN30" s="210">
        <f t="shared" si="19"/>
        <v>877.56434801831449</v>
      </c>
      <c r="AO30" s="210">
        <f t="shared" si="19"/>
        <v>891.44830654069779</v>
      </c>
      <c r="AP30" s="210">
        <f t="shared" si="19"/>
        <v>905.33226506308097</v>
      </c>
      <c r="AQ30" s="210">
        <f t="shared" si="19"/>
        <v>919.21622358546426</v>
      </c>
      <c r="AR30" s="210">
        <f t="shared" si="19"/>
        <v>933.10018210784756</v>
      </c>
      <c r="AS30" s="210">
        <f t="shared" si="19"/>
        <v>946.98414063023074</v>
      </c>
      <c r="AT30" s="210">
        <f t="shared" si="20"/>
        <v>960.86809915261404</v>
      </c>
      <c r="AU30" s="210">
        <f t="shared" si="20"/>
        <v>974.75205767499733</v>
      </c>
      <c r="AV30" s="210">
        <f t="shared" si="20"/>
        <v>988.63601619738051</v>
      </c>
      <c r="AW30" s="210">
        <f t="shared" si="20"/>
        <v>1002.5199747197637</v>
      </c>
      <c r="AX30" s="210">
        <f t="shared" si="20"/>
        <v>1016.403933242147</v>
      </c>
      <c r="AY30" s="210">
        <f t="shared" si="20"/>
        <v>1030.2878917645303</v>
      </c>
      <c r="AZ30" s="210">
        <f t="shared" si="20"/>
        <v>1044.1718502869135</v>
      </c>
      <c r="BA30" s="210">
        <f t="shared" si="20"/>
        <v>1058.0558088092966</v>
      </c>
      <c r="BB30" s="210">
        <f t="shared" si="20"/>
        <v>1071.9397673316801</v>
      </c>
      <c r="BC30" s="210">
        <f t="shared" si="20"/>
        <v>1085.8237258540632</v>
      </c>
      <c r="BD30" s="210">
        <f t="shared" si="21"/>
        <v>1099.7076843764464</v>
      </c>
      <c r="BE30" s="210">
        <f t="shared" si="21"/>
        <v>1113.5916428988298</v>
      </c>
      <c r="BF30" s="210">
        <f t="shared" si="21"/>
        <v>1127.475601421213</v>
      </c>
      <c r="BG30" s="210">
        <f t="shared" si="21"/>
        <v>1141.3595599435962</v>
      </c>
      <c r="BH30" s="210">
        <f t="shared" si="21"/>
        <v>1108.3749865790965</v>
      </c>
      <c r="BI30" s="210">
        <f t="shared" si="21"/>
        <v>1066.01670683722</v>
      </c>
      <c r="BJ30" s="210">
        <f t="shared" si="21"/>
        <v>1023.6584270953438</v>
      </c>
      <c r="BK30" s="210">
        <f t="shared" si="21"/>
        <v>981.30014735346742</v>
      </c>
      <c r="BL30" s="210">
        <f t="shared" si="21"/>
        <v>938.94186761159108</v>
      </c>
      <c r="BM30" s="210">
        <f t="shared" si="21"/>
        <v>896.58358786971485</v>
      </c>
      <c r="BN30" s="210">
        <f t="shared" si="22"/>
        <v>854.2253081278385</v>
      </c>
      <c r="BO30" s="210">
        <f t="shared" si="22"/>
        <v>811.86702838596216</v>
      </c>
      <c r="BP30" s="210">
        <f t="shared" si="22"/>
        <v>769.50874864408593</v>
      </c>
      <c r="BQ30" s="210">
        <f t="shared" si="22"/>
        <v>727.1504689022097</v>
      </c>
      <c r="BR30" s="210">
        <f t="shared" si="22"/>
        <v>684.79218916033324</v>
      </c>
      <c r="BS30" s="210">
        <f t="shared" si="22"/>
        <v>642.43390941845701</v>
      </c>
      <c r="BT30" s="210">
        <f t="shared" si="22"/>
        <v>600.07562967658066</v>
      </c>
      <c r="BU30" s="210">
        <f t="shared" si="22"/>
        <v>557.71734993470432</v>
      </c>
      <c r="BV30" s="210">
        <f t="shared" si="22"/>
        <v>515.35907019282797</v>
      </c>
      <c r="BW30" s="210">
        <f t="shared" si="22"/>
        <v>473.00079045095174</v>
      </c>
      <c r="BX30" s="210">
        <f t="shared" si="23"/>
        <v>430.6425107090754</v>
      </c>
      <c r="BY30" s="210">
        <f t="shared" si="23"/>
        <v>388.28423096719905</v>
      </c>
      <c r="BZ30" s="210">
        <f t="shared" si="23"/>
        <v>345.92595122532282</v>
      </c>
      <c r="CA30" s="210">
        <f t="shared" si="23"/>
        <v>303.56767148344647</v>
      </c>
      <c r="CB30" s="210">
        <f t="shared" si="23"/>
        <v>261.20939174157013</v>
      </c>
      <c r="CC30" s="210">
        <f t="shared" si="23"/>
        <v>218.8511119996939</v>
      </c>
      <c r="CD30" s="210">
        <f t="shared" si="23"/>
        <v>176.49283225781755</v>
      </c>
      <c r="CE30" s="210">
        <f t="shared" si="23"/>
        <v>134.13455251594132</v>
      </c>
      <c r="CF30" s="210">
        <f t="shared" si="23"/>
        <v>91.776272774064864</v>
      </c>
      <c r="CG30" s="210">
        <f t="shared" si="23"/>
        <v>49.417993032188633</v>
      </c>
      <c r="CH30" s="210">
        <f t="shared" si="24"/>
        <v>7.059713290312402</v>
      </c>
      <c r="CI30" s="210">
        <f t="shared" si="24"/>
        <v>0</v>
      </c>
      <c r="CJ30" s="210">
        <f t="shared" si="24"/>
        <v>0</v>
      </c>
      <c r="CK30" s="210">
        <f t="shared" si="24"/>
        <v>0</v>
      </c>
      <c r="CL30" s="210">
        <f t="shared" si="24"/>
        <v>0</v>
      </c>
      <c r="CM30" s="210">
        <f t="shared" si="24"/>
        <v>0</v>
      </c>
      <c r="CN30" s="210">
        <f t="shared" si="24"/>
        <v>0</v>
      </c>
      <c r="CO30" s="210">
        <f t="shared" si="24"/>
        <v>0</v>
      </c>
      <c r="CP30" s="210">
        <f t="shared" si="24"/>
        <v>0</v>
      </c>
      <c r="CQ30" s="210">
        <f t="shared" si="24"/>
        <v>0</v>
      </c>
      <c r="CR30" s="210">
        <f t="shared" si="25"/>
        <v>0</v>
      </c>
      <c r="CS30" s="210">
        <f t="shared" si="25"/>
        <v>0</v>
      </c>
      <c r="CT30" s="210">
        <f t="shared" si="25"/>
        <v>0</v>
      </c>
      <c r="CU30" s="210">
        <f t="shared" si="25"/>
        <v>0</v>
      </c>
      <c r="CV30" s="210">
        <f t="shared" si="25"/>
        <v>0</v>
      </c>
      <c r="CW30" s="210">
        <f t="shared" si="25"/>
        <v>0</v>
      </c>
      <c r="CX30" s="210">
        <f t="shared" si="25"/>
        <v>0</v>
      </c>
      <c r="CY30" s="210">
        <f t="shared" si="25"/>
        <v>0</v>
      </c>
      <c r="CZ30" s="210">
        <f t="shared" si="25"/>
        <v>0</v>
      </c>
      <c r="DA30" s="210">
        <f t="shared" si="25"/>
        <v>0</v>
      </c>
    </row>
    <row r="31" spans="1:105">
      <c r="A31" s="201" t="str">
        <f>Income!A78</f>
        <v>Labour - casual</v>
      </c>
      <c r="B31" s="203">
        <f>Income!B78</f>
        <v>8001.6947213180993</v>
      </c>
      <c r="C31" s="203">
        <f>Income!C78</f>
        <v>14295.536306671656</v>
      </c>
      <c r="D31" s="203">
        <f>Income!D78</f>
        <v>0</v>
      </c>
      <c r="E31" s="203">
        <f>Income!E78</f>
        <v>0</v>
      </c>
      <c r="F31" s="210">
        <f t="shared" si="16"/>
        <v>8001.6947213180993</v>
      </c>
      <c r="G31" s="210">
        <f t="shared" si="16"/>
        <v>8001.6947213180993</v>
      </c>
      <c r="H31" s="210">
        <f t="shared" si="16"/>
        <v>8001.6947213180993</v>
      </c>
      <c r="I31" s="210">
        <f t="shared" si="16"/>
        <v>8001.6947213180993</v>
      </c>
      <c r="J31" s="210">
        <f t="shared" si="16"/>
        <v>8001.6947213180993</v>
      </c>
      <c r="K31" s="210">
        <f t="shared" si="16"/>
        <v>8001.6947213180993</v>
      </c>
      <c r="L31" s="210">
        <f t="shared" si="16"/>
        <v>8001.6947213180993</v>
      </c>
      <c r="M31" s="210">
        <f t="shared" si="16"/>
        <v>8001.6947213180993</v>
      </c>
      <c r="N31" s="210">
        <f t="shared" si="16"/>
        <v>8001.6947213180993</v>
      </c>
      <c r="O31" s="210">
        <f t="shared" si="16"/>
        <v>8001.6947213180993</v>
      </c>
      <c r="P31" s="210">
        <f t="shared" si="17"/>
        <v>8001.6947213180993</v>
      </c>
      <c r="Q31" s="210">
        <f t="shared" si="17"/>
        <v>8001.6947213180993</v>
      </c>
      <c r="R31" s="210">
        <f t="shared" si="17"/>
        <v>8001.6947213180993</v>
      </c>
      <c r="S31" s="210">
        <f t="shared" si="17"/>
        <v>8001.6947213180993</v>
      </c>
      <c r="T31" s="210">
        <f t="shared" si="17"/>
        <v>8001.6947213180993</v>
      </c>
      <c r="U31" s="210">
        <f t="shared" si="17"/>
        <v>8001.6947213180993</v>
      </c>
      <c r="V31" s="210">
        <f t="shared" si="17"/>
        <v>8001.6947213180993</v>
      </c>
      <c r="W31" s="210">
        <f t="shared" si="17"/>
        <v>8001.6947213180993</v>
      </c>
      <c r="X31" s="210">
        <f t="shared" si="17"/>
        <v>8001.6947213180993</v>
      </c>
      <c r="Y31" s="210">
        <f t="shared" si="17"/>
        <v>8151.5480923979467</v>
      </c>
      <c r="Z31" s="210">
        <f t="shared" si="18"/>
        <v>8331.3721376937629</v>
      </c>
      <c r="AA31" s="210">
        <f t="shared" si="18"/>
        <v>8511.1961829895772</v>
      </c>
      <c r="AB31" s="210">
        <f t="shared" si="18"/>
        <v>8691.0202282853934</v>
      </c>
      <c r="AC31" s="210">
        <f t="shared" si="18"/>
        <v>8870.8442735812096</v>
      </c>
      <c r="AD31" s="210">
        <f t="shared" si="18"/>
        <v>9050.6683188770257</v>
      </c>
      <c r="AE31" s="210">
        <f t="shared" si="18"/>
        <v>9230.4923641728419</v>
      </c>
      <c r="AF31" s="210">
        <f t="shared" si="18"/>
        <v>9410.3164094686581</v>
      </c>
      <c r="AG31" s="210">
        <f t="shared" si="18"/>
        <v>9590.1404547644743</v>
      </c>
      <c r="AH31" s="210">
        <f t="shared" si="18"/>
        <v>9769.9645000602904</v>
      </c>
      <c r="AI31" s="210">
        <f t="shared" si="18"/>
        <v>9949.7885453561066</v>
      </c>
      <c r="AJ31" s="210">
        <f t="shared" si="19"/>
        <v>10129.612590651921</v>
      </c>
      <c r="AK31" s="210">
        <f t="shared" si="19"/>
        <v>10309.436635947737</v>
      </c>
      <c r="AL31" s="210">
        <f t="shared" si="19"/>
        <v>10489.260681243553</v>
      </c>
      <c r="AM31" s="210">
        <f t="shared" si="19"/>
        <v>10669.08472653937</v>
      </c>
      <c r="AN31" s="210">
        <f t="shared" si="19"/>
        <v>10848.908771835184</v>
      </c>
      <c r="AO31" s="210">
        <f t="shared" si="19"/>
        <v>11028.732817131</v>
      </c>
      <c r="AP31" s="210">
        <f t="shared" si="19"/>
        <v>11208.556862426816</v>
      </c>
      <c r="AQ31" s="210">
        <f t="shared" si="19"/>
        <v>11388.380907722632</v>
      </c>
      <c r="AR31" s="210">
        <f t="shared" si="19"/>
        <v>11568.204953018449</v>
      </c>
      <c r="AS31" s="210">
        <f t="shared" si="19"/>
        <v>11748.028998314265</v>
      </c>
      <c r="AT31" s="210">
        <f t="shared" si="20"/>
        <v>11927.853043610081</v>
      </c>
      <c r="AU31" s="210">
        <f t="shared" si="20"/>
        <v>12107.677088905897</v>
      </c>
      <c r="AV31" s="210">
        <f t="shared" si="20"/>
        <v>12287.501134201713</v>
      </c>
      <c r="AW31" s="210">
        <f t="shared" si="20"/>
        <v>12467.325179497529</v>
      </c>
      <c r="AX31" s="210">
        <f t="shared" si="20"/>
        <v>12647.149224793346</v>
      </c>
      <c r="AY31" s="210">
        <f t="shared" si="20"/>
        <v>12826.97327008916</v>
      </c>
      <c r="AZ31" s="210">
        <f t="shared" si="20"/>
        <v>13006.797315384976</v>
      </c>
      <c r="BA31" s="210">
        <f t="shared" si="20"/>
        <v>13186.621360680791</v>
      </c>
      <c r="BB31" s="210">
        <f t="shared" si="20"/>
        <v>13366.445405976607</v>
      </c>
      <c r="BC31" s="210">
        <f t="shared" si="20"/>
        <v>13546.269451272423</v>
      </c>
      <c r="BD31" s="210">
        <f t="shared" si="21"/>
        <v>13726.093496568239</v>
      </c>
      <c r="BE31" s="210">
        <f t="shared" si="21"/>
        <v>13905.917541864055</v>
      </c>
      <c r="BF31" s="210">
        <f t="shared" si="21"/>
        <v>14085.741587159871</v>
      </c>
      <c r="BG31" s="210">
        <f t="shared" si="21"/>
        <v>14265.565632455688</v>
      </c>
      <c r="BH31" s="210">
        <f t="shared" si="21"/>
        <v>13854.3160502929</v>
      </c>
      <c r="BI31" s="210">
        <f t="shared" si="21"/>
        <v>13324.851742638395</v>
      </c>
      <c r="BJ31" s="210">
        <f t="shared" si="21"/>
        <v>12795.387434983888</v>
      </c>
      <c r="BK31" s="210">
        <f t="shared" si="21"/>
        <v>12265.923127329383</v>
      </c>
      <c r="BL31" s="210">
        <f t="shared" si="21"/>
        <v>11736.458819674877</v>
      </c>
      <c r="BM31" s="210">
        <f t="shared" si="21"/>
        <v>11206.99451202037</v>
      </c>
      <c r="BN31" s="210">
        <f t="shared" si="22"/>
        <v>10677.530204365865</v>
      </c>
      <c r="BO31" s="210">
        <f t="shared" si="22"/>
        <v>10148.06589671136</v>
      </c>
      <c r="BP31" s="210">
        <f t="shared" si="22"/>
        <v>9618.6015890568524</v>
      </c>
      <c r="BQ31" s="210">
        <f t="shared" si="22"/>
        <v>9089.1372814023453</v>
      </c>
      <c r="BR31" s="210">
        <f t="shared" si="22"/>
        <v>8559.6729737478418</v>
      </c>
      <c r="BS31" s="210">
        <f t="shared" si="22"/>
        <v>8030.2086660933346</v>
      </c>
      <c r="BT31" s="210">
        <f t="shared" si="22"/>
        <v>7500.7443584388293</v>
      </c>
      <c r="BU31" s="210">
        <f t="shared" si="22"/>
        <v>6971.2800507843231</v>
      </c>
      <c r="BV31" s="210">
        <f t="shared" si="22"/>
        <v>6441.8157431298177</v>
      </c>
      <c r="BW31" s="210">
        <f t="shared" si="22"/>
        <v>5912.3514354753115</v>
      </c>
      <c r="BX31" s="210">
        <f t="shared" si="23"/>
        <v>5382.8871278208062</v>
      </c>
      <c r="BY31" s="210">
        <f t="shared" si="23"/>
        <v>4853.4228201662991</v>
      </c>
      <c r="BZ31" s="210">
        <f t="shared" si="23"/>
        <v>4323.9585125117937</v>
      </c>
      <c r="CA31" s="210">
        <f t="shared" si="23"/>
        <v>3794.4942048572866</v>
      </c>
      <c r="CB31" s="210">
        <f t="shared" si="23"/>
        <v>3265.0298972027831</v>
      </c>
      <c r="CC31" s="210">
        <f t="shared" si="23"/>
        <v>2735.565589548276</v>
      </c>
      <c r="CD31" s="210">
        <f t="shared" si="23"/>
        <v>2206.1012818937688</v>
      </c>
      <c r="CE31" s="210">
        <f t="shared" si="23"/>
        <v>1676.6369742392635</v>
      </c>
      <c r="CF31" s="210">
        <f t="shared" si="23"/>
        <v>1147.1726665847564</v>
      </c>
      <c r="CG31" s="210">
        <f t="shared" si="23"/>
        <v>617.70835893025287</v>
      </c>
      <c r="CH31" s="210">
        <f t="shared" si="24"/>
        <v>88.244051275745733</v>
      </c>
      <c r="CI31" s="210">
        <f t="shared" si="24"/>
        <v>0</v>
      </c>
      <c r="CJ31" s="210">
        <f t="shared" si="24"/>
        <v>0</v>
      </c>
      <c r="CK31" s="210">
        <f t="shared" si="24"/>
        <v>0</v>
      </c>
      <c r="CL31" s="210">
        <f t="shared" si="24"/>
        <v>0</v>
      </c>
      <c r="CM31" s="210">
        <f t="shared" si="24"/>
        <v>0</v>
      </c>
      <c r="CN31" s="210">
        <f t="shared" si="24"/>
        <v>0</v>
      </c>
      <c r="CO31" s="210">
        <f t="shared" si="24"/>
        <v>0</v>
      </c>
      <c r="CP31" s="210">
        <f t="shared" si="24"/>
        <v>0</v>
      </c>
      <c r="CQ31" s="210">
        <f t="shared" si="24"/>
        <v>0</v>
      </c>
      <c r="CR31" s="210">
        <f t="shared" si="25"/>
        <v>0</v>
      </c>
      <c r="CS31" s="210">
        <f t="shared" si="25"/>
        <v>0</v>
      </c>
      <c r="CT31" s="210">
        <f t="shared" si="25"/>
        <v>0</v>
      </c>
      <c r="CU31" s="210">
        <f t="shared" si="25"/>
        <v>0</v>
      </c>
      <c r="CV31" s="210">
        <f t="shared" si="25"/>
        <v>0</v>
      </c>
      <c r="CW31" s="210">
        <f t="shared" si="25"/>
        <v>0</v>
      </c>
      <c r="CX31" s="210">
        <f t="shared" si="25"/>
        <v>0</v>
      </c>
      <c r="CY31" s="210">
        <f t="shared" si="25"/>
        <v>0</v>
      </c>
      <c r="CZ31" s="210">
        <f t="shared" si="25"/>
        <v>0</v>
      </c>
      <c r="DA31" s="210">
        <f t="shared" si="25"/>
        <v>0</v>
      </c>
    </row>
    <row r="32" spans="1:105">
      <c r="A32" s="201" t="str">
        <f>Income!A79</f>
        <v>Labour - formal emp</v>
      </c>
      <c r="B32" s="203">
        <f>Income!B79</f>
        <v>0</v>
      </c>
      <c r="C32" s="203">
        <f>Income!C79</f>
        <v>12958.361287557693</v>
      </c>
      <c r="D32" s="203">
        <f>Income!D79</f>
        <v>44596.9576779583</v>
      </c>
      <c r="E32" s="203">
        <f>Income!E79</f>
        <v>212045.91197821681</v>
      </c>
      <c r="F32" s="210">
        <f t="shared" si="16"/>
        <v>0</v>
      </c>
      <c r="G32" s="210">
        <f t="shared" si="16"/>
        <v>0</v>
      </c>
      <c r="H32" s="210">
        <f t="shared" si="16"/>
        <v>0</v>
      </c>
      <c r="I32" s="210">
        <f t="shared" si="16"/>
        <v>0</v>
      </c>
      <c r="J32" s="210">
        <f t="shared" si="16"/>
        <v>0</v>
      </c>
      <c r="K32" s="210">
        <f t="shared" si="16"/>
        <v>0</v>
      </c>
      <c r="L32" s="210">
        <f t="shared" si="16"/>
        <v>0</v>
      </c>
      <c r="M32" s="210">
        <f t="shared" si="16"/>
        <v>0</v>
      </c>
      <c r="N32" s="210">
        <f t="shared" si="16"/>
        <v>0</v>
      </c>
      <c r="O32" s="210">
        <f t="shared" si="16"/>
        <v>0</v>
      </c>
      <c r="P32" s="210">
        <f t="shared" si="17"/>
        <v>0</v>
      </c>
      <c r="Q32" s="210">
        <f t="shared" si="17"/>
        <v>0</v>
      </c>
      <c r="R32" s="210">
        <f t="shared" si="17"/>
        <v>0</v>
      </c>
      <c r="S32" s="210">
        <f t="shared" si="17"/>
        <v>0</v>
      </c>
      <c r="T32" s="210">
        <f t="shared" si="17"/>
        <v>0</v>
      </c>
      <c r="U32" s="210">
        <f t="shared" si="17"/>
        <v>0</v>
      </c>
      <c r="V32" s="210">
        <f t="shared" si="17"/>
        <v>0</v>
      </c>
      <c r="W32" s="210">
        <f t="shared" si="17"/>
        <v>0</v>
      </c>
      <c r="X32" s="210">
        <f t="shared" si="17"/>
        <v>0</v>
      </c>
      <c r="Y32" s="210">
        <f t="shared" si="17"/>
        <v>308.53241160851735</v>
      </c>
      <c r="Z32" s="210">
        <f t="shared" si="18"/>
        <v>678.77130553873724</v>
      </c>
      <c r="AA32" s="210">
        <f t="shared" si="18"/>
        <v>1049.0101994689571</v>
      </c>
      <c r="AB32" s="210">
        <f t="shared" si="18"/>
        <v>1419.2490933991767</v>
      </c>
      <c r="AC32" s="210">
        <f t="shared" si="18"/>
        <v>1789.4879873293964</v>
      </c>
      <c r="AD32" s="210">
        <f t="shared" si="18"/>
        <v>2159.7268812596162</v>
      </c>
      <c r="AE32" s="210">
        <f t="shared" si="18"/>
        <v>2529.9657751898362</v>
      </c>
      <c r="AF32" s="210">
        <f t="shared" si="18"/>
        <v>2900.2046691200558</v>
      </c>
      <c r="AG32" s="210">
        <f t="shared" si="18"/>
        <v>3270.4435630502758</v>
      </c>
      <c r="AH32" s="210">
        <f t="shared" si="18"/>
        <v>3640.6824569804958</v>
      </c>
      <c r="AI32" s="210">
        <f t="shared" si="18"/>
        <v>4010.9213509107149</v>
      </c>
      <c r="AJ32" s="210">
        <f t="shared" si="19"/>
        <v>4381.1602448409349</v>
      </c>
      <c r="AK32" s="210">
        <f t="shared" si="19"/>
        <v>4751.3991387711549</v>
      </c>
      <c r="AL32" s="210">
        <f t="shared" si="19"/>
        <v>5121.6380327013749</v>
      </c>
      <c r="AM32" s="210">
        <f t="shared" si="19"/>
        <v>5491.876926631594</v>
      </c>
      <c r="AN32" s="210">
        <f t="shared" si="19"/>
        <v>5862.115820561814</v>
      </c>
      <c r="AO32" s="210">
        <f t="shared" si="19"/>
        <v>6232.354714492034</v>
      </c>
      <c r="AP32" s="210">
        <f t="shared" si="19"/>
        <v>6602.593608422254</v>
      </c>
      <c r="AQ32" s="210">
        <f t="shared" si="19"/>
        <v>6972.832502352474</v>
      </c>
      <c r="AR32" s="210">
        <f t="shared" si="19"/>
        <v>7343.071396282694</v>
      </c>
      <c r="AS32" s="210">
        <f t="shared" si="19"/>
        <v>7713.3102902129131</v>
      </c>
      <c r="AT32" s="210">
        <f t="shared" si="20"/>
        <v>8083.5491841431322</v>
      </c>
      <c r="AU32" s="210">
        <f t="shared" si="20"/>
        <v>8453.7880780733522</v>
      </c>
      <c r="AV32" s="210">
        <f t="shared" si="20"/>
        <v>8824.0269720035722</v>
      </c>
      <c r="AW32" s="210">
        <f t="shared" si="20"/>
        <v>9194.2658659337922</v>
      </c>
      <c r="AX32" s="210">
        <f t="shared" si="20"/>
        <v>9564.5047598640122</v>
      </c>
      <c r="AY32" s="210">
        <f t="shared" si="20"/>
        <v>9934.7436537942322</v>
      </c>
      <c r="AZ32" s="210">
        <f t="shared" si="20"/>
        <v>10304.982547724452</v>
      </c>
      <c r="BA32" s="210">
        <f t="shared" si="20"/>
        <v>10675.221441654672</v>
      </c>
      <c r="BB32" s="210">
        <f t="shared" si="20"/>
        <v>11045.46033558489</v>
      </c>
      <c r="BC32" s="210">
        <f t="shared" si="20"/>
        <v>11415.69922951511</v>
      </c>
      <c r="BD32" s="210">
        <f t="shared" si="21"/>
        <v>11785.93812344533</v>
      </c>
      <c r="BE32" s="210">
        <f t="shared" si="21"/>
        <v>12156.17701737555</v>
      </c>
      <c r="BF32" s="210">
        <f t="shared" si="21"/>
        <v>12526.41591130577</v>
      </c>
      <c r="BG32" s="210">
        <f t="shared" si="21"/>
        <v>12896.65480523599</v>
      </c>
      <c r="BH32" s="210">
        <f t="shared" si="21"/>
        <v>13934.861176150307</v>
      </c>
      <c r="BI32" s="210">
        <f t="shared" si="21"/>
        <v>15106.661042461441</v>
      </c>
      <c r="BJ32" s="210">
        <f t="shared" si="21"/>
        <v>16278.460908772575</v>
      </c>
      <c r="BK32" s="210">
        <f t="shared" si="21"/>
        <v>17450.260775083709</v>
      </c>
      <c r="BL32" s="210">
        <f t="shared" si="21"/>
        <v>18622.060641394841</v>
      </c>
      <c r="BM32" s="210">
        <f t="shared" si="21"/>
        <v>19793.860507705976</v>
      </c>
      <c r="BN32" s="210">
        <f t="shared" si="22"/>
        <v>20965.660374017112</v>
      </c>
      <c r="BO32" s="210">
        <f t="shared" si="22"/>
        <v>22137.460240328244</v>
      </c>
      <c r="BP32" s="210">
        <f t="shared" si="22"/>
        <v>23309.260106639376</v>
      </c>
      <c r="BQ32" s="210">
        <f t="shared" si="22"/>
        <v>24481.059972950512</v>
      </c>
      <c r="BR32" s="210">
        <f t="shared" si="22"/>
        <v>25652.859839261644</v>
      </c>
      <c r="BS32" s="210">
        <f t="shared" si="22"/>
        <v>26824.659705572776</v>
      </c>
      <c r="BT32" s="210">
        <f t="shared" si="22"/>
        <v>27996.459571883912</v>
      </c>
      <c r="BU32" s="210">
        <f t="shared" si="22"/>
        <v>29168.259438195048</v>
      </c>
      <c r="BV32" s="210">
        <f t="shared" si="22"/>
        <v>30340.059304506183</v>
      </c>
      <c r="BW32" s="210">
        <f t="shared" si="22"/>
        <v>31511.859170817312</v>
      </c>
      <c r="BX32" s="210">
        <f t="shared" si="23"/>
        <v>32683.659037128447</v>
      </c>
      <c r="BY32" s="210">
        <f t="shared" si="23"/>
        <v>33855.458903439583</v>
      </c>
      <c r="BZ32" s="210">
        <f t="shared" si="23"/>
        <v>35027.258769750719</v>
      </c>
      <c r="CA32" s="210">
        <f t="shared" si="23"/>
        <v>36199.058636061847</v>
      </c>
      <c r="CB32" s="210">
        <f t="shared" si="23"/>
        <v>37370.858502372983</v>
      </c>
      <c r="CC32" s="210">
        <f t="shared" si="23"/>
        <v>38542.658368684119</v>
      </c>
      <c r="CD32" s="210">
        <f t="shared" si="23"/>
        <v>39714.458234995254</v>
      </c>
      <c r="CE32" s="210">
        <f t="shared" si="23"/>
        <v>40886.258101306383</v>
      </c>
      <c r="CF32" s="210">
        <f t="shared" si="23"/>
        <v>42058.057967617518</v>
      </c>
      <c r="CG32" s="210">
        <f t="shared" si="23"/>
        <v>43229.857833928654</v>
      </c>
      <c r="CH32" s="210">
        <f t="shared" si="24"/>
        <v>44401.65770023979</v>
      </c>
      <c r="CI32" s="210">
        <f t="shared" si="24"/>
        <v>53899.677361306101</v>
      </c>
      <c r="CJ32" s="210">
        <f t="shared" si="24"/>
        <v>65062.940981323336</v>
      </c>
      <c r="CK32" s="210">
        <f t="shared" si="24"/>
        <v>76226.204601340578</v>
      </c>
      <c r="CL32" s="210">
        <f t="shared" si="24"/>
        <v>87389.468221357805</v>
      </c>
      <c r="CM32" s="210">
        <f t="shared" si="24"/>
        <v>98552.731841375033</v>
      </c>
      <c r="CN32" s="210">
        <f t="shared" si="24"/>
        <v>109715.99546139227</v>
      </c>
      <c r="CO32" s="210">
        <f t="shared" si="24"/>
        <v>120879.2590814095</v>
      </c>
      <c r="CP32" s="210">
        <f t="shared" si="24"/>
        <v>132042.52270142673</v>
      </c>
      <c r="CQ32" s="210">
        <f t="shared" si="24"/>
        <v>143205.78632144397</v>
      </c>
      <c r="CR32" s="210">
        <f t="shared" si="25"/>
        <v>154369.04994146121</v>
      </c>
      <c r="CS32" s="210">
        <f t="shared" si="25"/>
        <v>165532.31356147846</v>
      </c>
      <c r="CT32" s="210">
        <f t="shared" si="25"/>
        <v>176695.57718149567</v>
      </c>
      <c r="CU32" s="210">
        <f t="shared" si="25"/>
        <v>187858.84080151291</v>
      </c>
      <c r="CV32" s="210">
        <f t="shared" si="25"/>
        <v>199022.10442153015</v>
      </c>
      <c r="CW32" s="210">
        <f t="shared" si="25"/>
        <v>210185.36804154736</v>
      </c>
      <c r="CX32" s="210">
        <f t="shared" si="25"/>
        <v>212045.91197821681</v>
      </c>
      <c r="CY32" s="210">
        <f t="shared" si="25"/>
        <v>212045.91197821681</v>
      </c>
      <c r="CZ32" s="210">
        <f t="shared" si="25"/>
        <v>212045.91197821681</v>
      </c>
      <c r="DA32" s="210">
        <f t="shared" si="25"/>
        <v>212045.91197821681</v>
      </c>
    </row>
    <row r="33" spans="1:105">
      <c r="A33" s="201" t="str">
        <f>Income!A81</f>
        <v>Self - employment</v>
      </c>
      <c r="B33" s="203">
        <f>Income!B81</f>
        <v>1125.0213663288723</v>
      </c>
      <c r="C33" s="203">
        <f>Income!C81</f>
        <v>6238.6656047294809</v>
      </c>
      <c r="D33" s="203">
        <f>Income!D81</f>
        <v>673.16162532767248</v>
      </c>
      <c r="E33" s="203">
        <f>Income!E81</f>
        <v>0</v>
      </c>
      <c r="F33" s="210">
        <f t="shared" si="16"/>
        <v>1125.0213663288723</v>
      </c>
      <c r="G33" s="210">
        <f t="shared" si="16"/>
        <v>1125.0213663288723</v>
      </c>
      <c r="H33" s="210">
        <f t="shared" si="16"/>
        <v>1125.0213663288723</v>
      </c>
      <c r="I33" s="210">
        <f t="shared" si="16"/>
        <v>1125.0213663288723</v>
      </c>
      <c r="J33" s="210">
        <f t="shared" si="16"/>
        <v>1125.0213663288723</v>
      </c>
      <c r="K33" s="210">
        <f t="shared" si="16"/>
        <v>1125.0213663288723</v>
      </c>
      <c r="L33" s="210">
        <f t="shared" si="16"/>
        <v>1125.0213663288723</v>
      </c>
      <c r="M33" s="210">
        <f t="shared" si="16"/>
        <v>1125.0213663288723</v>
      </c>
      <c r="N33" s="210">
        <f t="shared" si="16"/>
        <v>1125.0213663288723</v>
      </c>
      <c r="O33" s="210">
        <f t="shared" si="16"/>
        <v>1125.0213663288723</v>
      </c>
      <c r="P33" s="210">
        <f t="shared" si="17"/>
        <v>1125.0213663288723</v>
      </c>
      <c r="Q33" s="210">
        <f t="shared" si="17"/>
        <v>1125.0213663288723</v>
      </c>
      <c r="R33" s="210">
        <f t="shared" si="17"/>
        <v>1125.0213663288723</v>
      </c>
      <c r="S33" s="210">
        <f t="shared" si="17"/>
        <v>1125.0213663288723</v>
      </c>
      <c r="T33" s="210">
        <f t="shared" si="17"/>
        <v>1125.0213663288723</v>
      </c>
      <c r="U33" s="210">
        <f t="shared" si="17"/>
        <v>1125.0213663288723</v>
      </c>
      <c r="V33" s="210">
        <f t="shared" si="17"/>
        <v>1125.0213663288723</v>
      </c>
      <c r="W33" s="210">
        <f t="shared" si="17"/>
        <v>1125.0213663288723</v>
      </c>
      <c r="X33" s="210">
        <f t="shared" si="17"/>
        <v>1125.0213663288723</v>
      </c>
      <c r="Y33" s="210">
        <f t="shared" si="17"/>
        <v>1246.7748005765061</v>
      </c>
      <c r="Z33" s="210">
        <f t="shared" si="18"/>
        <v>1392.8789216736664</v>
      </c>
      <c r="AA33" s="210">
        <f t="shared" si="18"/>
        <v>1538.9830427708266</v>
      </c>
      <c r="AB33" s="210">
        <f t="shared" si="18"/>
        <v>1685.0871638679869</v>
      </c>
      <c r="AC33" s="210">
        <f t="shared" si="18"/>
        <v>1831.1912849651471</v>
      </c>
      <c r="AD33" s="210">
        <f t="shared" si="18"/>
        <v>1977.2954060623074</v>
      </c>
      <c r="AE33" s="210">
        <f t="shared" si="18"/>
        <v>2123.3995271594677</v>
      </c>
      <c r="AF33" s="210">
        <f t="shared" si="18"/>
        <v>2269.5036482566279</v>
      </c>
      <c r="AG33" s="210">
        <f t="shared" si="18"/>
        <v>2415.6077693537882</v>
      </c>
      <c r="AH33" s="210">
        <f t="shared" si="18"/>
        <v>2561.7118904509484</v>
      </c>
      <c r="AI33" s="210">
        <f t="shared" si="18"/>
        <v>2707.8160115481087</v>
      </c>
      <c r="AJ33" s="210">
        <f t="shared" si="19"/>
        <v>2853.920132645269</v>
      </c>
      <c r="AK33" s="210">
        <f t="shared" si="19"/>
        <v>3000.0242537424292</v>
      </c>
      <c r="AL33" s="210">
        <f t="shared" si="19"/>
        <v>3146.128374839589</v>
      </c>
      <c r="AM33" s="210">
        <f t="shared" si="19"/>
        <v>3292.2324959367497</v>
      </c>
      <c r="AN33" s="210">
        <f t="shared" si="19"/>
        <v>3438.33661703391</v>
      </c>
      <c r="AO33" s="210">
        <f t="shared" si="19"/>
        <v>3584.4407381310698</v>
      </c>
      <c r="AP33" s="210">
        <f t="shared" si="19"/>
        <v>3730.5448592282301</v>
      </c>
      <c r="AQ33" s="210">
        <f t="shared" si="19"/>
        <v>3876.6489803253908</v>
      </c>
      <c r="AR33" s="210">
        <f t="shared" si="19"/>
        <v>4022.753101422551</v>
      </c>
      <c r="AS33" s="210">
        <f t="shared" si="19"/>
        <v>4168.8572225197113</v>
      </c>
      <c r="AT33" s="210">
        <f t="shared" si="20"/>
        <v>4314.9613436168711</v>
      </c>
      <c r="AU33" s="210">
        <f t="shared" si="20"/>
        <v>4461.0654647140318</v>
      </c>
      <c r="AV33" s="210">
        <f t="shared" si="20"/>
        <v>4607.1695858111925</v>
      </c>
      <c r="AW33" s="210">
        <f t="shared" si="20"/>
        <v>4753.2737069083523</v>
      </c>
      <c r="AX33" s="210">
        <f t="shared" si="20"/>
        <v>4899.3778280055121</v>
      </c>
      <c r="AY33" s="210">
        <f t="shared" si="20"/>
        <v>5045.4819491026728</v>
      </c>
      <c r="AZ33" s="210">
        <f t="shared" si="20"/>
        <v>5191.5860701998326</v>
      </c>
      <c r="BA33" s="210">
        <f t="shared" si="20"/>
        <v>5337.6901912969934</v>
      </c>
      <c r="BB33" s="210">
        <f t="shared" si="20"/>
        <v>5483.7943123941532</v>
      </c>
      <c r="BC33" s="210">
        <f t="shared" si="20"/>
        <v>5629.8984334913139</v>
      </c>
      <c r="BD33" s="210">
        <f t="shared" si="21"/>
        <v>5776.0025545884737</v>
      </c>
      <c r="BE33" s="210">
        <f t="shared" si="21"/>
        <v>5922.1066756856344</v>
      </c>
      <c r="BF33" s="210">
        <f t="shared" si="21"/>
        <v>6068.2107967827942</v>
      </c>
      <c r="BG33" s="210">
        <f t="shared" si="21"/>
        <v>6214.3149178799549</v>
      </c>
      <c r="BH33" s="210">
        <f t="shared" si="21"/>
        <v>6066.890790550412</v>
      </c>
      <c r="BI33" s="210">
        <f t="shared" si="21"/>
        <v>5860.7610135355308</v>
      </c>
      <c r="BJ33" s="210">
        <f t="shared" si="21"/>
        <v>5654.6312365206486</v>
      </c>
      <c r="BK33" s="210">
        <f t="shared" si="21"/>
        <v>5448.5014595057664</v>
      </c>
      <c r="BL33" s="210">
        <f t="shared" si="21"/>
        <v>5242.3716824908852</v>
      </c>
      <c r="BM33" s="210">
        <f t="shared" si="21"/>
        <v>5036.241905476003</v>
      </c>
      <c r="BN33" s="210">
        <f t="shared" si="22"/>
        <v>4830.1121284611218</v>
      </c>
      <c r="BO33" s="210">
        <f t="shared" si="22"/>
        <v>4623.9823514462396</v>
      </c>
      <c r="BP33" s="210">
        <f t="shared" si="22"/>
        <v>4417.8525744313574</v>
      </c>
      <c r="BQ33" s="210">
        <f t="shared" si="22"/>
        <v>4211.7227974164762</v>
      </c>
      <c r="BR33" s="210">
        <f t="shared" si="22"/>
        <v>4005.593020401594</v>
      </c>
      <c r="BS33" s="210">
        <f t="shared" si="22"/>
        <v>3799.4632433867118</v>
      </c>
      <c r="BT33" s="210">
        <f t="shared" si="22"/>
        <v>3593.3334663718301</v>
      </c>
      <c r="BU33" s="210">
        <f t="shared" si="22"/>
        <v>3387.2036893569484</v>
      </c>
      <c r="BV33" s="210">
        <f t="shared" si="22"/>
        <v>3181.0739123420667</v>
      </c>
      <c r="BW33" s="210">
        <f t="shared" si="22"/>
        <v>2974.9441353271845</v>
      </c>
      <c r="BX33" s="210">
        <f t="shared" si="23"/>
        <v>2768.8143583123028</v>
      </c>
      <c r="BY33" s="210">
        <f t="shared" si="23"/>
        <v>2562.6845812974211</v>
      </c>
      <c r="BZ33" s="210">
        <f t="shared" si="23"/>
        <v>2356.554804282539</v>
      </c>
      <c r="CA33" s="210">
        <f t="shared" si="23"/>
        <v>2150.4250272676572</v>
      </c>
      <c r="CB33" s="210">
        <f t="shared" si="23"/>
        <v>1944.2952502527751</v>
      </c>
      <c r="CC33" s="210">
        <f t="shared" si="23"/>
        <v>1738.1654732378938</v>
      </c>
      <c r="CD33" s="210">
        <f t="shared" si="23"/>
        <v>1532.0356962230117</v>
      </c>
      <c r="CE33" s="210">
        <f t="shared" si="23"/>
        <v>1325.9059192081295</v>
      </c>
      <c r="CF33" s="210">
        <f t="shared" si="23"/>
        <v>1119.7761421932473</v>
      </c>
      <c r="CG33" s="210">
        <f t="shared" si="23"/>
        <v>913.64636517836516</v>
      </c>
      <c r="CH33" s="210">
        <f t="shared" si="24"/>
        <v>707.5165881634839</v>
      </c>
      <c r="CI33" s="210">
        <f t="shared" si="24"/>
        <v>635.76375725391244</v>
      </c>
      <c r="CJ33" s="210">
        <f t="shared" si="24"/>
        <v>590.88631556540099</v>
      </c>
      <c r="CK33" s="210">
        <f t="shared" si="24"/>
        <v>546.00887387688954</v>
      </c>
      <c r="CL33" s="210">
        <f t="shared" si="24"/>
        <v>501.13143218837797</v>
      </c>
      <c r="CM33" s="210">
        <f t="shared" si="24"/>
        <v>456.25399049986652</v>
      </c>
      <c r="CN33" s="210">
        <f t="shared" si="24"/>
        <v>411.37654881135501</v>
      </c>
      <c r="CO33" s="210">
        <f t="shared" si="24"/>
        <v>366.49910712284344</v>
      </c>
      <c r="CP33" s="210">
        <f t="shared" si="24"/>
        <v>321.62166543433193</v>
      </c>
      <c r="CQ33" s="210">
        <f t="shared" si="24"/>
        <v>276.74422374582048</v>
      </c>
      <c r="CR33" s="210">
        <f t="shared" si="25"/>
        <v>231.86678205730897</v>
      </c>
      <c r="CS33" s="210">
        <f t="shared" si="25"/>
        <v>186.98934036879746</v>
      </c>
      <c r="CT33" s="210">
        <f t="shared" si="25"/>
        <v>142.111898680286</v>
      </c>
      <c r="CU33" s="210">
        <f t="shared" si="25"/>
        <v>97.234456991774437</v>
      </c>
      <c r="CV33" s="210">
        <f t="shared" si="25"/>
        <v>52.357015303262983</v>
      </c>
      <c r="CW33" s="210">
        <f t="shared" si="25"/>
        <v>7.4795736147514162</v>
      </c>
      <c r="CX33" s="210">
        <f t="shared" si="25"/>
        <v>0</v>
      </c>
      <c r="CY33" s="210">
        <f t="shared" si="25"/>
        <v>0</v>
      </c>
      <c r="CZ33" s="210">
        <f t="shared" si="25"/>
        <v>0</v>
      </c>
      <c r="DA33" s="210">
        <f t="shared" si="25"/>
        <v>0</v>
      </c>
    </row>
    <row r="34" spans="1:105">
      <c r="A34" s="201" t="str">
        <f>Income!A82</f>
        <v>Small business/petty trading</v>
      </c>
      <c r="B34" s="203">
        <f>Income!B82</f>
        <v>0</v>
      </c>
      <c r="C34" s="203">
        <f>Income!C82</f>
        <v>1413.639413188112</v>
      </c>
      <c r="D34" s="203">
        <f>Income!D82</f>
        <v>60360.159071047958</v>
      </c>
      <c r="E34" s="203">
        <f>Income!E82</f>
        <v>56619.624306310536</v>
      </c>
      <c r="F34" s="210">
        <f t="shared" si="16"/>
        <v>0</v>
      </c>
      <c r="G34" s="210">
        <f t="shared" si="16"/>
        <v>0</v>
      </c>
      <c r="H34" s="210">
        <f t="shared" si="16"/>
        <v>0</v>
      </c>
      <c r="I34" s="210">
        <f t="shared" si="16"/>
        <v>0</v>
      </c>
      <c r="J34" s="210">
        <f t="shared" si="16"/>
        <v>0</v>
      </c>
      <c r="K34" s="210">
        <f t="shared" si="16"/>
        <v>0</v>
      </c>
      <c r="L34" s="210">
        <f t="shared" si="16"/>
        <v>0</v>
      </c>
      <c r="M34" s="210">
        <f t="shared" si="16"/>
        <v>0</v>
      </c>
      <c r="N34" s="210">
        <f t="shared" si="16"/>
        <v>0</v>
      </c>
      <c r="O34" s="210">
        <f t="shared" si="16"/>
        <v>0</v>
      </c>
      <c r="P34" s="210">
        <f t="shared" si="17"/>
        <v>0</v>
      </c>
      <c r="Q34" s="210">
        <f t="shared" si="17"/>
        <v>0</v>
      </c>
      <c r="R34" s="210">
        <f t="shared" si="17"/>
        <v>0</v>
      </c>
      <c r="S34" s="210">
        <f t="shared" si="17"/>
        <v>0</v>
      </c>
      <c r="T34" s="210">
        <f t="shared" si="17"/>
        <v>0</v>
      </c>
      <c r="U34" s="210">
        <f t="shared" si="17"/>
        <v>0</v>
      </c>
      <c r="V34" s="210">
        <f t="shared" si="17"/>
        <v>0</v>
      </c>
      <c r="W34" s="210">
        <f t="shared" si="17"/>
        <v>0</v>
      </c>
      <c r="X34" s="210">
        <f t="shared" si="17"/>
        <v>0</v>
      </c>
      <c r="Y34" s="210">
        <f t="shared" si="17"/>
        <v>33.658081266383718</v>
      </c>
      <c r="Z34" s="210">
        <f t="shared" si="18"/>
        <v>74.047778786044063</v>
      </c>
      <c r="AA34" s="210">
        <f t="shared" si="18"/>
        <v>114.43747630570441</v>
      </c>
      <c r="AB34" s="210">
        <f t="shared" si="18"/>
        <v>154.82717382536475</v>
      </c>
      <c r="AC34" s="210">
        <f t="shared" si="18"/>
        <v>195.21687134502508</v>
      </c>
      <c r="AD34" s="210">
        <f t="shared" si="18"/>
        <v>235.60656886468541</v>
      </c>
      <c r="AE34" s="210">
        <f t="shared" si="18"/>
        <v>275.99626638434574</v>
      </c>
      <c r="AF34" s="210">
        <f t="shared" si="18"/>
        <v>316.38596390400613</v>
      </c>
      <c r="AG34" s="210">
        <f t="shared" si="18"/>
        <v>356.77566142366646</v>
      </c>
      <c r="AH34" s="210">
        <f t="shared" si="18"/>
        <v>397.16535894332679</v>
      </c>
      <c r="AI34" s="210">
        <f t="shared" si="18"/>
        <v>437.55505646298712</v>
      </c>
      <c r="AJ34" s="210">
        <f t="shared" si="19"/>
        <v>477.94475398264746</v>
      </c>
      <c r="AK34" s="210">
        <f t="shared" si="19"/>
        <v>518.33445150230784</v>
      </c>
      <c r="AL34" s="210">
        <f t="shared" si="19"/>
        <v>558.72414902196817</v>
      </c>
      <c r="AM34" s="210">
        <f t="shared" si="19"/>
        <v>599.1138465416285</v>
      </c>
      <c r="AN34" s="210">
        <f t="shared" si="19"/>
        <v>639.50354406128884</v>
      </c>
      <c r="AO34" s="210">
        <f t="shared" si="19"/>
        <v>679.89324158094917</v>
      </c>
      <c r="AP34" s="210">
        <f t="shared" si="19"/>
        <v>720.2829391006095</v>
      </c>
      <c r="AQ34" s="210">
        <f t="shared" si="19"/>
        <v>760.67263662026994</v>
      </c>
      <c r="AR34" s="210">
        <f t="shared" si="19"/>
        <v>801.06233413993016</v>
      </c>
      <c r="AS34" s="210">
        <f t="shared" si="19"/>
        <v>841.4520316595906</v>
      </c>
      <c r="AT34" s="210">
        <f t="shared" si="20"/>
        <v>881.84172917925093</v>
      </c>
      <c r="AU34" s="210">
        <f t="shared" si="20"/>
        <v>922.23142669891126</v>
      </c>
      <c r="AV34" s="210">
        <f t="shared" si="20"/>
        <v>962.62112421857159</v>
      </c>
      <c r="AW34" s="210">
        <f t="shared" si="20"/>
        <v>1003.0108217382319</v>
      </c>
      <c r="AX34" s="210">
        <f t="shared" si="20"/>
        <v>1043.4005192578925</v>
      </c>
      <c r="AY34" s="210">
        <f t="shared" si="20"/>
        <v>1083.7902167775526</v>
      </c>
      <c r="AZ34" s="210">
        <f t="shared" si="20"/>
        <v>1124.1799142972129</v>
      </c>
      <c r="BA34" s="210">
        <f t="shared" si="20"/>
        <v>1164.5696118168732</v>
      </c>
      <c r="BB34" s="210">
        <f t="shared" si="20"/>
        <v>1204.9593093365338</v>
      </c>
      <c r="BC34" s="210">
        <f t="shared" si="20"/>
        <v>1245.3490068561939</v>
      </c>
      <c r="BD34" s="210">
        <f t="shared" si="21"/>
        <v>1285.7387043758542</v>
      </c>
      <c r="BE34" s="210">
        <f t="shared" si="21"/>
        <v>1326.1284018955148</v>
      </c>
      <c r="BF34" s="210">
        <f t="shared" si="21"/>
        <v>1366.5180994151751</v>
      </c>
      <c r="BG34" s="210">
        <f t="shared" si="21"/>
        <v>1406.9077969348352</v>
      </c>
      <c r="BH34" s="210">
        <f t="shared" si="21"/>
        <v>3232.9764396652736</v>
      </c>
      <c r="BI34" s="210">
        <f t="shared" si="21"/>
        <v>5416.1808714378612</v>
      </c>
      <c r="BJ34" s="210">
        <f t="shared" si="21"/>
        <v>7599.3853032104489</v>
      </c>
      <c r="BK34" s="210">
        <f t="shared" si="21"/>
        <v>9782.5897349830357</v>
      </c>
      <c r="BL34" s="210">
        <f t="shared" si="21"/>
        <v>11965.794166755622</v>
      </c>
      <c r="BM34" s="210">
        <f t="shared" si="21"/>
        <v>14148.998598528211</v>
      </c>
      <c r="BN34" s="210">
        <f t="shared" si="22"/>
        <v>16332.203030300798</v>
      </c>
      <c r="BO34" s="210">
        <f t="shared" si="22"/>
        <v>18515.407462073388</v>
      </c>
      <c r="BP34" s="210">
        <f t="shared" si="22"/>
        <v>20698.611893845977</v>
      </c>
      <c r="BQ34" s="210">
        <f t="shared" si="22"/>
        <v>22881.816325618565</v>
      </c>
      <c r="BR34" s="210">
        <f t="shared" si="22"/>
        <v>25065.02075739115</v>
      </c>
      <c r="BS34" s="210">
        <f t="shared" si="22"/>
        <v>27248.225189163735</v>
      </c>
      <c r="BT34" s="210">
        <f t="shared" si="22"/>
        <v>29431.429620936327</v>
      </c>
      <c r="BU34" s="210">
        <f t="shared" si="22"/>
        <v>31614.634052708912</v>
      </c>
      <c r="BV34" s="210">
        <f t="shared" si="22"/>
        <v>33797.838484481501</v>
      </c>
      <c r="BW34" s="210">
        <f t="shared" si="22"/>
        <v>35981.042916254082</v>
      </c>
      <c r="BX34" s="210">
        <f t="shared" si="23"/>
        <v>38164.247348026671</v>
      </c>
      <c r="BY34" s="210">
        <f t="shared" si="23"/>
        <v>40347.451779799267</v>
      </c>
      <c r="BZ34" s="210">
        <f t="shared" si="23"/>
        <v>42530.656211571848</v>
      </c>
      <c r="CA34" s="210">
        <f t="shared" si="23"/>
        <v>44713.860643344437</v>
      </c>
      <c r="CB34" s="210">
        <f t="shared" si="23"/>
        <v>46897.065075117025</v>
      </c>
      <c r="CC34" s="210">
        <f t="shared" si="23"/>
        <v>49080.269506889606</v>
      </c>
      <c r="CD34" s="210">
        <f t="shared" si="23"/>
        <v>51263.473938662195</v>
      </c>
      <c r="CE34" s="210">
        <f t="shared" si="23"/>
        <v>53446.678370434784</v>
      </c>
      <c r="CF34" s="210">
        <f t="shared" si="23"/>
        <v>55629.882802207372</v>
      </c>
      <c r="CG34" s="210">
        <f t="shared" si="23"/>
        <v>57813.087233979961</v>
      </c>
      <c r="CH34" s="210">
        <f t="shared" si="24"/>
        <v>59996.291665752549</v>
      </c>
      <c r="CI34" s="210">
        <f t="shared" si="24"/>
        <v>60152.3515841181</v>
      </c>
      <c r="CJ34" s="210">
        <f t="shared" si="24"/>
        <v>59902.982599802272</v>
      </c>
      <c r="CK34" s="210">
        <f t="shared" si="24"/>
        <v>59653.613615486443</v>
      </c>
      <c r="CL34" s="210">
        <f t="shared" si="24"/>
        <v>59404.244631170615</v>
      </c>
      <c r="CM34" s="210">
        <f t="shared" si="24"/>
        <v>59154.875646854787</v>
      </c>
      <c r="CN34" s="210">
        <f t="shared" si="24"/>
        <v>58905.506662538959</v>
      </c>
      <c r="CO34" s="210">
        <f t="shared" si="24"/>
        <v>58656.137678223131</v>
      </c>
      <c r="CP34" s="210">
        <f t="shared" si="24"/>
        <v>58406.768693907303</v>
      </c>
      <c r="CQ34" s="210">
        <f t="shared" si="24"/>
        <v>58157.399709591475</v>
      </c>
      <c r="CR34" s="210">
        <f t="shared" si="25"/>
        <v>57908.030725275647</v>
      </c>
      <c r="CS34" s="210">
        <f t="shared" si="25"/>
        <v>57658.661740959818</v>
      </c>
      <c r="CT34" s="210">
        <f t="shared" si="25"/>
        <v>57409.29275664399</v>
      </c>
      <c r="CU34" s="210">
        <f t="shared" si="25"/>
        <v>57159.923772328162</v>
      </c>
      <c r="CV34" s="210">
        <f t="shared" si="25"/>
        <v>56910.554788012334</v>
      </c>
      <c r="CW34" s="210">
        <f t="shared" si="25"/>
        <v>56661.185803696506</v>
      </c>
      <c r="CX34" s="210">
        <f t="shared" si="25"/>
        <v>56619.624306310536</v>
      </c>
      <c r="CY34" s="210">
        <f t="shared" si="25"/>
        <v>56619.624306310536</v>
      </c>
      <c r="CZ34" s="210">
        <f t="shared" si="25"/>
        <v>56619.624306310536</v>
      </c>
      <c r="DA34" s="210">
        <f t="shared" si="25"/>
        <v>56619.624306310536</v>
      </c>
    </row>
    <row r="35" spans="1:105">
      <c r="A35" s="201" t="str">
        <f>Income!A83</f>
        <v>Food transfer - official</v>
      </c>
      <c r="B35" s="203">
        <f>Income!B83</f>
        <v>1674.9399602351389</v>
      </c>
      <c r="C35" s="203">
        <f>Income!C83</f>
        <v>1577.6493338294108</v>
      </c>
      <c r="D35" s="203">
        <f>Income!D83</f>
        <v>667.85464453449299</v>
      </c>
      <c r="E35" s="203">
        <f>Income!E83</f>
        <v>667.85464453449299</v>
      </c>
      <c r="F35" s="210">
        <f t="shared" si="16"/>
        <v>1674.9399602351389</v>
      </c>
      <c r="G35" s="210">
        <f t="shared" si="16"/>
        <v>1674.9399602351389</v>
      </c>
      <c r="H35" s="210">
        <f t="shared" si="16"/>
        <v>1674.9399602351389</v>
      </c>
      <c r="I35" s="210">
        <f t="shared" si="16"/>
        <v>1674.9399602351389</v>
      </c>
      <c r="J35" s="210">
        <f t="shared" si="16"/>
        <v>1674.9399602351389</v>
      </c>
      <c r="K35" s="210">
        <f t="shared" si="16"/>
        <v>1674.9399602351389</v>
      </c>
      <c r="L35" s="210">
        <f t="shared" si="16"/>
        <v>1674.9399602351389</v>
      </c>
      <c r="M35" s="210">
        <f t="shared" si="16"/>
        <v>1674.9399602351389</v>
      </c>
      <c r="N35" s="210">
        <f t="shared" si="16"/>
        <v>1674.9399602351389</v>
      </c>
      <c r="O35" s="210">
        <f t="shared" si="16"/>
        <v>1674.9399602351389</v>
      </c>
      <c r="P35" s="210">
        <f t="shared" si="17"/>
        <v>1674.9399602351389</v>
      </c>
      <c r="Q35" s="210">
        <f t="shared" si="17"/>
        <v>1674.9399602351389</v>
      </c>
      <c r="R35" s="210">
        <f t="shared" si="17"/>
        <v>1674.9399602351389</v>
      </c>
      <c r="S35" s="210">
        <f t="shared" si="17"/>
        <v>1674.9399602351389</v>
      </c>
      <c r="T35" s="210">
        <f t="shared" si="17"/>
        <v>1674.9399602351389</v>
      </c>
      <c r="U35" s="210">
        <f t="shared" si="17"/>
        <v>1674.9399602351389</v>
      </c>
      <c r="V35" s="210">
        <f t="shared" si="17"/>
        <v>1674.9399602351389</v>
      </c>
      <c r="W35" s="210">
        <f t="shared" si="17"/>
        <v>1674.9399602351389</v>
      </c>
      <c r="X35" s="210">
        <f t="shared" si="17"/>
        <v>1674.9399602351389</v>
      </c>
      <c r="Y35" s="210">
        <f t="shared" si="17"/>
        <v>1672.6235167492882</v>
      </c>
      <c r="Z35" s="210">
        <f t="shared" si="18"/>
        <v>1669.8437845662675</v>
      </c>
      <c r="AA35" s="210">
        <f t="shared" si="18"/>
        <v>1667.0640523832467</v>
      </c>
      <c r="AB35" s="210">
        <f t="shared" si="18"/>
        <v>1664.2843202002257</v>
      </c>
      <c r="AC35" s="210">
        <f t="shared" si="18"/>
        <v>1661.5045880172049</v>
      </c>
      <c r="AD35" s="210">
        <f t="shared" si="18"/>
        <v>1658.7248558341842</v>
      </c>
      <c r="AE35" s="210">
        <f t="shared" si="18"/>
        <v>1655.9451236511634</v>
      </c>
      <c r="AF35" s="210">
        <f t="shared" si="18"/>
        <v>1653.1653914681426</v>
      </c>
      <c r="AG35" s="210">
        <f t="shared" si="18"/>
        <v>1650.3856592851218</v>
      </c>
      <c r="AH35" s="210">
        <f t="shared" si="18"/>
        <v>1647.6059271021011</v>
      </c>
      <c r="AI35" s="210">
        <f t="shared" si="18"/>
        <v>1644.8261949190801</v>
      </c>
      <c r="AJ35" s="210">
        <f t="shared" si="19"/>
        <v>1642.0464627360593</v>
      </c>
      <c r="AK35" s="210">
        <f t="shared" si="19"/>
        <v>1639.2667305530385</v>
      </c>
      <c r="AL35" s="210">
        <f t="shared" si="19"/>
        <v>1636.4869983700178</v>
      </c>
      <c r="AM35" s="210">
        <f t="shared" si="19"/>
        <v>1633.707266186997</v>
      </c>
      <c r="AN35" s="210">
        <f t="shared" si="19"/>
        <v>1630.9275340039762</v>
      </c>
      <c r="AO35" s="210">
        <f t="shared" si="19"/>
        <v>1628.1478018209555</v>
      </c>
      <c r="AP35" s="210">
        <f t="shared" si="19"/>
        <v>1625.3680696379345</v>
      </c>
      <c r="AQ35" s="210">
        <f t="shared" si="19"/>
        <v>1622.5883374549137</v>
      </c>
      <c r="AR35" s="210">
        <f t="shared" si="19"/>
        <v>1619.8086052718929</v>
      </c>
      <c r="AS35" s="210">
        <f t="shared" si="19"/>
        <v>1617.0288730888722</v>
      </c>
      <c r="AT35" s="210">
        <f t="shared" si="20"/>
        <v>1614.2491409058514</v>
      </c>
      <c r="AU35" s="210">
        <f t="shared" si="20"/>
        <v>1611.4694087228306</v>
      </c>
      <c r="AV35" s="210">
        <f t="shared" si="20"/>
        <v>1608.6896765398099</v>
      </c>
      <c r="AW35" s="210">
        <f t="shared" si="20"/>
        <v>1605.9099443567889</v>
      </c>
      <c r="AX35" s="210">
        <f t="shared" si="20"/>
        <v>1603.1302121737681</v>
      </c>
      <c r="AY35" s="210">
        <f t="shared" si="20"/>
        <v>1600.3504799907473</v>
      </c>
      <c r="AZ35" s="210">
        <f t="shared" si="20"/>
        <v>1597.5707478077265</v>
      </c>
      <c r="BA35" s="210">
        <f t="shared" si="20"/>
        <v>1594.7910156247058</v>
      </c>
      <c r="BB35" s="210">
        <f t="shared" si="20"/>
        <v>1592.011283441685</v>
      </c>
      <c r="BC35" s="210">
        <f t="shared" si="20"/>
        <v>1589.2315512586642</v>
      </c>
      <c r="BD35" s="210">
        <f t="shared" si="21"/>
        <v>1586.4518190756432</v>
      </c>
      <c r="BE35" s="210">
        <f t="shared" si="21"/>
        <v>1583.6720868926225</v>
      </c>
      <c r="BF35" s="210">
        <f t="shared" si="21"/>
        <v>1580.8923547096017</v>
      </c>
      <c r="BG35" s="210">
        <f t="shared" si="21"/>
        <v>1578.1126225265809</v>
      </c>
      <c r="BH35" s="210">
        <f t="shared" si="21"/>
        <v>1549.5692508264813</v>
      </c>
      <c r="BI35" s="210">
        <f t="shared" si="21"/>
        <v>1515.8731512229656</v>
      </c>
      <c r="BJ35" s="210">
        <f t="shared" si="21"/>
        <v>1482.1770516194501</v>
      </c>
      <c r="BK35" s="210">
        <f t="shared" si="21"/>
        <v>1448.4809520159347</v>
      </c>
      <c r="BL35" s="210">
        <f t="shared" si="21"/>
        <v>1414.7848524124192</v>
      </c>
      <c r="BM35" s="210">
        <f t="shared" si="21"/>
        <v>1381.0887528089038</v>
      </c>
      <c r="BN35" s="210">
        <f t="shared" si="22"/>
        <v>1347.3926532053883</v>
      </c>
      <c r="BO35" s="210">
        <f t="shared" si="22"/>
        <v>1313.6965536018729</v>
      </c>
      <c r="BP35" s="210">
        <f t="shared" si="22"/>
        <v>1280.0004539983572</v>
      </c>
      <c r="BQ35" s="210">
        <f t="shared" si="22"/>
        <v>1246.3043543948418</v>
      </c>
      <c r="BR35" s="210">
        <f t="shared" si="22"/>
        <v>1212.6082547913263</v>
      </c>
      <c r="BS35" s="210">
        <f t="shared" si="22"/>
        <v>1178.9121551878109</v>
      </c>
      <c r="BT35" s="210">
        <f t="shared" si="22"/>
        <v>1145.2160555842954</v>
      </c>
      <c r="BU35" s="210">
        <f t="shared" si="22"/>
        <v>1111.5199559807797</v>
      </c>
      <c r="BV35" s="210">
        <f t="shared" si="22"/>
        <v>1077.8238563772643</v>
      </c>
      <c r="BW35" s="210">
        <f t="shared" si="22"/>
        <v>1044.1277567737488</v>
      </c>
      <c r="BX35" s="210">
        <f t="shared" si="23"/>
        <v>1010.4316571702334</v>
      </c>
      <c r="BY35" s="210">
        <f t="shared" si="23"/>
        <v>976.73555756671794</v>
      </c>
      <c r="BZ35" s="210">
        <f t="shared" si="23"/>
        <v>943.03945796320249</v>
      </c>
      <c r="CA35" s="210">
        <f t="shared" si="23"/>
        <v>909.34335835968693</v>
      </c>
      <c r="CB35" s="210">
        <f t="shared" si="23"/>
        <v>875.64725875617148</v>
      </c>
      <c r="CC35" s="210">
        <f t="shared" si="23"/>
        <v>841.95115915265603</v>
      </c>
      <c r="CD35" s="210">
        <f t="shared" si="23"/>
        <v>808.25505954914058</v>
      </c>
      <c r="CE35" s="210">
        <f t="shared" si="23"/>
        <v>774.55895994562502</v>
      </c>
      <c r="CF35" s="210">
        <f t="shared" si="23"/>
        <v>740.86286034210957</v>
      </c>
      <c r="CG35" s="210">
        <f t="shared" si="23"/>
        <v>707.16676073859401</v>
      </c>
      <c r="CH35" s="210">
        <f t="shared" si="24"/>
        <v>673.47066113507856</v>
      </c>
      <c r="CI35" s="210">
        <f t="shared" si="24"/>
        <v>667.85464453449299</v>
      </c>
      <c r="CJ35" s="210">
        <f t="shared" si="24"/>
        <v>667.85464453449299</v>
      </c>
      <c r="CK35" s="210">
        <f t="shared" si="24"/>
        <v>667.85464453449299</v>
      </c>
      <c r="CL35" s="210">
        <f t="shared" si="24"/>
        <v>667.85464453449299</v>
      </c>
      <c r="CM35" s="210">
        <f t="shared" si="24"/>
        <v>667.85464453449299</v>
      </c>
      <c r="CN35" s="210">
        <f t="shared" si="24"/>
        <v>667.85464453449299</v>
      </c>
      <c r="CO35" s="210">
        <f t="shared" si="24"/>
        <v>667.85464453449299</v>
      </c>
      <c r="CP35" s="210">
        <f t="shared" si="24"/>
        <v>667.85464453449299</v>
      </c>
      <c r="CQ35" s="210">
        <f t="shared" si="24"/>
        <v>667.85464453449299</v>
      </c>
      <c r="CR35" s="210">
        <f t="shared" si="25"/>
        <v>667.85464453449299</v>
      </c>
      <c r="CS35" s="210">
        <f t="shared" si="25"/>
        <v>667.85464453449299</v>
      </c>
      <c r="CT35" s="210">
        <f t="shared" si="25"/>
        <v>667.85464453449299</v>
      </c>
      <c r="CU35" s="210">
        <f t="shared" si="25"/>
        <v>667.85464453449299</v>
      </c>
      <c r="CV35" s="210">
        <f t="shared" si="25"/>
        <v>667.85464453449299</v>
      </c>
      <c r="CW35" s="210">
        <f t="shared" si="25"/>
        <v>667.85464453449299</v>
      </c>
      <c r="CX35" s="210">
        <f t="shared" si="25"/>
        <v>667.85464453449299</v>
      </c>
      <c r="CY35" s="210">
        <f t="shared" si="25"/>
        <v>667.85464453449299</v>
      </c>
      <c r="CZ35" s="210">
        <f t="shared" si="25"/>
        <v>667.85464453449299</v>
      </c>
      <c r="DA35" s="210">
        <f t="shared" si="25"/>
        <v>667.85464453449299</v>
      </c>
    </row>
    <row r="36" spans="1:105">
      <c r="A36" s="201" t="str">
        <f>Income!A85</f>
        <v>Cash transfer - official</v>
      </c>
      <c r="B36" s="203">
        <f>Income!B85</f>
        <v>31983.591723381032</v>
      </c>
      <c r="C36" s="203">
        <f>Income!C85</f>
        <v>31983.591723381032</v>
      </c>
      <c r="D36" s="203">
        <f>Income!D85</f>
        <v>13328.600181487915</v>
      </c>
      <c r="E36" s="203">
        <f>Income!E85</f>
        <v>13328.600181487915</v>
      </c>
      <c r="F36" s="210">
        <f t="shared" si="16"/>
        <v>31983.591723381032</v>
      </c>
      <c r="G36" s="210">
        <f t="shared" si="16"/>
        <v>31983.591723381032</v>
      </c>
      <c r="H36" s="210">
        <f t="shared" si="16"/>
        <v>31983.591723381032</v>
      </c>
      <c r="I36" s="210">
        <f t="shared" si="16"/>
        <v>31983.591723381032</v>
      </c>
      <c r="J36" s="210">
        <f t="shared" si="16"/>
        <v>31983.591723381032</v>
      </c>
      <c r="K36" s="210">
        <f t="shared" si="16"/>
        <v>31983.591723381032</v>
      </c>
      <c r="L36" s="210">
        <f t="shared" si="16"/>
        <v>31983.591723381032</v>
      </c>
      <c r="M36" s="210">
        <f t="shared" si="16"/>
        <v>31983.591723381032</v>
      </c>
      <c r="N36" s="210">
        <f t="shared" si="16"/>
        <v>31983.591723381032</v>
      </c>
      <c r="O36" s="210">
        <f t="shared" si="16"/>
        <v>31983.591723381032</v>
      </c>
      <c r="P36" s="210">
        <f t="shared" si="16"/>
        <v>31983.591723381032</v>
      </c>
      <c r="Q36" s="210">
        <f t="shared" si="16"/>
        <v>31983.591723381032</v>
      </c>
      <c r="R36" s="210">
        <f t="shared" si="16"/>
        <v>31983.591723381032</v>
      </c>
      <c r="S36" s="210">
        <f t="shared" si="16"/>
        <v>31983.591723381032</v>
      </c>
      <c r="T36" s="210">
        <f t="shared" si="16"/>
        <v>31983.591723381032</v>
      </c>
      <c r="U36" s="210">
        <f t="shared" si="16"/>
        <v>31983.591723381032</v>
      </c>
      <c r="V36" s="210">
        <f t="shared" si="17"/>
        <v>31983.591723381032</v>
      </c>
      <c r="W36" s="210">
        <f t="shared" si="17"/>
        <v>31983.591723381032</v>
      </c>
      <c r="X36" s="210">
        <f t="shared" si="17"/>
        <v>31983.591723381032</v>
      </c>
      <c r="Y36" s="210">
        <f t="shared" si="17"/>
        <v>31983.591723381032</v>
      </c>
      <c r="Z36" s="210">
        <f t="shared" si="17"/>
        <v>31983.591723381032</v>
      </c>
      <c r="AA36" s="210">
        <f t="shared" si="17"/>
        <v>31983.591723381032</v>
      </c>
      <c r="AB36" s="210">
        <f t="shared" si="17"/>
        <v>31983.591723381032</v>
      </c>
      <c r="AC36" s="210">
        <f t="shared" si="17"/>
        <v>31983.591723381032</v>
      </c>
      <c r="AD36" s="210">
        <f t="shared" si="17"/>
        <v>31983.591723381032</v>
      </c>
      <c r="AE36" s="210">
        <f t="shared" si="17"/>
        <v>31983.591723381032</v>
      </c>
      <c r="AF36" s="210">
        <f t="shared" si="18"/>
        <v>31983.591723381032</v>
      </c>
      <c r="AG36" s="210">
        <f t="shared" si="18"/>
        <v>31983.591723381032</v>
      </c>
      <c r="AH36" s="210">
        <f t="shared" si="18"/>
        <v>31983.591723381032</v>
      </c>
      <c r="AI36" s="210">
        <f t="shared" si="18"/>
        <v>31983.591723381032</v>
      </c>
      <c r="AJ36" s="210">
        <f t="shared" si="18"/>
        <v>31983.591723381032</v>
      </c>
      <c r="AK36" s="210">
        <f t="shared" si="18"/>
        <v>31983.591723381032</v>
      </c>
      <c r="AL36" s="210">
        <f t="shared" si="18"/>
        <v>31983.591723381032</v>
      </c>
      <c r="AM36" s="210">
        <f t="shared" si="18"/>
        <v>31983.591723381032</v>
      </c>
      <c r="AN36" s="210">
        <f t="shared" si="18"/>
        <v>31983.591723381032</v>
      </c>
      <c r="AO36" s="210">
        <f t="shared" si="18"/>
        <v>31983.591723381032</v>
      </c>
      <c r="AP36" s="210">
        <f t="shared" si="19"/>
        <v>31983.591723381032</v>
      </c>
      <c r="AQ36" s="210">
        <f t="shared" si="19"/>
        <v>31983.591723381032</v>
      </c>
      <c r="AR36" s="210">
        <f t="shared" si="19"/>
        <v>31983.591723381032</v>
      </c>
      <c r="AS36" s="210">
        <f t="shared" si="19"/>
        <v>31983.591723381032</v>
      </c>
      <c r="AT36" s="210">
        <f t="shared" si="19"/>
        <v>31983.591723381032</v>
      </c>
      <c r="AU36" s="210">
        <f t="shared" si="19"/>
        <v>31983.591723381032</v>
      </c>
      <c r="AV36" s="210">
        <f t="shared" si="19"/>
        <v>31983.591723381032</v>
      </c>
      <c r="AW36" s="210">
        <f t="shared" si="19"/>
        <v>31983.591723381032</v>
      </c>
      <c r="AX36" s="210">
        <f t="shared" si="19"/>
        <v>31983.591723381032</v>
      </c>
      <c r="AY36" s="210">
        <f t="shared" si="19"/>
        <v>31983.591723381032</v>
      </c>
      <c r="AZ36" s="210">
        <f t="shared" si="20"/>
        <v>31983.591723381032</v>
      </c>
      <c r="BA36" s="210">
        <f t="shared" si="20"/>
        <v>31983.591723381032</v>
      </c>
      <c r="BB36" s="210">
        <f t="shared" si="20"/>
        <v>31983.591723381032</v>
      </c>
      <c r="BC36" s="210">
        <f t="shared" si="20"/>
        <v>31983.591723381032</v>
      </c>
      <c r="BD36" s="210">
        <f t="shared" si="20"/>
        <v>31983.591723381032</v>
      </c>
      <c r="BE36" s="210">
        <f t="shared" si="20"/>
        <v>31983.591723381032</v>
      </c>
      <c r="BF36" s="210">
        <f t="shared" si="20"/>
        <v>31983.591723381032</v>
      </c>
      <c r="BG36" s="210">
        <f t="shared" si="20"/>
        <v>31983.591723381032</v>
      </c>
      <c r="BH36" s="210">
        <f t="shared" si="20"/>
        <v>31407.820379495439</v>
      </c>
      <c r="BI36" s="210">
        <f t="shared" si="20"/>
        <v>30716.894766832731</v>
      </c>
      <c r="BJ36" s="210">
        <f t="shared" si="21"/>
        <v>30025.969154170023</v>
      </c>
      <c r="BK36" s="210">
        <f t="shared" si="21"/>
        <v>29335.043541507315</v>
      </c>
      <c r="BL36" s="210">
        <f t="shared" si="21"/>
        <v>28644.117928844607</v>
      </c>
      <c r="BM36" s="210">
        <f t="shared" si="21"/>
        <v>27953.1923161819</v>
      </c>
      <c r="BN36" s="210">
        <f t="shared" si="21"/>
        <v>27262.266703519192</v>
      </c>
      <c r="BO36" s="210">
        <f t="shared" si="21"/>
        <v>26571.341090856484</v>
      </c>
      <c r="BP36" s="210">
        <f t="shared" si="21"/>
        <v>25880.415478193772</v>
      </c>
      <c r="BQ36" s="210">
        <f t="shared" si="21"/>
        <v>25189.489865531064</v>
      </c>
      <c r="BR36" s="210">
        <f t="shared" si="21"/>
        <v>24498.564252868357</v>
      </c>
      <c r="BS36" s="210">
        <f t="shared" si="21"/>
        <v>23807.638640205649</v>
      </c>
      <c r="BT36" s="210">
        <f t="shared" si="22"/>
        <v>23116.713027542941</v>
      </c>
      <c r="BU36" s="210">
        <f t="shared" si="22"/>
        <v>22425.787414880233</v>
      </c>
      <c r="BV36" s="210">
        <f t="shared" si="22"/>
        <v>21734.861802217521</v>
      </c>
      <c r="BW36" s="210">
        <f t="shared" si="22"/>
        <v>21043.936189554814</v>
      </c>
      <c r="BX36" s="210">
        <f t="shared" si="22"/>
        <v>20353.010576892106</v>
      </c>
      <c r="BY36" s="210">
        <f t="shared" si="22"/>
        <v>19662.084964229398</v>
      </c>
      <c r="BZ36" s="210">
        <f t="shared" si="22"/>
        <v>18971.15935156669</v>
      </c>
      <c r="CA36" s="210">
        <f t="shared" si="22"/>
        <v>18280.233738903982</v>
      </c>
      <c r="CB36" s="210">
        <f t="shared" si="22"/>
        <v>17589.308126241274</v>
      </c>
      <c r="CC36" s="210">
        <f t="shared" si="22"/>
        <v>16898.382513578566</v>
      </c>
      <c r="CD36" s="210">
        <f t="shared" si="23"/>
        <v>16207.456900915857</v>
      </c>
      <c r="CE36" s="210">
        <f t="shared" si="23"/>
        <v>15516.531288253151</v>
      </c>
      <c r="CF36" s="210">
        <f t="shared" si="23"/>
        <v>14825.605675590443</v>
      </c>
      <c r="CG36" s="210">
        <f t="shared" si="23"/>
        <v>14134.680062927731</v>
      </c>
      <c r="CH36" s="210">
        <f t="shared" si="23"/>
        <v>13443.754450265023</v>
      </c>
      <c r="CI36" s="210">
        <f t="shared" si="23"/>
        <v>13328.600181487915</v>
      </c>
      <c r="CJ36" s="210">
        <f t="shared" si="23"/>
        <v>13328.600181487915</v>
      </c>
      <c r="CK36" s="210">
        <f t="shared" si="23"/>
        <v>13328.600181487915</v>
      </c>
      <c r="CL36" s="210">
        <f t="shared" si="23"/>
        <v>13328.600181487915</v>
      </c>
      <c r="CM36" s="210">
        <f t="shared" si="23"/>
        <v>13328.600181487915</v>
      </c>
      <c r="CN36" s="210">
        <f t="shared" si="24"/>
        <v>13328.600181487915</v>
      </c>
      <c r="CO36" s="210">
        <f t="shared" si="24"/>
        <v>13328.600181487915</v>
      </c>
      <c r="CP36" s="210">
        <f t="shared" si="24"/>
        <v>13328.600181487915</v>
      </c>
      <c r="CQ36" s="210">
        <f t="shared" si="24"/>
        <v>13328.600181487915</v>
      </c>
      <c r="CR36" s="210">
        <f t="shared" si="24"/>
        <v>13328.600181487915</v>
      </c>
      <c r="CS36" s="210">
        <f t="shared" si="24"/>
        <v>13328.600181487915</v>
      </c>
      <c r="CT36" s="210">
        <f t="shared" si="24"/>
        <v>13328.600181487915</v>
      </c>
      <c r="CU36" s="210">
        <f t="shared" si="24"/>
        <v>13328.600181487915</v>
      </c>
      <c r="CV36" s="210">
        <f t="shared" si="24"/>
        <v>13328.600181487915</v>
      </c>
      <c r="CW36" s="210">
        <f t="shared" si="24"/>
        <v>13328.600181487915</v>
      </c>
      <c r="CX36" s="210">
        <f t="shared" si="25"/>
        <v>13328.600181487915</v>
      </c>
      <c r="CY36" s="210">
        <f t="shared" si="25"/>
        <v>13328.600181487915</v>
      </c>
      <c r="CZ36" s="210">
        <f t="shared" si="25"/>
        <v>13328.600181487915</v>
      </c>
      <c r="DA36" s="210">
        <f t="shared" si="25"/>
        <v>13328.600181487915</v>
      </c>
    </row>
    <row r="37" spans="1:105">
      <c r="A37" s="201" t="str">
        <f>Income!A86</f>
        <v>Cash transfer - gifts</v>
      </c>
      <c r="B37" s="203">
        <f>Income!B86</f>
        <v>0</v>
      </c>
      <c r="C37" s="203">
        <f>Income!C86</f>
        <v>3092.3362163489946</v>
      </c>
      <c r="D37" s="203">
        <f>Income!D86</f>
        <v>2468.2592928681324</v>
      </c>
      <c r="E37" s="203">
        <f>Income!E86</f>
        <v>6731.6162532767248</v>
      </c>
      <c r="F37" s="210">
        <f t="shared" si="16"/>
        <v>0</v>
      </c>
      <c r="G37" s="210">
        <f t="shared" si="16"/>
        <v>0</v>
      </c>
      <c r="H37" s="210">
        <f t="shared" si="16"/>
        <v>0</v>
      </c>
      <c r="I37" s="210">
        <f t="shared" si="16"/>
        <v>0</v>
      </c>
      <c r="J37" s="210">
        <f t="shared" si="16"/>
        <v>0</v>
      </c>
      <c r="K37" s="210">
        <f t="shared" si="16"/>
        <v>0</v>
      </c>
      <c r="L37" s="210">
        <f t="shared" si="16"/>
        <v>0</v>
      </c>
      <c r="M37" s="210">
        <f t="shared" si="16"/>
        <v>0</v>
      </c>
      <c r="N37" s="210">
        <f t="shared" si="16"/>
        <v>0</v>
      </c>
      <c r="O37" s="210">
        <f t="shared" si="16"/>
        <v>0</v>
      </c>
      <c r="P37" s="210">
        <f t="shared" si="17"/>
        <v>0</v>
      </c>
      <c r="Q37" s="210">
        <f t="shared" si="17"/>
        <v>0</v>
      </c>
      <c r="R37" s="210">
        <f t="shared" si="17"/>
        <v>0</v>
      </c>
      <c r="S37" s="210">
        <f t="shared" si="17"/>
        <v>0</v>
      </c>
      <c r="T37" s="210">
        <f t="shared" si="17"/>
        <v>0</v>
      </c>
      <c r="U37" s="210">
        <f t="shared" si="17"/>
        <v>0</v>
      </c>
      <c r="V37" s="210">
        <f t="shared" si="17"/>
        <v>0</v>
      </c>
      <c r="W37" s="210">
        <f t="shared" si="17"/>
        <v>0</v>
      </c>
      <c r="X37" s="210">
        <f t="shared" si="17"/>
        <v>0</v>
      </c>
      <c r="Y37" s="210">
        <f t="shared" si="17"/>
        <v>73.627052770214362</v>
      </c>
      <c r="Z37" s="210">
        <f t="shared" si="18"/>
        <v>161.97951609447136</v>
      </c>
      <c r="AA37" s="210">
        <f t="shared" si="18"/>
        <v>250.33197941872834</v>
      </c>
      <c r="AB37" s="210">
        <f t="shared" si="18"/>
        <v>338.68444274298531</v>
      </c>
      <c r="AC37" s="210">
        <f t="shared" si="18"/>
        <v>427.03690606724228</v>
      </c>
      <c r="AD37" s="210">
        <f t="shared" si="18"/>
        <v>515.38936939149937</v>
      </c>
      <c r="AE37" s="210">
        <f t="shared" si="18"/>
        <v>603.74183271575635</v>
      </c>
      <c r="AF37" s="210">
        <f t="shared" si="18"/>
        <v>692.09429604001332</v>
      </c>
      <c r="AG37" s="210">
        <f t="shared" si="18"/>
        <v>780.44675936427029</v>
      </c>
      <c r="AH37" s="210">
        <f t="shared" si="18"/>
        <v>868.79922268852727</v>
      </c>
      <c r="AI37" s="210">
        <f t="shared" si="18"/>
        <v>957.15168601278424</v>
      </c>
      <c r="AJ37" s="210">
        <f t="shared" si="19"/>
        <v>1045.5041493370411</v>
      </c>
      <c r="AK37" s="210">
        <f t="shared" si="19"/>
        <v>1133.8566126612982</v>
      </c>
      <c r="AL37" s="210">
        <f t="shared" si="19"/>
        <v>1222.2090759855553</v>
      </c>
      <c r="AM37" s="210">
        <f t="shared" si="19"/>
        <v>1310.5615393098121</v>
      </c>
      <c r="AN37" s="210">
        <f t="shared" si="19"/>
        <v>1398.9140026340692</v>
      </c>
      <c r="AO37" s="210">
        <f t="shared" si="19"/>
        <v>1487.2664659583261</v>
      </c>
      <c r="AP37" s="210">
        <f t="shared" si="19"/>
        <v>1575.6189292825832</v>
      </c>
      <c r="AQ37" s="210">
        <f t="shared" si="19"/>
        <v>1663.97139260684</v>
      </c>
      <c r="AR37" s="210">
        <f t="shared" si="19"/>
        <v>1752.3238559310971</v>
      </c>
      <c r="AS37" s="210">
        <f t="shared" si="19"/>
        <v>1840.6763192553542</v>
      </c>
      <c r="AT37" s="210">
        <f t="shared" si="20"/>
        <v>1929.0287825796113</v>
      </c>
      <c r="AU37" s="210">
        <f t="shared" si="20"/>
        <v>2017.3812459038684</v>
      </c>
      <c r="AV37" s="210">
        <f t="shared" si="20"/>
        <v>2105.7337092281255</v>
      </c>
      <c r="AW37" s="210">
        <f t="shared" si="20"/>
        <v>2194.0861725523823</v>
      </c>
      <c r="AX37" s="210">
        <f t="shared" si="20"/>
        <v>2282.4386358766392</v>
      </c>
      <c r="AY37" s="210">
        <f t="shared" si="20"/>
        <v>2370.791099200896</v>
      </c>
      <c r="AZ37" s="210">
        <f t="shared" si="20"/>
        <v>2459.1435625251534</v>
      </c>
      <c r="BA37" s="210">
        <f t="shared" si="20"/>
        <v>2547.4960258494102</v>
      </c>
      <c r="BB37" s="210">
        <f t="shared" si="20"/>
        <v>2635.8484891736671</v>
      </c>
      <c r="BC37" s="210">
        <f t="shared" si="20"/>
        <v>2724.2009524979244</v>
      </c>
      <c r="BD37" s="210">
        <f t="shared" si="21"/>
        <v>2812.5534158221813</v>
      </c>
      <c r="BE37" s="210">
        <f t="shared" si="21"/>
        <v>2900.9058791464381</v>
      </c>
      <c r="BF37" s="210">
        <f t="shared" si="21"/>
        <v>2989.258342470695</v>
      </c>
      <c r="BG37" s="210">
        <f t="shared" si="21"/>
        <v>3077.6108057949523</v>
      </c>
      <c r="BH37" s="210">
        <f t="shared" si="21"/>
        <v>3073.0745829082271</v>
      </c>
      <c r="BI37" s="210">
        <f t="shared" si="21"/>
        <v>3049.9606227793065</v>
      </c>
      <c r="BJ37" s="210">
        <f t="shared" si="21"/>
        <v>3026.8466626503855</v>
      </c>
      <c r="BK37" s="210">
        <f t="shared" si="21"/>
        <v>3003.7327025214649</v>
      </c>
      <c r="BL37" s="210">
        <f t="shared" si="21"/>
        <v>2980.6187423925439</v>
      </c>
      <c r="BM37" s="210">
        <f t="shared" si="21"/>
        <v>2957.5047822636229</v>
      </c>
      <c r="BN37" s="210">
        <f t="shared" si="22"/>
        <v>2934.3908221347024</v>
      </c>
      <c r="BO37" s="210">
        <f t="shared" si="22"/>
        <v>2911.2768620057814</v>
      </c>
      <c r="BP37" s="210">
        <f t="shared" si="22"/>
        <v>2888.1629018768608</v>
      </c>
      <c r="BQ37" s="210">
        <f t="shared" si="22"/>
        <v>2865.0489417479398</v>
      </c>
      <c r="BR37" s="210">
        <f t="shared" si="22"/>
        <v>2841.9349816190188</v>
      </c>
      <c r="BS37" s="210">
        <f t="shared" si="22"/>
        <v>2818.8210214900982</v>
      </c>
      <c r="BT37" s="210">
        <f t="shared" si="22"/>
        <v>2795.7070613611772</v>
      </c>
      <c r="BU37" s="210">
        <f t="shared" si="22"/>
        <v>2772.5931012322562</v>
      </c>
      <c r="BV37" s="210">
        <f t="shared" si="22"/>
        <v>2749.4791411033357</v>
      </c>
      <c r="BW37" s="210">
        <f t="shared" si="22"/>
        <v>2726.3651809744147</v>
      </c>
      <c r="BX37" s="210">
        <f t="shared" si="23"/>
        <v>2703.2512208454941</v>
      </c>
      <c r="BY37" s="210">
        <f t="shared" si="23"/>
        <v>2680.1372607165731</v>
      </c>
      <c r="BZ37" s="210">
        <f t="shared" si="23"/>
        <v>2657.0233005876526</v>
      </c>
      <c r="CA37" s="210">
        <f t="shared" si="23"/>
        <v>2633.9093404587315</v>
      </c>
      <c r="CB37" s="210">
        <f t="shared" si="23"/>
        <v>2610.7953803298105</v>
      </c>
      <c r="CC37" s="210">
        <f t="shared" si="23"/>
        <v>2587.68142020089</v>
      </c>
      <c r="CD37" s="210">
        <f t="shared" si="23"/>
        <v>2564.567460071969</v>
      </c>
      <c r="CE37" s="210">
        <f t="shared" si="23"/>
        <v>2541.453499943048</v>
      </c>
      <c r="CF37" s="210">
        <f t="shared" si="23"/>
        <v>2518.3395398141274</v>
      </c>
      <c r="CG37" s="210">
        <f t="shared" si="23"/>
        <v>2495.2255796852064</v>
      </c>
      <c r="CH37" s="210">
        <f t="shared" si="24"/>
        <v>2472.1116195562859</v>
      </c>
      <c r="CI37" s="210">
        <f t="shared" si="24"/>
        <v>2705.112457335279</v>
      </c>
      <c r="CJ37" s="210">
        <f t="shared" si="24"/>
        <v>2989.3362546958519</v>
      </c>
      <c r="CK37" s="210">
        <f t="shared" si="24"/>
        <v>3273.5600520564249</v>
      </c>
      <c r="CL37" s="210">
        <f t="shared" si="24"/>
        <v>3557.7838494169973</v>
      </c>
      <c r="CM37" s="210">
        <f t="shared" si="24"/>
        <v>3842.0076467775707</v>
      </c>
      <c r="CN37" s="210">
        <f t="shared" si="24"/>
        <v>4126.2314441381432</v>
      </c>
      <c r="CO37" s="210">
        <f t="shared" si="24"/>
        <v>4410.4552414987156</v>
      </c>
      <c r="CP37" s="210">
        <f t="shared" si="24"/>
        <v>4694.679038859289</v>
      </c>
      <c r="CQ37" s="210">
        <f t="shared" si="24"/>
        <v>4978.9028362198624</v>
      </c>
      <c r="CR37" s="210">
        <f t="shared" si="25"/>
        <v>5263.1266335804339</v>
      </c>
      <c r="CS37" s="210">
        <f t="shared" si="25"/>
        <v>5547.3504309410073</v>
      </c>
      <c r="CT37" s="210">
        <f t="shared" si="25"/>
        <v>5831.5742283015807</v>
      </c>
      <c r="CU37" s="210">
        <f t="shared" si="25"/>
        <v>6115.7980256621531</v>
      </c>
      <c r="CV37" s="210">
        <f t="shared" si="25"/>
        <v>6400.0218230227256</v>
      </c>
      <c r="CW37" s="210">
        <f t="shared" si="25"/>
        <v>6684.245620383299</v>
      </c>
      <c r="CX37" s="210">
        <f t="shared" si="25"/>
        <v>6731.6162532767248</v>
      </c>
      <c r="CY37" s="210">
        <f t="shared" si="25"/>
        <v>6731.6162532767248</v>
      </c>
      <c r="CZ37" s="210">
        <f t="shared" si="25"/>
        <v>6731.6162532767248</v>
      </c>
      <c r="DA37" s="210">
        <f t="shared" si="25"/>
        <v>6731.6162532767248</v>
      </c>
    </row>
    <row r="38" spans="1:105">
      <c r="A38" s="201" t="str">
        <f>Income!A88</f>
        <v>TOTAL</v>
      </c>
      <c r="B38" s="203">
        <f>Income!B88</f>
        <v>53891.067462932857</v>
      </c>
      <c r="C38" s="203">
        <f>Income!C88</f>
        <v>91493.298096761384</v>
      </c>
      <c r="D38" s="203">
        <f>Income!D88</f>
        <v>176686.60518183949</v>
      </c>
      <c r="E38" s="203">
        <f>Income!E88</f>
        <v>368517.33653598721</v>
      </c>
      <c r="F38" s="204">
        <f t="shared" ref="F38:AK38" si="26">SUM(F25:F37)</f>
        <v>48644.673045047923</v>
      </c>
      <c r="G38" s="204">
        <f t="shared" si="26"/>
        <v>48644.673045047923</v>
      </c>
      <c r="H38" s="204">
        <f t="shared" si="26"/>
        <v>48644.673045047923</v>
      </c>
      <c r="I38" s="204">
        <f t="shared" si="26"/>
        <v>48644.673045047923</v>
      </c>
      <c r="J38" s="204">
        <f t="shared" si="26"/>
        <v>48644.673045047923</v>
      </c>
      <c r="K38" s="204">
        <f t="shared" si="26"/>
        <v>48644.673045047923</v>
      </c>
      <c r="L38" s="204">
        <f t="shared" si="26"/>
        <v>48644.673045047923</v>
      </c>
      <c r="M38" s="204">
        <f t="shared" si="26"/>
        <v>48644.673045047923</v>
      </c>
      <c r="N38" s="204">
        <f t="shared" si="26"/>
        <v>48644.673045047923</v>
      </c>
      <c r="O38" s="204">
        <f t="shared" si="26"/>
        <v>48644.673045047923</v>
      </c>
      <c r="P38" s="204">
        <f t="shared" si="26"/>
        <v>48644.673045047923</v>
      </c>
      <c r="Q38" s="204">
        <f t="shared" si="26"/>
        <v>48644.673045047923</v>
      </c>
      <c r="R38" s="204">
        <f t="shared" si="26"/>
        <v>48644.673045047923</v>
      </c>
      <c r="S38" s="204">
        <f t="shared" si="26"/>
        <v>48644.673045047923</v>
      </c>
      <c r="T38" s="204">
        <f t="shared" si="26"/>
        <v>48644.673045047923</v>
      </c>
      <c r="U38" s="204">
        <f t="shared" si="26"/>
        <v>48644.673045047923</v>
      </c>
      <c r="V38" s="204">
        <f t="shared" si="26"/>
        <v>48644.673045047923</v>
      </c>
      <c r="W38" s="204">
        <f t="shared" si="26"/>
        <v>48644.673045047923</v>
      </c>
      <c r="X38" s="204">
        <f t="shared" si="26"/>
        <v>48644.673045047923</v>
      </c>
      <c r="Y38" s="204">
        <f t="shared" si="26"/>
        <v>49567.049326589826</v>
      </c>
      <c r="Z38" s="204">
        <f t="shared" si="26"/>
        <v>50673.900864440089</v>
      </c>
      <c r="AA38" s="204">
        <f t="shared" si="26"/>
        <v>51780.75240229036</v>
      </c>
      <c r="AB38" s="204">
        <f t="shared" si="26"/>
        <v>52887.603940140623</v>
      </c>
      <c r="AC38" s="204">
        <f t="shared" si="26"/>
        <v>53994.455477990901</v>
      </c>
      <c r="AD38" s="204">
        <f t="shared" si="26"/>
        <v>55101.307015841172</v>
      </c>
      <c r="AE38" s="204">
        <f t="shared" si="26"/>
        <v>56208.158553691443</v>
      </c>
      <c r="AF38" s="204">
        <f t="shared" si="26"/>
        <v>57315.010091541713</v>
      </c>
      <c r="AG38" s="204">
        <f t="shared" si="26"/>
        <v>58421.861629391984</v>
      </c>
      <c r="AH38" s="204">
        <f t="shared" si="26"/>
        <v>59528.713167242247</v>
      </c>
      <c r="AI38" s="204">
        <f t="shared" si="26"/>
        <v>60635.564705092511</v>
      </c>
      <c r="AJ38" s="204">
        <f t="shared" si="26"/>
        <v>61742.416242942789</v>
      </c>
      <c r="AK38" s="204">
        <f t="shared" si="26"/>
        <v>62849.26778079306</v>
      </c>
      <c r="AL38" s="204">
        <f t="shared" ref="AL38:BQ38" si="27">SUM(AL25:AL37)</f>
        <v>63956.11931864333</v>
      </c>
      <c r="AM38" s="204">
        <f t="shared" si="27"/>
        <v>65062.970856493601</v>
      </c>
      <c r="AN38" s="204">
        <f t="shared" si="27"/>
        <v>66169.822394343864</v>
      </c>
      <c r="AO38" s="204">
        <f t="shared" si="27"/>
        <v>67276.673932194128</v>
      </c>
      <c r="AP38" s="204">
        <f t="shared" si="27"/>
        <v>68383.52547004442</v>
      </c>
      <c r="AQ38" s="204">
        <f t="shared" si="27"/>
        <v>69490.377007894669</v>
      </c>
      <c r="AR38" s="204">
        <f t="shared" si="27"/>
        <v>70597.228545744947</v>
      </c>
      <c r="AS38" s="204">
        <f t="shared" si="27"/>
        <v>71704.08008359521</v>
      </c>
      <c r="AT38" s="204">
        <f t="shared" si="27"/>
        <v>72810.931621445488</v>
      </c>
      <c r="AU38" s="204">
        <f t="shared" si="27"/>
        <v>73917.783159295766</v>
      </c>
      <c r="AV38" s="204">
        <f t="shared" si="27"/>
        <v>75024.63469714603</v>
      </c>
      <c r="AW38" s="204">
        <f t="shared" si="27"/>
        <v>76131.486234996293</v>
      </c>
      <c r="AX38" s="204">
        <f t="shared" si="27"/>
        <v>77238.337772846557</v>
      </c>
      <c r="AY38" s="204">
        <f t="shared" si="27"/>
        <v>78345.189310696835</v>
      </c>
      <c r="AZ38" s="204">
        <f t="shared" si="27"/>
        <v>79452.040848547098</v>
      </c>
      <c r="BA38" s="204">
        <f t="shared" si="27"/>
        <v>80558.892386397361</v>
      </c>
      <c r="BB38" s="204">
        <f t="shared" si="27"/>
        <v>81665.743924247639</v>
      </c>
      <c r="BC38" s="204">
        <f t="shared" si="27"/>
        <v>82772.595462097903</v>
      </c>
      <c r="BD38" s="204">
        <f t="shared" si="27"/>
        <v>83879.446999948181</v>
      </c>
      <c r="BE38" s="204">
        <f t="shared" si="27"/>
        <v>84986.298537798444</v>
      </c>
      <c r="BF38" s="204">
        <f t="shared" si="27"/>
        <v>86093.150075648722</v>
      </c>
      <c r="BG38" s="204">
        <f t="shared" si="27"/>
        <v>87200.001613498986</v>
      </c>
      <c r="BH38" s="204">
        <f t="shared" si="27"/>
        <v>89924.553301192747</v>
      </c>
      <c r="BI38" s="204">
        <f t="shared" si="27"/>
        <v>92972.645018855183</v>
      </c>
      <c r="BJ38" s="204">
        <f t="shared" si="27"/>
        <v>96020.736736517603</v>
      </c>
      <c r="BK38" s="204">
        <f t="shared" si="27"/>
        <v>99068.828454180053</v>
      </c>
      <c r="BL38" s="204">
        <f t="shared" si="27"/>
        <v>102116.9201718425</v>
      </c>
      <c r="BM38" s="204">
        <f t="shared" si="27"/>
        <v>105165.01188950495</v>
      </c>
      <c r="BN38" s="204">
        <f t="shared" si="27"/>
        <v>108213.1036071674</v>
      </c>
      <c r="BO38" s="204">
        <f t="shared" si="27"/>
        <v>111261.19532482982</v>
      </c>
      <c r="BP38" s="204">
        <f t="shared" si="27"/>
        <v>114309.28704249227</v>
      </c>
      <c r="BQ38" s="204">
        <f t="shared" si="27"/>
        <v>117357.37876015471</v>
      </c>
      <c r="BR38" s="204">
        <f t="shared" ref="BR38:CW38" si="28">SUM(BR25:BR37)</f>
        <v>120405.47047781713</v>
      </c>
      <c r="BS38" s="204">
        <f t="shared" si="28"/>
        <v>123453.56219547958</v>
      </c>
      <c r="BT38" s="204">
        <f t="shared" si="28"/>
        <v>126501.65391314201</v>
      </c>
      <c r="BU38" s="204">
        <f t="shared" si="28"/>
        <v>129549.74563080446</v>
      </c>
      <c r="BV38" s="204">
        <f t="shared" si="28"/>
        <v>132597.83734846688</v>
      </c>
      <c r="BW38" s="204">
        <f t="shared" si="28"/>
        <v>135645.92906612935</v>
      </c>
      <c r="BX38" s="204">
        <f t="shared" si="28"/>
        <v>138694.02078379178</v>
      </c>
      <c r="BY38" s="204">
        <f t="shared" si="28"/>
        <v>141742.11250145425</v>
      </c>
      <c r="BZ38" s="204">
        <f t="shared" si="28"/>
        <v>144790.20421911665</v>
      </c>
      <c r="CA38" s="204">
        <f t="shared" si="28"/>
        <v>147838.29593677909</v>
      </c>
      <c r="CB38" s="204">
        <f t="shared" si="28"/>
        <v>150886.38765444155</v>
      </c>
      <c r="CC38" s="204">
        <f t="shared" si="28"/>
        <v>153934.47937210399</v>
      </c>
      <c r="CD38" s="204">
        <f t="shared" si="28"/>
        <v>156982.57108976642</v>
      </c>
      <c r="CE38" s="204">
        <f t="shared" si="28"/>
        <v>160030.66280742886</v>
      </c>
      <c r="CF38" s="204">
        <f t="shared" si="28"/>
        <v>163078.7545250913</v>
      </c>
      <c r="CG38" s="204">
        <f t="shared" si="28"/>
        <v>166126.84624275376</v>
      </c>
      <c r="CH38" s="204">
        <f t="shared" si="28"/>
        <v>169174.93796041619</v>
      </c>
      <c r="CI38" s="204">
        <f t="shared" si="28"/>
        <v>180527.35938627805</v>
      </c>
      <c r="CJ38" s="204">
        <f t="shared" si="28"/>
        <v>193540.6467537797</v>
      </c>
      <c r="CK38" s="204">
        <f t="shared" si="28"/>
        <v>206553.93412128135</v>
      </c>
      <c r="CL38" s="204">
        <f t="shared" si="28"/>
        <v>219567.22148878299</v>
      </c>
      <c r="CM38" s="204">
        <f t="shared" si="28"/>
        <v>232580.50885628461</v>
      </c>
      <c r="CN38" s="204">
        <f t="shared" si="28"/>
        <v>245593.79622378625</v>
      </c>
      <c r="CO38" s="204">
        <f t="shared" si="28"/>
        <v>258607.0835912879</v>
      </c>
      <c r="CP38" s="204">
        <f t="shared" si="28"/>
        <v>271620.37095878948</v>
      </c>
      <c r="CQ38" s="204">
        <f t="shared" si="28"/>
        <v>284633.65832629119</v>
      </c>
      <c r="CR38" s="204">
        <f t="shared" si="28"/>
        <v>297646.94569379278</v>
      </c>
      <c r="CS38" s="204">
        <f t="shared" si="28"/>
        <v>310660.23306129448</v>
      </c>
      <c r="CT38" s="204">
        <f t="shared" si="28"/>
        <v>323673.52042879601</v>
      </c>
      <c r="CU38" s="204">
        <f t="shared" si="28"/>
        <v>336686.80779629771</v>
      </c>
      <c r="CV38" s="204">
        <f t="shared" si="28"/>
        <v>349700.09516379936</v>
      </c>
      <c r="CW38" s="204">
        <f t="shared" si="28"/>
        <v>362713.382531301</v>
      </c>
      <c r="CX38" s="204">
        <f>SUM(CX25:CX37)</f>
        <v>364882.26375921781</v>
      </c>
      <c r="CY38" s="204">
        <f>SUM(CY25:CY37)</f>
        <v>364882.26375921781</v>
      </c>
      <c r="CZ38" s="204">
        <f>SUM(CZ25:CZ37)</f>
        <v>364882.26375921781</v>
      </c>
      <c r="DA38" s="204">
        <f>SUM(DA25:DA37)</f>
        <v>364882.26375921781</v>
      </c>
    </row>
    <row r="39" spans="1:105">
      <c r="A39" s="201" t="str">
        <f>Income!A89</f>
        <v>Food Poverty line</v>
      </c>
      <c r="B39" s="203">
        <f>Income!B89</f>
        <v>40474.951687871187</v>
      </c>
      <c r="C39" s="203">
        <f>Income!C89</f>
        <v>40474.951687871187</v>
      </c>
      <c r="D39" s="203">
        <f>Income!D89</f>
        <v>40474.951687871129</v>
      </c>
      <c r="E39" s="203">
        <f>Income!E89</f>
        <v>40474.951687871129</v>
      </c>
      <c r="F39" s="204">
        <f t="shared" ref="F39:U39" si="29">IF(F$2&lt;=($B$2+$C$2+$D$2),IF(F$2&lt;=($B$2+$C$2),IF(F$2&lt;=$B$2,$B39,$C39),$D39),$E39)</f>
        <v>40474.951687871187</v>
      </c>
      <c r="G39" s="204">
        <f t="shared" si="29"/>
        <v>40474.951687871187</v>
      </c>
      <c r="H39" s="204">
        <f t="shared" si="29"/>
        <v>40474.951687871187</v>
      </c>
      <c r="I39" s="204">
        <f t="shared" si="29"/>
        <v>40474.951687871187</v>
      </c>
      <c r="J39" s="204">
        <f t="shared" si="29"/>
        <v>40474.951687871187</v>
      </c>
      <c r="K39" s="204">
        <f t="shared" si="29"/>
        <v>40474.951687871187</v>
      </c>
      <c r="L39" s="204">
        <f t="shared" si="29"/>
        <v>40474.951687871187</v>
      </c>
      <c r="M39" s="204">
        <f t="shared" si="29"/>
        <v>40474.951687871187</v>
      </c>
      <c r="N39" s="204">
        <f t="shared" si="29"/>
        <v>40474.951687871187</v>
      </c>
      <c r="O39" s="204">
        <f t="shared" si="29"/>
        <v>40474.951687871187</v>
      </c>
      <c r="P39" s="204">
        <f t="shared" si="29"/>
        <v>40474.951687871187</v>
      </c>
      <c r="Q39" s="204">
        <f t="shared" si="29"/>
        <v>40474.951687871187</v>
      </c>
      <c r="R39" s="204">
        <f t="shared" si="29"/>
        <v>40474.951687871187</v>
      </c>
      <c r="S39" s="204">
        <f t="shared" si="29"/>
        <v>40474.951687871187</v>
      </c>
      <c r="T39" s="204">
        <f t="shared" si="29"/>
        <v>40474.951687871187</v>
      </c>
      <c r="U39" s="204">
        <f t="shared" si="29"/>
        <v>40474.951687871187</v>
      </c>
      <c r="V39" s="204">
        <f t="shared" ref="V39:AK40" si="30">IF(V$2&lt;=($B$2+$C$2+$D$2),IF(V$2&lt;=($B$2+$C$2),IF(V$2&lt;=$B$2,$B39,$C39),$D39),$E39)</f>
        <v>40474.951687871187</v>
      </c>
      <c r="W39" s="204">
        <f t="shared" si="30"/>
        <v>40474.951687871187</v>
      </c>
      <c r="X39" s="204">
        <f t="shared" si="30"/>
        <v>40474.951687871187</v>
      </c>
      <c r="Y39" s="204">
        <f t="shared" si="30"/>
        <v>40474.951687871187</v>
      </c>
      <c r="Z39" s="204">
        <f t="shared" si="30"/>
        <v>40474.951687871187</v>
      </c>
      <c r="AA39" s="204">
        <f t="shared" si="30"/>
        <v>40474.951687871187</v>
      </c>
      <c r="AB39" s="204">
        <f t="shared" si="30"/>
        <v>40474.951687871187</v>
      </c>
      <c r="AC39" s="204">
        <f t="shared" si="30"/>
        <v>40474.951687871187</v>
      </c>
      <c r="AD39" s="204">
        <f t="shared" si="30"/>
        <v>40474.951687871187</v>
      </c>
      <c r="AE39" s="204">
        <f t="shared" si="30"/>
        <v>40474.951687871187</v>
      </c>
      <c r="AF39" s="204">
        <f t="shared" si="30"/>
        <v>40474.951687871187</v>
      </c>
      <c r="AG39" s="204">
        <f t="shared" si="30"/>
        <v>40474.951687871187</v>
      </c>
      <c r="AH39" s="204">
        <f t="shared" si="30"/>
        <v>40474.951687871187</v>
      </c>
      <c r="AI39" s="204">
        <f t="shared" si="30"/>
        <v>40474.951687871187</v>
      </c>
      <c r="AJ39" s="204">
        <f t="shared" si="30"/>
        <v>40474.951687871187</v>
      </c>
      <c r="AK39" s="204">
        <f t="shared" si="30"/>
        <v>40474.951687871187</v>
      </c>
      <c r="AL39" s="204">
        <f t="shared" ref="AL39:BA40" si="31">IF(AL$2&lt;=($B$2+$C$2+$D$2),IF(AL$2&lt;=($B$2+$C$2),IF(AL$2&lt;=$B$2,$B39,$C39),$D39),$E39)</f>
        <v>40474.951687871187</v>
      </c>
      <c r="AM39" s="204">
        <f t="shared" si="31"/>
        <v>40474.951687871187</v>
      </c>
      <c r="AN39" s="204">
        <f t="shared" si="31"/>
        <v>40474.951687871187</v>
      </c>
      <c r="AO39" s="204">
        <f t="shared" si="31"/>
        <v>40474.951687871187</v>
      </c>
      <c r="AP39" s="204">
        <f t="shared" si="31"/>
        <v>40474.951687871187</v>
      </c>
      <c r="AQ39" s="204">
        <f t="shared" si="31"/>
        <v>40474.951687871187</v>
      </c>
      <c r="AR39" s="204">
        <f t="shared" si="31"/>
        <v>40474.951687871187</v>
      </c>
      <c r="AS39" s="204">
        <f t="shared" si="31"/>
        <v>40474.951687871187</v>
      </c>
      <c r="AT39" s="204">
        <f t="shared" si="31"/>
        <v>40474.951687871187</v>
      </c>
      <c r="AU39" s="204">
        <f t="shared" si="31"/>
        <v>40474.951687871187</v>
      </c>
      <c r="AV39" s="204">
        <f t="shared" si="31"/>
        <v>40474.951687871187</v>
      </c>
      <c r="AW39" s="204">
        <f t="shared" si="31"/>
        <v>40474.951687871187</v>
      </c>
      <c r="AX39" s="204">
        <f t="shared" si="31"/>
        <v>40474.951687871187</v>
      </c>
      <c r="AY39" s="204">
        <f t="shared" si="31"/>
        <v>40474.951687871187</v>
      </c>
      <c r="AZ39" s="204">
        <f t="shared" si="31"/>
        <v>40474.951687871187</v>
      </c>
      <c r="BA39" s="204">
        <f t="shared" si="31"/>
        <v>40474.951687871187</v>
      </c>
      <c r="BB39" s="204">
        <f t="shared" ref="BB39:CD40" si="32">IF(BB$2&lt;=($B$2+$C$2+$D$2),IF(BB$2&lt;=($B$2+$C$2),IF(BB$2&lt;=$B$2,$B39,$C39),$D39),$E39)</f>
        <v>40474.951687871187</v>
      </c>
      <c r="BC39" s="204">
        <f t="shared" si="32"/>
        <v>40474.951687871187</v>
      </c>
      <c r="BD39" s="204">
        <f t="shared" si="32"/>
        <v>40474.951687871187</v>
      </c>
      <c r="BE39" s="204">
        <f t="shared" si="32"/>
        <v>40474.951687871187</v>
      </c>
      <c r="BF39" s="204">
        <f t="shared" si="32"/>
        <v>40474.951687871187</v>
      </c>
      <c r="BG39" s="204">
        <f t="shared" si="32"/>
        <v>40474.951687871187</v>
      </c>
      <c r="BH39" s="204">
        <f t="shared" si="32"/>
        <v>40474.951687871187</v>
      </c>
      <c r="BI39" s="204">
        <f t="shared" si="32"/>
        <v>40474.951687871187</v>
      </c>
      <c r="BJ39" s="204">
        <f t="shared" si="32"/>
        <v>40474.951687871187</v>
      </c>
      <c r="BK39" s="204">
        <f t="shared" si="32"/>
        <v>40474.951687871187</v>
      </c>
      <c r="BL39" s="204">
        <f t="shared" si="32"/>
        <v>40474.951687871187</v>
      </c>
      <c r="BM39" s="204">
        <f t="shared" si="32"/>
        <v>40474.951687871187</v>
      </c>
      <c r="BN39" s="204">
        <f t="shared" si="32"/>
        <v>40474.951687871187</v>
      </c>
      <c r="BO39" s="204">
        <f t="shared" si="32"/>
        <v>40474.951687871187</v>
      </c>
      <c r="BP39" s="204">
        <f t="shared" si="32"/>
        <v>40474.951687871187</v>
      </c>
      <c r="BQ39" s="204">
        <f t="shared" si="32"/>
        <v>40474.951687871187</v>
      </c>
      <c r="BR39" s="204">
        <f t="shared" si="32"/>
        <v>40474.951687871187</v>
      </c>
      <c r="BS39" s="204">
        <f t="shared" si="32"/>
        <v>40474.951687871187</v>
      </c>
      <c r="BT39" s="204">
        <f t="shared" si="32"/>
        <v>40474.951687871187</v>
      </c>
      <c r="BU39" s="204">
        <f t="shared" si="32"/>
        <v>40474.951687871187</v>
      </c>
      <c r="BV39" s="204">
        <f t="shared" si="32"/>
        <v>40474.951687871187</v>
      </c>
      <c r="BW39" s="204">
        <f t="shared" si="32"/>
        <v>40474.951687871187</v>
      </c>
      <c r="BX39" s="204">
        <f t="shared" si="32"/>
        <v>40474.951687871129</v>
      </c>
      <c r="BY39" s="204">
        <f t="shared" si="32"/>
        <v>40474.951687871129</v>
      </c>
      <c r="BZ39" s="204">
        <f t="shared" si="32"/>
        <v>40474.951687871129</v>
      </c>
      <c r="CA39" s="204">
        <f t="shared" si="32"/>
        <v>40474.951687871129</v>
      </c>
      <c r="CB39" s="204">
        <f t="shared" si="32"/>
        <v>40474.951687871129</v>
      </c>
      <c r="CC39" s="204">
        <f t="shared" si="32"/>
        <v>40474.951687871129</v>
      </c>
      <c r="CD39" s="204">
        <f t="shared" si="32"/>
        <v>40474.951687871129</v>
      </c>
      <c r="CE39" s="204">
        <f t="shared" ref="CE39:CR40" si="33">IF(CE$2&lt;=($B$2+$C$2+$D$2),IF(CE$2&lt;=($B$2+$C$2),IF(CE$2&lt;=$B$2,$B39,$C39),$D39),$E39)</f>
        <v>40474.951687871129</v>
      </c>
      <c r="CF39" s="204">
        <f t="shared" si="33"/>
        <v>40474.951687871129</v>
      </c>
      <c r="CG39" s="204">
        <f t="shared" si="33"/>
        <v>40474.951687871129</v>
      </c>
      <c r="CH39" s="204">
        <f t="shared" si="33"/>
        <v>40474.951687871129</v>
      </c>
      <c r="CI39" s="204">
        <f t="shared" si="33"/>
        <v>40474.951687871129</v>
      </c>
      <c r="CJ39" s="204">
        <f t="shared" si="33"/>
        <v>40474.951687871129</v>
      </c>
      <c r="CK39" s="204">
        <f t="shared" si="33"/>
        <v>40474.951687871129</v>
      </c>
      <c r="CL39" s="204">
        <f t="shared" si="33"/>
        <v>40474.951687871129</v>
      </c>
      <c r="CM39" s="204">
        <f t="shared" si="33"/>
        <v>40474.951687871129</v>
      </c>
      <c r="CN39" s="204">
        <f t="shared" si="33"/>
        <v>40474.951687871129</v>
      </c>
      <c r="CO39" s="204">
        <f t="shared" si="33"/>
        <v>40474.951687871129</v>
      </c>
      <c r="CP39" s="204">
        <f t="shared" si="33"/>
        <v>40474.951687871129</v>
      </c>
      <c r="CQ39" s="204">
        <f t="shared" si="33"/>
        <v>40474.951687871129</v>
      </c>
      <c r="CR39" s="204">
        <f t="shared" si="33"/>
        <v>40474.951687871129</v>
      </c>
      <c r="CS39" s="204">
        <f t="shared" ref="CS39:DA40" si="34">IF(CS$2&lt;=($B$2+$C$2+$D$2),IF(CS$2&lt;=($B$2+$C$2),IF(CS$2&lt;=$B$2,$B39,$C39),$D39),$E39)</f>
        <v>40474.951687871129</v>
      </c>
      <c r="CT39" s="204">
        <f t="shared" si="34"/>
        <v>40474.951687871129</v>
      </c>
      <c r="CU39" s="204">
        <f t="shared" si="34"/>
        <v>40474.951687871129</v>
      </c>
      <c r="CV39" s="204">
        <f t="shared" si="34"/>
        <v>40474.951687871129</v>
      </c>
      <c r="CW39" s="204">
        <f t="shared" si="34"/>
        <v>40474.951687871129</v>
      </c>
      <c r="CX39" s="204">
        <f t="shared" si="34"/>
        <v>40474.951687871129</v>
      </c>
      <c r="CY39" s="204">
        <f t="shared" si="34"/>
        <v>40474.951687871129</v>
      </c>
      <c r="CZ39" s="204">
        <f t="shared" si="34"/>
        <v>40474.951687871129</v>
      </c>
      <c r="DA39" s="204">
        <f t="shared" si="34"/>
        <v>40474.951687871129</v>
      </c>
    </row>
    <row r="40" spans="1:105">
      <c r="A40" s="201" t="str">
        <f>Income!A90</f>
        <v>Lower Bound Poverty line</v>
      </c>
      <c r="B40" s="203">
        <f>Income!B90</f>
        <v>59912.96057676011</v>
      </c>
      <c r="C40" s="203">
        <f>Income!C90</f>
        <v>59912.96057676011</v>
      </c>
      <c r="D40" s="203">
        <f>Income!D90</f>
        <v>59912.960576760015</v>
      </c>
      <c r="E40" s="203">
        <f>Income!E90</f>
        <v>59912.960576760015</v>
      </c>
      <c r="F40" s="204">
        <f t="shared" ref="F40:U40" si="35">IF(F$2&lt;=($B$2+$C$2+$D$2),IF(F$2&lt;=($B$2+$C$2),IF(F$2&lt;=$B$2,$B40,$C40),$D40),$E40)</f>
        <v>59912.96057676011</v>
      </c>
      <c r="G40" s="204">
        <f t="shared" si="35"/>
        <v>59912.96057676011</v>
      </c>
      <c r="H40" s="204">
        <f t="shared" si="35"/>
        <v>59912.96057676011</v>
      </c>
      <c r="I40" s="204">
        <f t="shared" si="35"/>
        <v>59912.96057676011</v>
      </c>
      <c r="J40" s="204">
        <f t="shared" si="35"/>
        <v>59912.96057676011</v>
      </c>
      <c r="K40" s="204">
        <f t="shared" si="35"/>
        <v>59912.96057676011</v>
      </c>
      <c r="L40" s="204">
        <f t="shared" si="35"/>
        <v>59912.96057676011</v>
      </c>
      <c r="M40" s="204">
        <f t="shared" si="35"/>
        <v>59912.96057676011</v>
      </c>
      <c r="N40" s="204">
        <f t="shared" si="35"/>
        <v>59912.96057676011</v>
      </c>
      <c r="O40" s="204">
        <f t="shared" si="35"/>
        <v>59912.96057676011</v>
      </c>
      <c r="P40" s="204">
        <f t="shared" si="35"/>
        <v>59912.96057676011</v>
      </c>
      <c r="Q40" s="204">
        <f t="shared" si="35"/>
        <v>59912.96057676011</v>
      </c>
      <c r="R40" s="204">
        <f t="shared" si="35"/>
        <v>59912.96057676011</v>
      </c>
      <c r="S40" s="204">
        <f t="shared" si="35"/>
        <v>59912.96057676011</v>
      </c>
      <c r="T40" s="204">
        <f t="shared" si="35"/>
        <v>59912.96057676011</v>
      </c>
      <c r="U40" s="204">
        <f t="shared" si="35"/>
        <v>59912.96057676011</v>
      </c>
      <c r="V40" s="204">
        <f t="shared" si="30"/>
        <v>59912.96057676011</v>
      </c>
      <c r="W40" s="204">
        <f t="shared" si="30"/>
        <v>59912.96057676011</v>
      </c>
      <c r="X40" s="204">
        <f t="shared" si="30"/>
        <v>59912.96057676011</v>
      </c>
      <c r="Y40" s="204">
        <f t="shared" si="30"/>
        <v>59912.96057676011</v>
      </c>
      <c r="Z40" s="204">
        <f t="shared" si="30"/>
        <v>59912.96057676011</v>
      </c>
      <c r="AA40" s="204">
        <f t="shared" si="30"/>
        <v>59912.96057676011</v>
      </c>
      <c r="AB40" s="204">
        <f t="shared" si="30"/>
        <v>59912.96057676011</v>
      </c>
      <c r="AC40" s="204">
        <f t="shared" si="30"/>
        <v>59912.96057676011</v>
      </c>
      <c r="AD40" s="204">
        <f t="shared" si="30"/>
        <v>59912.96057676011</v>
      </c>
      <c r="AE40" s="204">
        <f t="shared" si="30"/>
        <v>59912.96057676011</v>
      </c>
      <c r="AF40" s="204">
        <f t="shared" si="30"/>
        <v>59912.96057676011</v>
      </c>
      <c r="AG40" s="204">
        <f t="shared" si="30"/>
        <v>59912.96057676011</v>
      </c>
      <c r="AH40" s="204">
        <f t="shared" si="30"/>
        <v>59912.96057676011</v>
      </c>
      <c r="AI40" s="204">
        <f t="shared" si="30"/>
        <v>59912.96057676011</v>
      </c>
      <c r="AJ40" s="204">
        <f t="shared" si="30"/>
        <v>59912.96057676011</v>
      </c>
      <c r="AK40" s="204">
        <f t="shared" si="30"/>
        <v>59912.96057676011</v>
      </c>
      <c r="AL40" s="204">
        <f t="shared" si="31"/>
        <v>59912.96057676011</v>
      </c>
      <c r="AM40" s="204">
        <f t="shared" si="31"/>
        <v>59912.96057676011</v>
      </c>
      <c r="AN40" s="204">
        <f t="shared" si="31"/>
        <v>59912.96057676011</v>
      </c>
      <c r="AO40" s="204">
        <f t="shared" si="31"/>
        <v>59912.96057676011</v>
      </c>
      <c r="AP40" s="204">
        <f t="shared" si="31"/>
        <v>59912.96057676011</v>
      </c>
      <c r="AQ40" s="204">
        <f t="shared" si="31"/>
        <v>59912.96057676011</v>
      </c>
      <c r="AR40" s="204">
        <f t="shared" si="31"/>
        <v>59912.96057676011</v>
      </c>
      <c r="AS40" s="204">
        <f t="shared" si="31"/>
        <v>59912.96057676011</v>
      </c>
      <c r="AT40" s="204">
        <f t="shared" si="31"/>
        <v>59912.96057676011</v>
      </c>
      <c r="AU40" s="204">
        <f t="shared" si="31"/>
        <v>59912.96057676011</v>
      </c>
      <c r="AV40" s="204">
        <f t="shared" si="31"/>
        <v>59912.96057676011</v>
      </c>
      <c r="AW40" s="204">
        <f t="shared" si="31"/>
        <v>59912.96057676011</v>
      </c>
      <c r="AX40" s="204">
        <f t="shared" si="31"/>
        <v>59912.96057676011</v>
      </c>
      <c r="AY40" s="204">
        <f t="shared" si="31"/>
        <v>59912.96057676011</v>
      </c>
      <c r="AZ40" s="204">
        <f t="shared" si="31"/>
        <v>59912.96057676011</v>
      </c>
      <c r="BA40" s="204">
        <f t="shared" si="31"/>
        <v>59912.96057676011</v>
      </c>
      <c r="BB40" s="204">
        <f t="shared" si="32"/>
        <v>59912.96057676011</v>
      </c>
      <c r="BC40" s="204">
        <f t="shared" si="32"/>
        <v>59912.96057676011</v>
      </c>
      <c r="BD40" s="204">
        <f t="shared" si="32"/>
        <v>59912.96057676011</v>
      </c>
      <c r="BE40" s="204">
        <f t="shared" si="32"/>
        <v>59912.96057676011</v>
      </c>
      <c r="BF40" s="204">
        <f t="shared" si="32"/>
        <v>59912.96057676011</v>
      </c>
      <c r="BG40" s="204">
        <f t="shared" si="32"/>
        <v>59912.96057676011</v>
      </c>
      <c r="BH40" s="204">
        <f t="shared" si="32"/>
        <v>59912.96057676011</v>
      </c>
      <c r="BI40" s="204">
        <f t="shared" si="32"/>
        <v>59912.96057676011</v>
      </c>
      <c r="BJ40" s="204">
        <f t="shared" si="32"/>
        <v>59912.96057676011</v>
      </c>
      <c r="BK40" s="204">
        <f t="shared" si="32"/>
        <v>59912.96057676011</v>
      </c>
      <c r="BL40" s="204">
        <f t="shared" si="32"/>
        <v>59912.96057676011</v>
      </c>
      <c r="BM40" s="204">
        <f t="shared" si="32"/>
        <v>59912.96057676011</v>
      </c>
      <c r="BN40" s="204">
        <f t="shared" si="32"/>
        <v>59912.96057676011</v>
      </c>
      <c r="BO40" s="204">
        <f t="shared" si="32"/>
        <v>59912.96057676011</v>
      </c>
      <c r="BP40" s="204">
        <f t="shared" si="32"/>
        <v>59912.96057676011</v>
      </c>
      <c r="BQ40" s="204">
        <f t="shared" si="32"/>
        <v>59912.96057676011</v>
      </c>
      <c r="BR40" s="204">
        <f t="shared" si="32"/>
        <v>59912.96057676011</v>
      </c>
      <c r="BS40" s="204">
        <f t="shared" si="32"/>
        <v>59912.96057676011</v>
      </c>
      <c r="BT40" s="204">
        <f t="shared" si="32"/>
        <v>59912.96057676011</v>
      </c>
      <c r="BU40" s="204">
        <f t="shared" si="32"/>
        <v>59912.96057676011</v>
      </c>
      <c r="BV40" s="204">
        <f t="shared" si="32"/>
        <v>59912.96057676011</v>
      </c>
      <c r="BW40" s="204">
        <f t="shared" si="32"/>
        <v>59912.96057676011</v>
      </c>
      <c r="BX40" s="204">
        <f t="shared" si="32"/>
        <v>59912.960576760015</v>
      </c>
      <c r="BY40" s="204">
        <f t="shared" si="32"/>
        <v>59912.960576760015</v>
      </c>
      <c r="BZ40" s="204">
        <f t="shared" si="32"/>
        <v>59912.960576760015</v>
      </c>
      <c r="CA40" s="204">
        <f t="shared" si="32"/>
        <v>59912.960576760015</v>
      </c>
      <c r="CB40" s="204">
        <f t="shared" si="32"/>
        <v>59912.960576760015</v>
      </c>
      <c r="CC40" s="204">
        <f t="shared" si="32"/>
        <v>59912.960576760015</v>
      </c>
      <c r="CD40" s="204">
        <f t="shared" si="32"/>
        <v>59912.960576760015</v>
      </c>
      <c r="CE40" s="204">
        <f t="shared" si="33"/>
        <v>59912.960576760015</v>
      </c>
      <c r="CF40" s="204">
        <f t="shared" si="33"/>
        <v>59912.960576760015</v>
      </c>
      <c r="CG40" s="204">
        <f t="shared" si="33"/>
        <v>59912.960576760015</v>
      </c>
      <c r="CH40" s="204">
        <f t="shared" si="33"/>
        <v>59912.960576760015</v>
      </c>
      <c r="CI40" s="204">
        <f t="shared" si="33"/>
        <v>59912.960576760015</v>
      </c>
      <c r="CJ40" s="204">
        <f t="shared" si="33"/>
        <v>59912.960576760015</v>
      </c>
      <c r="CK40" s="204">
        <f t="shared" si="33"/>
        <v>59912.960576760015</v>
      </c>
      <c r="CL40" s="204">
        <f t="shared" si="33"/>
        <v>59912.960576760015</v>
      </c>
      <c r="CM40" s="204">
        <f t="shared" si="33"/>
        <v>59912.960576760015</v>
      </c>
      <c r="CN40" s="204">
        <f t="shared" si="33"/>
        <v>59912.960576760015</v>
      </c>
      <c r="CO40" s="204">
        <f t="shared" si="33"/>
        <v>59912.960576760015</v>
      </c>
      <c r="CP40" s="204">
        <f t="shared" si="33"/>
        <v>59912.960576760015</v>
      </c>
      <c r="CQ40" s="204">
        <f t="shared" si="33"/>
        <v>59912.960576760015</v>
      </c>
      <c r="CR40" s="204">
        <f t="shared" si="33"/>
        <v>59912.960576760015</v>
      </c>
      <c r="CS40" s="204">
        <f t="shared" si="34"/>
        <v>59912.960576760015</v>
      </c>
      <c r="CT40" s="204">
        <f t="shared" si="34"/>
        <v>59912.960576760015</v>
      </c>
      <c r="CU40" s="204">
        <f t="shared" si="34"/>
        <v>59912.960576760015</v>
      </c>
      <c r="CV40" s="204">
        <f t="shared" si="34"/>
        <v>59912.960576760015</v>
      </c>
      <c r="CW40" s="204">
        <f t="shared" si="34"/>
        <v>59912.960576760015</v>
      </c>
      <c r="CX40" s="204">
        <f t="shared" si="34"/>
        <v>59912.960576760015</v>
      </c>
      <c r="CY40" s="204">
        <f t="shared" si="34"/>
        <v>59912.960576760015</v>
      </c>
      <c r="CZ40" s="204">
        <f t="shared" si="34"/>
        <v>59912.960576760015</v>
      </c>
      <c r="DA40" s="204">
        <f t="shared" si="34"/>
        <v>59912.960576760015</v>
      </c>
    </row>
    <row r="42" spans="1:105">
      <c r="A42" s="201" t="str">
        <f>Income!A72</f>
        <v>Own crops Consumed</v>
      </c>
      <c r="F42" s="210">
        <f t="shared" ref="F42:AK42" si="36">IF(F$22&lt;=$E$24,IF(F$22&lt;=$D$24,IF(F$22&lt;=$C$24,IF(F$22&lt;=$B$24,$B108,($C25-$B25)/($C$24-$B$24)),($D25-$C25)/($D$24-$C$24)),($E25-$D25)/($E$24-$D$24)),$F108)</f>
        <v>0</v>
      </c>
      <c r="G42" s="210">
        <f t="shared" si="36"/>
        <v>0</v>
      </c>
      <c r="H42" s="210">
        <f t="shared" si="36"/>
        <v>0</v>
      </c>
      <c r="I42" s="210">
        <f t="shared" si="36"/>
        <v>0</v>
      </c>
      <c r="J42" s="210">
        <f t="shared" si="36"/>
        <v>0</v>
      </c>
      <c r="K42" s="210">
        <f t="shared" si="36"/>
        <v>0</v>
      </c>
      <c r="L42" s="210">
        <f t="shared" si="36"/>
        <v>0</v>
      </c>
      <c r="M42" s="210">
        <f t="shared" si="36"/>
        <v>0</v>
      </c>
      <c r="N42" s="210">
        <f t="shared" si="36"/>
        <v>0</v>
      </c>
      <c r="O42" s="210">
        <f t="shared" si="36"/>
        <v>0</v>
      </c>
      <c r="P42" s="210">
        <f t="shared" si="36"/>
        <v>0</v>
      </c>
      <c r="Q42" s="210">
        <f t="shared" si="36"/>
        <v>0</v>
      </c>
      <c r="R42" s="210">
        <f t="shared" si="36"/>
        <v>0</v>
      </c>
      <c r="S42" s="210">
        <f t="shared" si="36"/>
        <v>0</v>
      </c>
      <c r="T42" s="210">
        <f t="shared" si="36"/>
        <v>0</v>
      </c>
      <c r="U42" s="210">
        <f t="shared" si="36"/>
        <v>0</v>
      </c>
      <c r="V42" s="210">
        <f t="shared" si="36"/>
        <v>0</v>
      </c>
      <c r="W42" s="210">
        <f t="shared" si="36"/>
        <v>0</v>
      </c>
      <c r="X42" s="210">
        <f t="shared" si="36"/>
        <v>0</v>
      </c>
      <c r="Y42" s="210">
        <f t="shared" si="36"/>
        <v>58.942893250033542</v>
      </c>
      <c r="Z42" s="210">
        <f t="shared" si="36"/>
        <v>58.942893250033542</v>
      </c>
      <c r="AA42" s="210">
        <f t="shared" si="36"/>
        <v>58.942893250033542</v>
      </c>
      <c r="AB42" s="210">
        <f t="shared" si="36"/>
        <v>58.942893250033542</v>
      </c>
      <c r="AC42" s="210">
        <f t="shared" si="36"/>
        <v>58.942893250033542</v>
      </c>
      <c r="AD42" s="210">
        <f t="shared" si="36"/>
        <v>58.942893250033542</v>
      </c>
      <c r="AE42" s="210">
        <f t="shared" si="36"/>
        <v>58.942893250033542</v>
      </c>
      <c r="AF42" s="210">
        <f t="shared" si="36"/>
        <v>58.942893250033542</v>
      </c>
      <c r="AG42" s="210">
        <f t="shared" si="36"/>
        <v>58.942893250033542</v>
      </c>
      <c r="AH42" s="210">
        <f t="shared" si="36"/>
        <v>58.942893250033542</v>
      </c>
      <c r="AI42" s="210">
        <f t="shared" si="36"/>
        <v>58.942893250033542</v>
      </c>
      <c r="AJ42" s="210">
        <f t="shared" si="36"/>
        <v>58.942893250033542</v>
      </c>
      <c r="AK42" s="210">
        <f t="shared" si="36"/>
        <v>58.942893250033542</v>
      </c>
      <c r="AL42" s="210">
        <f t="shared" ref="AL42:BQ42" si="37">IF(AL$22&lt;=$E$24,IF(AL$22&lt;=$D$24,IF(AL$22&lt;=$C$24,IF(AL$22&lt;=$B$24,$B108,($C25-$B25)/($C$24-$B$24)),($D25-$C25)/($D$24-$C$24)),($E25-$D25)/($E$24-$D$24)),$F108)</f>
        <v>58.942893250033542</v>
      </c>
      <c r="AM42" s="210">
        <f t="shared" si="37"/>
        <v>58.942893250033542</v>
      </c>
      <c r="AN42" s="210">
        <f t="shared" si="37"/>
        <v>58.942893250033542</v>
      </c>
      <c r="AO42" s="210">
        <f t="shared" si="37"/>
        <v>58.942893250033542</v>
      </c>
      <c r="AP42" s="210">
        <f t="shared" si="37"/>
        <v>58.942893250033542</v>
      </c>
      <c r="AQ42" s="210">
        <f t="shared" si="37"/>
        <v>58.942893250033542</v>
      </c>
      <c r="AR42" s="210">
        <f t="shared" si="37"/>
        <v>58.942893250033542</v>
      </c>
      <c r="AS42" s="210">
        <f t="shared" si="37"/>
        <v>58.942893250033542</v>
      </c>
      <c r="AT42" s="210">
        <f t="shared" si="37"/>
        <v>58.942893250033542</v>
      </c>
      <c r="AU42" s="210">
        <f t="shared" si="37"/>
        <v>58.942893250033542</v>
      </c>
      <c r="AV42" s="210">
        <f t="shared" si="37"/>
        <v>58.942893250033542</v>
      </c>
      <c r="AW42" s="210">
        <f t="shared" si="37"/>
        <v>58.942893250033542</v>
      </c>
      <c r="AX42" s="210">
        <f t="shared" si="37"/>
        <v>58.942893250033542</v>
      </c>
      <c r="AY42" s="210">
        <f t="shared" si="37"/>
        <v>58.942893250033542</v>
      </c>
      <c r="AZ42" s="210">
        <f t="shared" si="37"/>
        <v>58.942893250033542</v>
      </c>
      <c r="BA42" s="210">
        <f t="shared" si="37"/>
        <v>58.942893250033542</v>
      </c>
      <c r="BB42" s="210">
        <f t="shared" si="37"/>
        <v>58.942893250033542</v>
      </c>
      <c r="BC42" s="210">
        <f t="shared" si="37"/>
        <v>58.942893250033542</v>
      </c>
      <c r="BD42" s="210">
        <f t="shared" si="37"/>
        <v>58.942893250033542</v>
      </c>
      <c r="BE42" s="210">
        <f t="shared" si="37"/>
        <v>58.942893250033542</v>
      </c>
      <c r="BF42" s="210">
        <f t="shared" si="37"/>
        <v>58.942893250033542</v>
      </c>
      <c r="BG42" s="210">
        <f t="shared" si="37"/>
        <v>58.942893250033542</v>
      </c>
      <c r="BH42" s="210">
        <f t="shared" si="37"/>
        <v>11.395157904371617</v>
      </c>
      <c r="BI42" s="210">
        <f t="shared" si="37"/>
        <v>11.395157904371617</v>
      </c>
      <c r="BJ42" s="210">
        <f t="shared" si="37"/>
        <v>11.395157904371617</v>
      </c>
      <c r="BK42" s="210">
        <f t="shared" si="37"/>
        <v>11.395157904371617</v>
      </c>
      <c r="BL42" s="210">
        <f t="shared" si="37"/>
        <v>11.395157904371617</v>
      </c>
      <c r="BM42" s="210">
        <f t="shared" si="37"/>
        <v>11.395157904371617</v>
      </c>
      <c r="BN42" s="210">
        <f t="shared" si="37"/>
        <v>11.395157904371617</v>
      </c>
      <c r="BO42" s="210">
        <f t="shared" si="37"/>
        <v>11.395157904371617</v>
      </c>
      <c r="BP42" s="210">
        <f t="shared" si="37"/>
        <v>11.395157904371617</v>
      </c>
      <c r="BQ42" s="210">
        <f t="shared" si="37"/>
        <v>11.395157904371617</v>
      </c>
      <c r="BR42" s="210">
        <f t="shared" ref="BR42:DA42" si="38">IF(BR$22&lt;=$E$24,IF(BR$22&lt;=$D$24,IF(BR$22&lt;=$C$24,IF(BR$22&lt;=$B$24,$B108,($C25-$B25)/($C$24-$B$24)),($D25-$C25)/($D$24-$C$24)),($E25-$D25)/($E$24-$D$24)),$F108)</f>
        <v>11.395157904371617</v>
      </c>
      <c r="BS42" s="210">
        <f t="shared" si="38"/>
        <v>11.395157904371617</v>
      </c>
      <c r="BT42" s="210">
        <f t="shared" si="38"/>
        <v>11.395157904371617</v>
      </c>
      <c r="BU42" s="210">
        <f t="shared" si="38"/>
        <v>11.395157904371617</v>
      </c>
      <c r="BV42" s="210">
        <f t="shared" si="38"/>
        <v>11.395157904371617</v>
      </c>
      <c r="BW42" s="210">
        <f t="shared" si="38"/>
        <v>11.395157904371617</v>
      </c>
      <c r="BX42" s="210">
        <f t="shared" si="38"/>
        <v>11.395157904371617</v>
      </c>
      <c r="BY42" s="210">
        <f t="shared" si="38"/>
        <v>11.395157904371617</v>
      </c>
      <c r="BZ42" s="210">
        <f t="shared" si="38"/>
        <v>11.395157904371617</v>
      </c>
      <c r="CA42" s="210">
        <f t="shared" si="38"/>
        <v>11.395157904371617</v>
      </c>
      <c r="CB42" s="210">
        <f t="shared" si="38"/>
        <v>11.395157904371617</v>
      </c>
      <c r="CC42" s="210">
        <f t="shared" si="38"/>
        <v>11.395157904371617</v>
      </c>
      <c r="CD42" s="210">
        <f t="shared" si="38"/>
        <v>11.395157904371617</v>
      </c>
      <c r="CE42" s="210">
        <f t="shared" si="38"/>
        <v>11.395157904371617</v>
      </c>
      <c r="CF42" s="210">
        <f t="shared" si="38"/>
        <v>11.395157904371617</v>
      </c>
      <c r="CG42" s="210">
        <f t="shared" si="38"/>
        <v>11.395157904371617</v>
      </c>
      <c r="CH42" s="210">
        <f t="shared" si="38"/>
        <v>11.395157904371617</v>
      </c>
      <c r="CI42" s="210">
        <f t="shared" si="38"/>
        <v>1.7739782097118828</v>
      </c>
      <c r="CJ42" s="210">
        <f t="shared" si="38"/>
        <v>1.7739782097118828</v>
      </c>
      <c r="CK42" s="210">
        <f t="shared" si="38"/>
        <v>1.7739782097118828</v>
      </c>
      <c r="CL42" s="210">
        <f t="shared" si="38"/>
        <v>1.7739782097118828</v>
      </c>
      <c r="CM42" s="210">
        <f t="shared" si="38"/>
        <v>1.7739782097118828</v>
      </c>
      <c r="CN42" s="210">
        <f t="shared" si="38"/>
        <v>1.7739782097118828</v>
      </c>
      <c r="CO42" s="210">
        <f t="shared" si="38"/>
        <v>1.7739782097118828</v>
      </c>
      <c r="CP42" s="210">
        <f t="shared" si="38"/>
        <v>1.7739782097118828</v>
      </c>
      <c r="CQ42" s="210">
        <f t="shared" si="38"/>
        <v>1.7739782097118828</v>
      </c>
      <c r="CR42" s="210">
        <f t="shared" si="38"/>
        <v>1.7739782097118828</v>
      </c>
      <c r="CS42" s="210">
        <f t="shared" si="38"/>
        <v>1.7739782097118828</v>
      </c>
      <c r="CT42" s="210">
        <f t="shared" si="38"/>
        <v>1.7739782097118828</v>
      </c>
      <c r="CU42" s="210">
        <f t="shared" si="38"/>
        <v>1.7739782097118828</v>
      </c>
      <c r="CV42" s="210">
        <f t="shared" si="38"/>
        <v>1.7739782097118828</v>
      </c>
      <c r="CW42" s="210">
        <f t="shared" si="38"/>
        <v>1.7739782097118828</v>
      </c>
      <c r="CX42" s="210">
        <f t="shared" si="38"/>
        <v>106.36000000000007</v>
      </c>
      <c r="CY42" s="210">
        <f t="shared" si="38"/>
        <v>106.36000000000007</v>
      </c>
      <c r="CZ42" s="210">
        <f t="shared" si="38"/>
        <v>106.36000000000007</v>
      </c>
      <c r="DA42" s="210">
        <f t="shared" si="38"/>
        <v>106.36000000000007</v>
      </c>
    </row>
    <row r="43" spans="1:105">
      <c r="A43" s="201" t="str">
        <f>Income!A73</f>
        <v>Own crops sold</v>
      </c>
      <c r="F43" s="210">
        <f t="shared" ref="F43:AK43" si="39">IF(F$22&lt;=$E$24,IF(F$22&lt;=$D$24,IF(F$22&lt;=$C$24,IF(F$22&lt;=$B$24,$B109,($C26-$B26)/($C$24-$B$24)),($D26-$C26)/($D$24-$C$24)),($E26-$D26)/($E$24-$D$24)),$F109)</f>
        <v>340.26</v>
      </c>
      <c r="G43" s="210">
        <f t="shared" si="39"/>
        <v>340.26</v>
      </c>
      <c r="H43" s="210">
        <f t="shared" si="39"/>
        <v>340.26</v>
      </c>
      <c r="I43" s="210">
        <f t="shared" si="39"/>
        <v>340.26</v>
      </c>
      <c r="J43" s="210">
        <f t="shared" si="39"/>
        <v>340.26</v>
      </c>
      <c r="K43" s="210">
        <f t="shared" si="39"/>
        <v>340.26</v>
      </c>
      <c r="L43" s="210">
        <f>IF(L$22&lt;=$E$24,IF(L$22&lt;=$D$24,IF(L$22&lt;=$C$24,IF(L$22&lt;=$B$24,$B109,($C26-$B26)/($C$24-$B$24)),($D26-$C26)/($D$24-$C$24)),($E26-$D26)/($E$24-$D$24)),$F109)</f>
        <v>340.26</v>
      </c>
      <c r="M43" s="210">
        <f t="shared" si="39"/>
        <v>340.26</v>
      </c>
      <c r="N43" s="210">
        <f t="shared" si="39"/>
        <v>340.26</v>
      </c>
      <c r="O43" s="210">
        <f t="shared" si="39"/>
        <v>340.26</v>
      </c>
      <c r="P43" s="210">
        <f t="shared" si="39"/>
        <v>340.26</v>
      </c>
      <c r="Q43" s="210">
        <f t="shared" si="39"/>
        <v>340.26</v>
      </c>
      <c r="R43" s="210">
        <f t="shared" si="39"/>
        <v>340.26</v>
      </c>
      <c r="S43" s="210">
        <f t="shared" si="39"/>
        <v>340.26</v>
      </c>
      <c r="T43" s="210">
        <f t="shared" si="39"/>
        <v>340.26</v>
      </c>
      <c r="U43" s="210">
        <f t="shared" si="39"/>
        <v>340.26</v>
      </c>
      <c r="V43" s="210">
        <f t="shared" si="39"/>
        <v>340.26</v>
      </c>
      <c r="W43" s="210">
        <f t="shared" si="39"/>
        <v>340.26</v>
      </c>
      <c r="X43" s="210">
        <f t="shared" si="39"/>
        <v>340.26</v>
      </c>
      <c r="Y43" s="210">
        <f t="shared" si="39"/>
        <v>30.670926553992057</v>
      </c>
      <c r="Z43" s="210">
        <f t="shared" si="39"/>
        <v>30.670926553992057</v>
      </c>
      <c r="AA43" s="210">
        <f t="shared" si="39"/>
        <v>30.670926553992057</v>
      </c>
      <c r="AB43" s="210">
        <f t="shared" si="39"/>
        <v>30.670926553992057</v>
      </c>
      <c r="AC43" s="210">
        <f t="shared" si="39"/>
        <v>30.670926553992057</v>
      </c>
      <c r="AD43" s="210">
        <f t="shared" si="39"/>
        <v>30.670926553992057</v>
      </c>
      <c r="AE43" s="210">
        <f t="shared" si="39"/>
        <v>30.670926553992057</v>
      </c>
      <c r="AF43" s="210">
        <f t="shared" si="39"/>
        <v>30.670926553992057</v>
      </c>
      <c r="AG43" s="210">
        <f t="shared" si="39"/>
        <v>30.670926553992057</v>
      </c>
      <c r="AH43" s="210">
        <f t="shared" si="39"/>
        <v>30.670926553992057</v>
      </c>
      <c r="AI43" s="210">
        <f t="shared" si="39"/>
        <v>30.670926553992057</v>
      </c>
      <c r="AJ43" s="210">
        <f t="shared" si="39"/>
        <v>30.670926553992057</v>
      </c>
      <c r="AK43" s="210">
        <f t="shared" si="39"/>
        <v>30.670926553992057</v>
      </c>
      <c r="AL43" s="210">
        <f t="shared" ref="AL43:BQ43" si="40">IF(AL$22&lt;=$E$24,IF(AL$22&lt;=$D$24,IF(AL$22&lt;=$C$24,IF(AL$22&lt;=$B$24,$B109,($C26-$B26)/($C$24-$B$24)),($D26-$C26)/($D$24-$C$24)),($E26-$D26)/($E$24-$D$24)),$F109)</f>
        <v>30.670926553992057</v>
      </c>
      <c r="AM43" s="210">
        <f t="shared" si="40"/>
        <v>30.670926553992057</v>
      </c>
      <c r="AN43" s="210">
        <f t="shared" si="40"/>
        <v>30.670926553992057</v>
      </c>
      <c r="AO43" s="210">
        <f t="shared" si="40"/>
        <v>30.670926553992057</v>
      </c>
      <c r="AP43" s="210">
        <f t="shared" si="40"/>
        <v>30.670926553992057</v>
      </c>
      <c r="AQ43" s="210">
        <f t="shared" si="40"/>
        <v>30.670926553992057</v>
      </c>
      <c r="AR43" s="210">
        <f t="shared" si="40"/>
        <v>30.670926553992057</v>
      </c>
      <c r="AS43" s="210">
        <f t="shared" si="40"/>
        <v>30.670926553992057</v>
      </c>
      <c r="AT43" s="210">
        <f t="shared" si="40"/>
        <v>30.670926553992057</v>
      </c>
      <c r="AU43" s="210">
        <f t="shared" si="40"/>
        <v>30.670926553992057</v>
      </c>
      <c r="AV43" s="210">
        <f t="shared" si="40"/>
        <v>30.670926553992057</v>
      </c>
      <c r="AW43" s="210">
        <f t="shared" si="40"/>
        <v>30.670926553992057</v>
      </c>
      <c r="AX43" s="210">
        <f t="shared" si="40"/>
        <v>30.670926553992057</v>
      </c>
      <c r="AY43" s="210">
        <f t="shared" si="40"/>
        <v>30.670926553992057</v>
      </c>
      <c r="AZ43" s="210">
        <f t="shared" si="40"/>
        <v>30.670926553992057</v>
      </c>
      <c r="BA43" s="210">
        <f t="shared" si="40"/>
        <v>30.670926553992057</v>
      </c>
      <c r="BB43" s="210">
        <f t="shared" si="40"/>
        <v>30.670926553992057</v>
      </c>
      <c r="BC43" s="210">
        <f t="shared" si="40"/>
        <v>30.670926553992057</v>
      </c>
      <c r="BD43" s="210">
        <f t="shared" si="40"/>
        <v>30.670926553992057</v>
      </c>
      <c r="BE43" s="210">
        <f t="shared" si="40"/>
        <v>30.670926553992057</v>
      </c>
      <c r="BF43" s="210">
        <f t="shared" si="40"/>
        <v>30.670926553992057</v>
      </c>
      <c r="BG43" s="210">
        <f t="shared" si="40"/>
        <v>30.670926553992057</v>
      </c>
      <c r="BH43" s="210">
        <f t="shared" si="40"/>
        <v>749.42990253059634</v>
      </c>
      <c r="BI43" s="210">
        <f t="shared" si="40"/>
        <v>749.42990253059634</v>
      </c>
      <c r="BJ43" s="210">
        <f t="shared" si="40"/>
        <v>749.42990253059634</v>
      </c>
      <c r="BK43" s="210">
        <f t="shared" si="40"/>
        <v>749.42990253059634</v>
      </c>
      <c r="BL43" s="210">
        <f t="shared" si="40"/>
        <v>749.42990253059634</v>
      </c>
      <c r="BM43" s="210">
        <f t="shared" si="40"/>
        <v>749.42990253059634</v>
      </c>
      <c r="BN43" s="210">
        <f t="shared" si="40"/>
        <v>749.42990253059634</v>
      </c>
      <c r="BO43" s="210">
        <f t="shared" si="40"/>
        <v>749.42990253059634</v>
      </c>
      <c r="BP43" s="210">
        <f t="shared" si="40"/>
        <v>749.42990253059634</v>
      </c>
      <c r="BQ43" s="210">
        <f t="shared" si="40"/>
        <v>749.42990253059634</v>
      </c>
      <c r="BR43" s="210">
        <f t="shared" ref="BR43:DA43" si="41">IF(BR$22&lt;=$E$24,IF(BR$22&lt;=$D$24,IF(BR$22&lt;=$C$24,IF(BR$22&lt;=$B$24,$B109,($C26-$B26)/($C$24-$B$24)),($D26-$C26)/($D$24-$C$24)),($E26-$D26)/($E$24-$D$24)),$F109)</f>
        <v>749.42990253059634</v>
      </c>
      <c r="BS43" s="210">
        <f t="shared" si="41"/>
        <v>749.42990253059634</v>
      </c>
      <c r="BT43" s="210">
        <f t="shared" si="41"/>
        <v>749.42990253059634</v>
      </c>
      <c r="BU43" s="210">
        <f t="shared" si="41"/>
        <v>749.42990253059634</v>
      </c>
      <c r="BV43" s="210">
        <f t="shared" si="41"/>
        <v>749.42990253059634</v>
      </c>
      <c r="BW43" s="210">
        <f t="shared" si="41"/>
        <v>749.42990253059634</v>
      </c>
      <c r="BX43" s="210">
        <f t="shared" si="41"/>
        <v>749.42990253059634</v>
      </c>
      <c r="BY43" s="210">
        <f t="shared" si="41"/>
        <v>749.42990253059634</v>
      </c>
      <c r="BZ43" s="210">
        <f t="shared" si="41"/>
        <v>749.42990253059634</v>
      </c>
      <c r="CA43" s="210">
        <f t="shared" si="41"/>
        <v>749.42990253059634</v>
      </c>
      <c r="CB43" s="210">
        <f t="shared" si="41"/>
        <v>749.42990253059634</v>
      </c>
      <c r="CC43" s="210">
        <f t="shared" si="41"/>
        <v>749.42990253059634</v>
      </c>
      <c r="CD43" s="210">
        <f t="shared" si="41"/>
        <v>749.42990253059634</v>
      </c>
      <c r="CE43" s="210">
        <f t="shared" si="41"/>
        <v>749.42990253059634</v>
      </c>
      <c r="CF43" s="210">
        <f t="shared" si="41"/>
        <v>749.42990253059634</v>
      </c>
      <c r="CG43" s="210">
        <f t="shared" si="41"/>
        <v>749.42990253059634</v>
      </c>
      <c r="CH43" s="210">
        <f t="shared" si="41"/>
        <v>749.42990253059634</v>
      </c>
      <c r="CI43" s="210">
        <f t="shared" si="41"/>
        <v>910.67548546411899</v>
      </c>
      <c r="CJ43" s="210">
        <f t="shared" si="41"/>
        <v>910.67548546411899</v>
      </c>
      <c r="CK43" s="210">
        <f t="shared" si="41"/>
        <v>910.67548546411899</v>
      </c>
      <c r="CL43" s="210">
        <f t="shared" si="41"/>
        <v>910.67548546411899</v>
      </c>
      <c r="CM43" s="210">
        <f t="shared" si="41"/>
        <v>910.67548546411899</v>
      </c>
      <c r="CN43" s="210">
        <f t="shared" si="41"/>
        <v>910.67548546411899</v>
      </c>
      <c r="CO43" s="210">
        <f t="shared" si="41"/>
        <v>910.67548546411899</v>
      </c>
      <c r="CP43" s="210">
        <f t="shared" si="41"/>
        <v>910.67548546411899</v>
      </c>
      <c r="CQ43" s="210">
        <f t="shared" si="41"/>
        <v>910.67548546411899</v>
      </c>
      <c r="CR43" s="210">
        <f t="shared" si="41"/>
        <v>910.67548546411899</v>
      </c>
      <c r="CS43" s="210">
        <f t="shared" si="41"/>
        <v>910.67548546411899</v>
      </c>
      <c r="CT43" s="210">
        <f t="shared" si="41"/>
        <v>910.67548546411899</v>
      </c>
      <c r="CU43" s="210">
        <f t="shared" si="41"/>
        <v>910.67548546411899</v>
      </c>
      <c r="CV43" s="210">
        <f t="shared" si="41"/>
        <v>910.67548546411899</v>
      </c>
      <c r="CW43" s="210">
        <f t="shared" si="41"/>
        <v>910.67548546411899</v>
      </c>
      <c r="CX43" s="210">
        <f t="shared" si="41"/>
        <v>724.86000000000013</v>
      </c>
      <c r="CY43" s="210">
        <f t="shared" si="41"/>
        <v>724.86000000000013</v>
      </c>
      <c r="CZ43" s="210">
        <f t="shared" si="41"/>
        <v>724.86000000000013</v>
      </c>
      <c r="DA43" s="210">
        <f t="shared" si="41"/>
        <v>724.86000000000013</v>
      </c>
    </row>
    <row r="44" spans="1:105">
      <c r="A44" s="201" t="str">
        <f>Income!A74</f>
        <v>Animal products consumed</v>
      </c>
      <c r="F44" s="210">
        <f t="shared" ref="F44:AK44" si="42">IF(F$22&lt;=$E$24,IF(F$22&lt;=$D$24,IF(F$22&lt;=$C$24,IF(F$22&lt;=$B$24,$B110,($C27-$B27)/($C$24-$B$24)),($D27-$C27)/($D$24-$C$24)),($E27-$D27)/($E$24-$D$24)),$F110)</f>
        <v>0</v>
      </c>
      <c r="G44" s="210">
        <f t="shared" si="42"/>
        <v>0</v>
      </c>
      <c r="H44" s="210">
        <f t="shared" si="42"/>
        <v>0</v>
      </c>
      <c r="I44" s="210">
        <f t="shared" si="42"/>
        <v>0</v>
      </c>
      <c r="J44" s="210">
        <f t="shared" si="42"/>
        <v>0</v>
      </c>
      <c r="K44" s="210">
        <f t="shared" si="42"/>
        <v>0</v>
      </c>
      <c r="L44" s="210">
        <f t="shared" si="42"/>
        <v>0</v>
      </c>
      <c r="M44" s="210">
        <f t="shared" si="42"/>
        <v>0</v>
      </c>
      <c r="N44" s="210">
        <f t="shared" si="42"/>
        <v>0</v>
      </c>
      <c r="O44" s="210">
        <f t="shared" si="42"/>
        <v>0</v>
      </c>
      <c r="P44" s="210">
        <f t="shared" si="42"/>
        <v>0</v>
      </c>
      <c r="Q44" s="210">
        <f t="shared" si="42"/>
        <v>0</v>
      </c>
      <c r="R44" s="210">
        <f t="shared" si="42"/>
        <v>0</v>
      </c>
      <c r="S44" s="210">
        <f t="shared" si="42"/>
        <v>0</v>
      </c>
      <c r="T44" s="210">
        <f t="shared" si="42"/>
        <v>0</v>
      </c>
      <c r="U44" s="210">
        <f t="shared" si="42"/>
        <v>0</v>
      </c>
      <c r="V44" s="210">
        <f t="shared" si="42"/>
        <v>0</v>
      </c>
      <c r="W44" s="210">
        <f t="shared" si="42"/>
        <v>0</v>
      </c>
      <c r="X44" s="210">
        <f t="shared" si="42"/>
        <v>0</v>
      </c>
      <c r="Y44" s="210">
        <f t="shared" si="42"/>
        <v>15.885958418922584</v>
      </c>
      <c r="Z44" s="210">
        <f t="shared" si="42"/>
        <v>15.885958418922584</v>
      </c>
      <c r="AA44" s="210">
        <f t="shared" si="42"/>
        <v>15.885958418922584</v>
      </c>
      <c r="AB44" s="210">
        <f t="shared" si="42"/>
        <v>15.885958418922584</v>
      </c>
      <c r="AC44" s="210">
        <f t="shared" si="42"/>
        <v>15.885958418922584</v>
      </c>
      <c r="AD44" s="210">
        <f t="shared" si="42"/>
        <v>15.885958418922584</v>
      </c>
      <c r="AE44" s="210">
        <f t="shared" si="42"/>
        <v>15.885958418922584</v>
      </c>
      <c r="AF44" s="210">
        <f t="shared" si="42"/>
        <v>15.885958418922584</v>
      </c>
      <c r="AG44" s="210">
        <f t="shared" si="42"/>
        <v>15.885958418922584</v>
      </c>
      <c r="AH44" s="210">
        <f t="shared" si="42"/>
        <v>15.885958418922584</v>
      </c>
      <c r="AI44" s="210">
        <f t="shared" si="42"/>
        <v>15.885958418922584</v>
      </c>
      <c r="AJ44" s="210">
        <f t="shared" si="42"/>
        <v>15.885958418922584</v>
      </c>
      <c r="AK44" s="210">
        <f t="shared" si="42"/>
        <v>15.885958418922584</v>
      </c>
      <c r="AL44" s="210">
        <f t="shared" ref="AL44:BQ44" si="43">IF(AL$22&lt;=$E$24,IF(AL$22&lt;=$D$24,IF(AL$22&lt;=$C$24,IF(AL$22&lt;=$B$24,$B110,($C27-$B27)/($C$24-$B$24)),($D27-$C27)/($D$24-$C$24)),($E27-$D27)/($E$24-$D$24)),$F110)</f>
        <v>15.885958418922584</v>
      </c>
      <c r="AM44" s="210">
        <f t="shared" si="43"/>
        <v>15.885958418922584</v>
      </c>
      <c r="AN44" s="210">
        <f t="shared" si="43"/>
        <v>15.885958418922584</v>
      </c>
      <c r="AO44" s="210">
        <f t="shared" si="43"/>
        <v>15.885958418922584</v>
      </c>
      <c r="AP44" s="210">
        <f t="shared" si="43"/>
        <v>15.885958418922584</v>
      </c>
      <c r="AQ44" s="210">
        <f t="shared" si="43"/>
        <v>15.885958418922584</v>
      </c>
      <c r="AR44" s="210">
        <f t="shared" si="43"/>
        <v>15.885958418922584</v>
      </c>
      <c r="AS44" s="210">
        <f t="shared" si="43"/>
        <v>15.885958418922584</v>
      </c>
      <c r="AT44" s="210">
        <f t="shared" si="43"/>
        <v>15.885958418922584</v>
      </c>
      <c r="AU44" s="210">
        <f t="shared" si="43"/>
        <v>15.885958418922584</v>
      </c>
      <c r="AV44" s="210">
        <f t="shared" si="43"/>
        <v>15.885958418922584</v>
      </c>
      <c r="AW44" s="210">
        <f t="shared" si="43"/>
        <v>15.885958418922584</v>
      </c>
      <c r="AX44" s="210">
        <f t="shared" si="43"/>
        <v>15.885958418922584</v>
      </c>
      <c r="AY44" s="210">
        <f t="shared" si="43"/>
        <v>15.885958418922584</v>
      </c>
      <c r="AZ44" s="210">
        <f t="shared" si="43"/>
        <v>15.885958418922584</v>
      </c>
      <c r="BA44" s="210">
        <f t="shared" si="43"/>
        <v>15.885958418922584</v>
      </c>
      <c r="BB44" s="210">
        <f t="shared" si="43"/>
        <v>15.885958418922584</v>
      </c>
      <c r="BC44" s="210">
        <f t="shared" si="43"/>
        <v>15.885958418922584</v>
      </c>
      <c r="BD44" s="210">
        <f t="shared" si="43"/>
        <v>15.885958418922584</v>
      </c>
      <c r="BE44" s="210">
        <f t="shared" si="43"/>
        <v>15.885958418922584</v>
      </c>
      <c r="BF44" s="210">
        <f t="shared" si="43"/>
        <v>15.885958418922584</v>
      </c>
      <c r="BG44" s="210">
        <f t="shared" si="43"/>
        <v>15.885958418922584</v>
      </c>
      <c r="BH44" s="210">
        <f t="shared" si="43"/>
        <v>12.205466086436255</v>
      </c>
      <c r="BI44" s="210">
        <f t="shared" si="43"/>
        <v>12.205466086436255</v>
      </c>
      <c r="BJ44" s="210">
        <f t="shared" si="43"/>
        <v>12.205466086436255</v>
      </c>
      <c r="BK44" s="210">
        <f t="shared" si="43"/>
        <v>12.205466086436255</v>
      </c>
      <c r="BL44" s="210">
        <f t="shared" si="43"/>
        <v>12.205466086436255</v>
      </c>
      <c r="BM44" s="210">
        <f t="shared" si="43"/>
        <v>12.205466086436255</v>
      </c>
      <c r="BN44" s="210">
        <f t="shared" si="43"/>
        <v>12.205466086436255</v>
      </c>
      <c r="BO44" s="210">
        <f t="shared" si="43"/>
        <v>12.205466086436255</v>
      </c>
      <c r="BP44" s="210">
        <f t="shared" si="43"/>
        <v>12.205466086436255</v>
      </c>
      <c r="BQ44" s="210">
        <f t="shared" si="43"/>
        <v>12.205466086436255</v>
      </c>
      <c r="BR44" s="210">
        <f t="shared" ref="BR44:DA44" si="44">IF(BR$22&lt;=$E$24,IF(BR$22&lt;=$D$24,IF(BR$22&lt;=$C$24,IF(BR$22&lt;=$B$24,$B110,($C27-$B27)/($C$24-$B$24)),($D27-$C27)/($D$24-$C$24)),($E27-$D27)/($E$24-$D$24)),$F110)</f>
        <v>12.205466086436255</v>
      </c>
      <c r="BS44" s="210">
        <f t="shared" si="44"/>
        <v>12.205466086436255</v>
      </c>
      <c r="BT44" s="210">
        <f t="shared" si="44"/>
        <v>12.205466086436255</v>
      </c>
      <c r="BU44" s="210">
        <f t="shared" si="44"/>
        <v>12.205466086436255</v>
      </c>
      <c r="BV44" s="210">
        <f t="shared" si="44"/>
        <v>12.205466086436255</v>
      </c>
      <c r="BW44" s="210">
        <f t="shared" si="44"/>
        <v>12.205466086436255</v>
      </c>
      <c r="BX44" s="210">
        <f t="shared" si="44"/>
        <v>12.205466086436255</v>
      </c>
      <c r="BY44" s="210">
        <f t="shared" si="44"/>
        <v>12.205466086436255</v>
      </c>
      <c r="BZ44" s="210">
        <f t="shared" si="44"/>
        <v>12.205466086436255</v>
      </c>
      <c r="CA44" s="210">
        <f t="shared" si="44"/>
        <v>12.205466086436255</v>
      </c>
      <c r="CB44" s="210">
        <f t="shared" si="44"/>
        <v>12.205466086436255</v>
      </c>
      <c r="CC44" s="210">
        <f t="shared" si="44"/>
        <v>12.205466086436255</v>
      </c>
      <c r="CD44" s="210">
        <f t="shared" si="44"/>
        <v>12.205466086436255</v>
      </c>
      <c r="CE44" s="210">
        <f t="shared" si="44"/>
        <v>12.205466086436255</v>
      </c>
      <c r="CF44" s="210">
        <f t="shared" si="44"/>
        <v>12.205466086436255</v>
      </c>
      <c r="CG44" s="210">
        <f t="shared" si="44"/>
        <v>12.205466086436255</v>
      </c>
      <c r="CH44" s="210">
        <f t="shared" si="44"/>
        <v>12.205466086436255</v>
      </c>
      <c r="CI44" s="210">
        <f t="shared" si="44"/>
        <v>62.950343169558288</v>
      </c>
      <c r="CJ44" s="210">
        <f t="shared" si="44"/>
        <v>62.950343169558288</v>
      </c>
      <c r="CK44" s="210">
        <f t="shared" si="44"/>
        <v>62.950343169558288</v>
      </c>
      <c r="CL44" s="210">
        <f t="shared" si="44"/>
        <v>62.950343169558288</v>
      </c>
      <c r="CM44" s="210">
        <f t="shared" si="44"/>
        <v>62.950343169558288</v>
      </c>
      <c r="CN44" s="210">
        <f t="shared" si="44"/>
        <v>62.950343169558288</v>
      </c>
      <c r="CO44" s="210">
        <f t="shared" si="44"/>
        <v>62.950343169558288</v>
      </c>
      <c r="CP44" s="210">
        <f t="shared" si="44"/>
        <v>62.950343169558288</v>
      </c>
      <c r="CQ44" s="210">
        <f t="shared" si="44"/>
        <v>62.950343169558288</v>
      </c>
      <c r="CR44" s="210">
        <f t="shared" si="44"/>
        <v>62.950343169558288</v>
      </c>
      <c r="CS44" s="210">
        <f t="shared" si="44"/>
        <v>62.950343169558288</v>
      </c>
      <c r="CT44" s="210">
        <f t="shared" si="44"/>
        <v>62.950343169558288</v>
      </c>
      <c r="CU44" s="210">
        <f t="shared" si="44"/>
        <v>62.950343169558288</v>
      </c>
      <c r="CV44" s="210">
        <f t="shared" si="44"/>
        <v>62.950343169558288</v>
      </c>
      <c r="CW44" s="210">
        <f t="shared" si="44"/>
        <v>62.950343169558288</v>
      </c>
      <c r="CX44" s="210">
        <f t="shared" si="44"/>
        <v>8.4310000000000009</v>
      </c>
      <c r="CY44" s="210">
        <f t="shared" si="44"/>
        <v>8.4310000000000009</v>
      </c>
      <c r="CZ44" s="210">
        <f t="shared" si="44"/>
        <v>8.4310000000000009</v>
      </c>
      <c r="DA44" s="210">
        <f t="shared" si="44"/>
        <v>8.4310000000000009</v>
      </c>
    </row>
    <row r="45" spans="1:105">
      <c r="A45" s="201" t="str">
        <f>Income!A75</f>
        <v>Animal products sold</v>
      </c>
      <c r="F45" s="210">
        <f t="shared" ref="F45:AK45" si="45">IF(F$22&lt;=$E$24,IF(F$22&lt;=$D$24,IF(F$22&lt;=$C$24,IF(F$22&lt;=$B$24,$B111,($C28-$B28)/($C$24-$B$24)),($D28-$C28)/($D$24-$C$24)),($E28-$D28)/($E$24-$D$24)),$F111)</f>
        <v>0</v>
      </c>
      <c r="G45" s="210">
        <f t="shared" si="45"/>
        <v>0</v>
      </c>
      <c r="H45" s="210">
        <f t="shared" si="45"/>
        <v>0</v>
      </c>
      <c r="I45" s="210">
        <f t="shared" si="45"/>
        <v>0</v>
      </c>
      <c r="J45" s="210">
        <f t="shared" si="45"/>
        <v>0</v>
      </c>
      <c r="K45" s="210">
        <f t="shared" si="45"/>
        <v>0</v>
      </c>
      <c r="L45" s="210">
        <f t="shared" si="45"/>
        <v>0</v>
      </c>
      <c r="M45" s="210">
        <f t="shared" si="45"/>
        <v>0</v>
      </c>
      <c r="N45" s="210">
        <f t="shared" si="45"/>
        <v>0</v>
      </c>
      <c r="O45" s="210">
        <f t="shared" si="45"/>
        <v>0</v>
      </c>
      <c r="P45" s="210">
        <f t="shared" si="45"/>
        <v>0</v>
      </c>
      <c r="Q45" s="210">
        <f t="shared" si="45"/>
        <v>0</v>
      </c>
      <c r="R45" s="210">
        <f t="shared" si="45"/>
        <v>0</v>
      </c>
      <c r="S45" s="210">
        <f t="shared" si="45"/>
        <v>0</v>
      </c>
      <c r="T45" s="210">
        <f t="shared" si="45"/>
        <v>0</v>
      </c>
      <c r="U45" s="210">
        <f t="shared" si="45"/>
        <v>0</v>
      </c>
      <c r="V45" s="210">
        <f t="shared" si="45"/>
        <v>0</v>
      </c>
      <c r="W45" s="210">
        <f t="shared" si="45"/>
        <v>0</v>
      </c>
      <c r="X45" s="210">
        <f t="shared" si="45"/>
        <v>0</v>
      </c>
      <c r="Y45" s="210">
        <f t="shared" si="45"/>
        <v>0</v>
      </c>
      <c r="Z45" s="210">
        <f t="shared" si="45"/>
        <v>0</v>
      </c>
      <c r="AA45" s="210">
        <f t="shared" si="45"/>
        <v>0</v>
      </c>
      <c r="AB45" s="210">
        <f t="shared" si="45"/>
        <v>0</v>
      </c>
      <c r="AC45" s="210">
        <f t="shared" si="45"/>
        <v>0</v>
      </c>
      <c r="AD45" s="210">
        <f t="shared" si="45"/>
        <v>0</v>
      </c>
      <c r="AE45" s="210">
        <f t="shared" si="45"/>
        <v>0</v>
      </c>
      <c r="AF45" s="210">
        <f t="shared" si="45"/>
        <v>0</v>
      </c>
      <c r="AG45" s="210">
        <f t="shared" si="45"/>
        <v>0</v>
      </c>
      <c r="AH45" s="210">
        <f t="shared" si="45"/>
        <v>0</v>
      </c>
      <c r="AI45" s="210">
        <f t="shared" si="45"/>
        <v>0</v>
      </c>
      <c r="AJ45" s="210">
        <f t="shared" si="45"/>
        <v>0</v>
      </c>
      <c r="AK45" s="210">
        <f t="shared" si="45"/>
        <v>0</v>
      </c>
      <c r="AL45" s="210">
        <f t="shared" ref="AL45:BQ45" si="46">IF(AL$22&lt;=$E$24,IF(AL$22&lt;=$D$24,IF(AL$22&lt;=$C$24,IF(AL$22&lt;=$B$24,$B111,($C28-$B28)/($C$24-$B$24)),($D28-$C28)/($D$24-$C$24)),($E28-$D28)/($E$24-$D$24)),$F111)</f>
        <v>0</v>
      </c>
      <c r="AM45" s="210">
        <f t="shared" si="46"/>
        <v>0</v>
      </c>
      <c r="AN45" s="210">
        <f t="shared" si="46"/>
        <v>0</v>
      </c>
      <c r="AO45" s="210">
        <f t="shared" si="46"/>
        <v>0</v>
      </c>
      <c r="AP45" s="210">
        <f t="shared" si="46"/>
        <v>0</v>
      </c>
      <c r="AQ45" s="210">
        <f t="shared" si="46"/>
        <v>0</v>
      </c>
      <c r="AR45" s="210">
        <f t="shared" si="46"/>
        <v>0</v>
      </c>
      <c r="AS45" s="210">
        <f t="shared" si="46"/>
        <v>0</v>
      </c>
      <c r="AT45" s="210">
        <f t="shared" si="46"/>
        <v>0</v>
      </c>
      <c r="AU45" s="210">
        <f t="shared" si="46"/>
        <v>0</v>
      </c>
      <c r="AV45" s="210">
        <f t="shared" si="46"/>
        <v>0</v>
      </c>
      <c r="AW45" s="210">
        <f t="shared" si="46"/>
        <v>0</v>
      </c>
      <c r="AX45" s="210">
        <f t="shared" si="46"/>
        <v>0</v>
      </c>
      <c r="AY45" s="210">
        <f t="shared" si="46"/>
        <v>0</v>
      </c>
      <c r="AZ45" s="210">
        <f t="shared" si="46"/>
        <v>0</v>
      </c>
      <c r="BA45" s="210">
        <f t="shared" si="46"/>
        <v>0</v>
      </c>
      <c r="BB45" s="210">
        <f t="shared" si="46"/>
        <v>0</v>
      </c>
      <c r="BC45" s="210">
        <f t="shared" si="46"/>
        <v>0</v>
      </c>
      <c r="BD45" s="210">
        <f t="shared" si="46"/>
        <v>0</v>
      </c>
      <c r="BE45" s="210">
        <f t="shared" si="46"/>
        <v>0</v>
      </c>
      <c r="BF45" s="210">
        <f t="shared" si="46"/>
        <v>0</v>
      </c>
      <c r="BG45" s="210">
        <f t="shared" si="46"/>
        <v>0</v>
      </c>
      <c r="BH45" s="210">
        <f t="shared" si="46"/>
        <v>0</v>
      </c>
      <c r="BI45" s="210">
        <f t="shared" si="46"/>
        <v>0</v>
      </c>
      <c r="BJ45" s="210">
        <f t="shared" si="46"/>
        <v>0</v>
      </c>
      <c r="BK45" s="210">
        <f t="shared" si="46"/>
        <v>0</v>
      </c>
      <c r="BL45" s="210">
        <f t="shared" si="46"/>
        <v>0</v>
      </c>
      <c r="BM45" s="210">
        <f t="shared" si="46"/>
        <v>0</v>
      </c>
      <c r="BN45" s="210">
        <f t="shared" si="46"/>
        <v>0</v>
      </c>
      <c r="BO45" s="210">
        <f t="shared" si="46"/>
        <v>0</v>
      </c>
      <c r="BP45" s="210">
        <f t="shared" si="46"/>
        <v>0</v>
      </c>
      <c r="BQ45" s="210">
        <f t="shared" si="46"/>
        <v>0</v>
      </c>
      <c r="BR45" s="210">
        <f t="shared" ref="BR45:DA45" si="47">IF(BR$22&lt;=$E$24,IF(BR$22&lt;=$D$24,IF(BR$22&lt;=$C$24,IF(BR$22&lt;=$B$24,$B111,($C28-$B28)/($C$24-$B$24)),($D28-$C28)/($D$24-$C$24)),($E28-$D28)/($E$24-$D$24)),$F111)</f>
        <v>0</v>
      </c>
      <c r="BS45" s="210">
        <f t="shared" si="47"/>
        <v>0</v>
      </c>
      <c r="BT45" s="210">
        <f t="shared" si="47"/>
        <v>0</v>
      </c>
      <c r="BU45" s="210">
        <f t="shared" si="47"/>
        <v>0</v>
      </c>
      <c r="BV45" s="210">
        <f t="shared" si="47"/>
        <v>0</v>
      </c>
      <c r="BW45" s="210">
        <f t="shared" si="47"/>
        <v>0</v>
      </c>
      <c r="BX45" s="210">
        <f t="shared" si="47"/>
        <v>0</v>
      </c>
      <c r="BY45" s="210">
        <f t="shared" si="47"/>
        <v>0</v>
      </c>
      <c r="BZ45" s="210">
        <f t="shared" si="47"/>
        <v>0</v>
      </c>
      <c r="CA45" s="210">
        <f t="shared" si="47"/>
        <v>0</v>
      </c>
      <c r="CB45" s="210">
        <f t="shared" si="47"/>
        <v>0</v>
      </c>
      <c r="CC45" s="210">
        <f t="shared" si="47"/>
        <v>0</v>
      </c>
      <c r="CD45" s="210">
        <f t="shared" si="47"/>
        <v>0</v>
      </c>
      <c r="CE45" s="210">
        <f t="shared" si="47"/>
        <v>0</v>
      </c>
      <c r="CF45" s="210">
        <f t="shared" si="47"/>
        <v>0</v>
      </c>
      <c r="CG45" s="210">
        <f t="shared" si="47"/>
        <v>0</v>
      </c>
      <c r="CH45" s="210">
        <f t="shared" si="47"/>
        <v>0</v>
      </c>
      <c r="CI45" s="210">
        <f t="shared" si="47"/>
        <v>0</v>
      </c>
      <c r="CJ45" s="210">
        <f t="shared" si="47"/>
        <v>0</v>
      </c>
      <c r="CK45" s="210">
        <f t="shared" si="47"/>
        <v>0</v>
      </c>
      <c r="CL45" s="210">
        <f t="shared" si="47"/>
        <v>0</v>
      </c>
      <c r="CM45" s="210">
        <f t="shared" si="47"/>
        <v>0</v>
      </c>
      <c r="CN45" s="210">
        <f t="shared" si="47"/>
        <v>0</v>
      </c>
      <c r="CO45" s="210">
        <f t="shared" si="47"/>
        <v>0</v>
      </c>
      <c r="CP45" s="210">
        <f t="shared" si="47"/>
        <v>0</v>
      </c>
      <c r="CQ45" s="210">
        <f t="shared" si="47"/>
        <v>0</v>
      </c>
      <c r="CR45" s="210">
        <f t="shared" si="47"/>
        <v>0</v>
      </c>
      <c r="CS45" s="210">
        <f t="shared" si="47"/>
        <v>0</v>
      </c>
      <c r="CT45" s="210">
        <f t="shared" si="47"/>
        <v>0</v>
      </c>
      <c r="CU45" s="210">
        <f t="shared" si="47"/>
        <v>0</v>
      </c>
      <c r="CV45" s="210">
        <f t="shared" si="47"/>
        <v>0</v>
      </c>
      <c r="CW45" s="210">
        <f t="shared" si="47"/>
        <v>0</v>
      </c>
      <c r="CX45" s="210">
        <f t="shared" si="47"/>
        <v>0</v>
      </c>
      <c r="CY45" s="210">
        <f t="shared" si="47"/>
        <v>0</v>
      </c>
      <c r="CZ45" s="210">
        <f t="shared" si="47"/>
        <v>0</v>
      </c>
      <c r="DA45" s="210">
        <f t="shared" si="47"/>
        <v>0</v>
      </c>
    </row>
    <row r="46" spans="1:105">
      <c r="A46" s="201" t="str">
        <f>Income!A76</f>
        <v>Animals sold</v>
      </c>
      <c r="F46" s="210">
        <f t="shared" ref="F46:AK46" si="48">IF(F$22&lt;=$E$24,IF(F$22&lt;=$D$24,IF(F$22&lt;=$C$24,IF(F$22&lt;=$B$24,$B112,($C29-$B29)/($C$24-$B$24)),($D29-$C29)/($D$24-$C$24)),($E29-$D29)/($E$24-$D$24)),$F112)</f>
        <v>0</v>
      </c>
      <c r="G46" s="210">
        <f t="shared" si="48"/>
        <v>0</v>
      </c>
      <c r="H46" s="210">
        <f t="shared" si="48"/>
        <v>0</v>
      </c>
      <c r="I46" s="210">
        <f t="shared" si="48"/>
        <v>0</v>
      </c>
      <c r="J46" s="210">
        <f t="shared" si="48"/>
        <v>0</v>
      </c>
      <c r="K46" s="210">
        <f t="shared" si="48"/>
        <v>0</v>
      </c>
      <c r="L46" s="210">
        <f t="shared" si="48"/>
        <v>0</v>
      </c>
      <c r="M46" s="210">
        <f t="shared" si="48"/>
        <v>0</v>
      </c>
      <c r="N46" s="210">
        <f t="shared" si="48"/>
        <v>0</v>
      </c>
      <c r="O46" s="210">
        <f t="shared" si="48"/>
        <v>0</v>
      </c>
      <c r="P46" s="210">
        <f t="shared" si="48"/>
        <v>0</v>
      </c>
      <c r="Q46" s="210">
        <f t="shared" si="48"/>
        <v>0</v>
      </c>
      <c r="R46" s="210">
        <f t="shared" si="48"/>
        <v>0</v>
      </c>
      <c r="S46" s="210">
        <f t="shared" si="48"/>
        <v>0</v>
      </c>
      <c r="T46" s="210">
        <f t="shared" si="48"/>
        <v>0</v>
      </c>
      <c r="U46" s="210">
        <f t="shared" si="48"/>
        <v>0</v>
      </c>
      <c r="V46" s="210">
        <f t="shared" si="48"/>
        <v>0</v>
      </c>
      <c r="W46" s="210">
        <f t="shared" si="48"/>
        <v>0</v>
      </c>
      <c r="X46" s="210">
        <f t="shared" si="48"/>
        <v>0</v>
      </c>
      <c r="Y46" s="210">
        <f t="shared" si="48"/>
        <v>165.33831212084573</v>
      </c>
      <c r="Z46" s="210">
        <f t="shared" si="48"/>
        <v>165.33831212084573</v>
      </c>
      <c r="AA46" s="210">
        <f t="shared" si="48"/>
        <v>165.33831212084573</v>
      </c>
      <c r="AB46" s="210">
        <f t="shared" si="48"/>
        <v>165.33831212084573</v>
      </c>
      <c r="AC46" s="210">
        <f t="shared" si="48"/>
        <v>165.33831212084573</v>
      </c>
      <c r="AD46" s="210">
        <f t="shared" si="48"/>
        <v>165.33831212084573</v>
      </c>
      <c r="AE46" s="210">
        <f t="shared" si="48"/>
        <v>165.33831212084573</v>
      </c>
      <c r="AF46" s="210">
        <f t="shared" si="48"/>
        <v>165.33831212084573</v>
      </c>
      <c r="AG46" s="210">
        <f t="shared" si="48"/>
        <v>165.33831212084573</v>
      </c>
      <c r="AH46" s="210">
        <f t="shared" si="48"/>
        <v>165.33831212084573</v>
      </c>
      <c r="AI46" s="210">
        <f t="shared" si="48"/>
        <v>165.33831212084573</v>
      </c>
      <c r="AJ46" s="210">
        <f t="shared" si="48"/>
        <v>165.33831212084573</v>
      </c>
      <c r="AK46" s="210">
        <f t="shared" si="48"/>
        <v>165.33831212084573</v>
      </c>
      <c r="AL46" s="210">
        <f t="shared" ref="AL46:BQ46" si="49">IF(AL$22&lt;=$E$24,IF(AL$22&lt;=$D$24,IF(AL$22&lt;=$C$24,IF(AL$22&lt;=$B$24,$B112,($C29-$B29)/($C$24-$B$24)),($D29-$C29)/($D$24-$C$24)),($E29-$D29)/($E$24-$D$24)),$F112)</f>
        <v>165.33831212084573</v>
      </c>
      <c r="AM46" s="210">
        <f t="shared" si="49"/>
        <v>165.33831212084573</v>
      </c>
      <c r="AN46" s="210">
        <f t="shared" si="49"/>
        <v>165.33831212084573</v>
      </c>
      <c r="AO46" s="210">
        <f t="shared" si="49"/>
        <v>165.33831212084573</v>
      </c>
      <c r="AP46" s="210">
        <f t="shared" si="49"/>
        <v>165.33831212084573</v>
      </c>
      <c r="AQ46" s="210">
        <f t="shared" si="49"/>
        <v>165.33831212084573</v>
      </c>
      <c r="AR46" s="210">
        <f t="shared" si="49"/>
        <v>165.33831212084573</v>
      </c>
      <c r="AS46" s="210">
        <f t="shared" si="49"/>
        <v>165.33831212084573</v>
      </c>
      <c r="AT46" s="210">
        <f t="shared" si="49"/>
        <v>165.33831212084573</v>
      </c>
      <c r="AU46" s="210">
        <f t="shared" si="49"/>
        <v>165.33831212084573</v>
      </c>
      <c r="AV46" s="210">
        <f t="shared" si="49"/>
        <v>165.33831212084573</v>
      </c>
      <c r="AW46" s="210">
        <f t="shared" si="49"/>
        <v>165.33831212084573</v>
      </c>
      <c r="AX46" s="210">
        <f t="shared" si="49"/>
        <v>165.33831212084573</v>
      </c>
      <c r="AY46" s="210">
        <f t="shared" si="49"/>
        <v>165.33831212084573</v>
      </c>
      <c r="AZ46" s="210">
        <f t="shared" si="49"/>
        <v>165.33831212084573</v>
      </c>
      <c r="BA46" s="210">
        <f t="shared" si="49"/>
        <v>165.33831212084573</v>
      </c>
      <c r="BB46" s="210">
        <f t="shared" si="49"/>
        <v>165.33831212084573</v>
      </c>
      <c r="BC46" s="210">
        <f t="shared" si="49"/>
        <v>165.33831212084573</v>
      </c>
      <c r="BD46" s="210">
        <f t="shared" si="49"/>
        <v>165.33831212084573</v>
      </c>
      <c r="BE46" s="210">
        <f t="shared" si="49"/>
        <v>165.33831212084573</v>
      </c>
      <c r="BF46" s="210">
        <f t="shared" si="49"/>
        <v>165.33831212084573</v>
      </c>
      <c r="BG46" s="210">
        <f t="shared" si="49"/>
        <v>165.33831212084573</v>
      </c>
      <c r="BH46" s="210">
        <f t="shared" si="49"/>
        <v>445.74492986372337</v>
      </c>
      <c r="BI46" s="210">
        <f t="shared" si="49"/>
        <v>445.74492986372337</v>
      </c>
      <c r="BJ46" s="210">
        <f t="shared" si="49"/>
        <v>445.74492986372337</v>
      </c>
      <c r="BK46" s="210">
        <f t="shared" si="49"/>
        <v>445.74492986372337</v>
      </c>
      <c r="BL46" s="210">
        <f t="shared" si="49"/>
        <v>445.74492986372337</v>
      </c>
      <c r="BM46" s="210">
        <f t="shared" si="49"/>
        <v>445.74492986372337</v>
      </c>
      <c r="BN46" s="210">
        <f t="shared" si="49"/>
        <v>445.74492986372337</v>
      </c>
      <c r="BO46" s="210">
        <f t="shared" si="49"/>
        <v>445.74492986372337</v>
      </c>
      <c r="BP46" s="210">
        <f t="shared" si="49"/>
        <v>445.74492986372337</v>
      </c>
      <c r="BQ46" s="210">
        <f t="shared" si="49"/>
        <v>445.74492986372337</v>
      </c>
      <c r="BR46" s="210">
        <f t="shared" ref="BR46:DA46" si="50">IF(BR$22&lt;=$E$24,IF(BR$22&lt;=$D$24,IF(BR$22&lt;=$C$24,IF(BR$22&lt;=$B$24,$B112,($C29-$B29)/($C$24-$B$24)),($D29-$C29)/($D$24-$C$24)),($E29-$D29)/($E$24-$D$24)),$F112)</f>
        <v>445.74492986372337</v>
      </c>
      <c r="BS46" s="210">
        <f t="shared" si="50"/>
        <v>445.74492986372337</v>
      </c>
      <c r="BT46" s="210">
        <f t="shared" si="50"/>
        <v>445.74492986372337</v>
      </c>
      <c r="BU46" s="210">
        <f t="shared" si="50"/>
        <v>445.74492986372337</v>
      </c>
      <c r="BV46" s="210">
        <f t="shared" si="50"/>
        <v>445.74492986372337</v>
      </c>
      <c r="BW46" s="210">
        <f t="shared" si="50"/>
        <v>445.74492986372337</v>
      </c>
      <c r="BX46" s="210">
        <f t="shared" si="50"/>
        <v>445.74492986372337</v>
      </c>
      <c r="BY46" s="210">
        <f t="shared" si="50"/>
        <v>445.74492986372337</v>
      </c>
      <c r="BZ46" s="210">
        <f t="shared" si="50"/>
        <v>445.74492986372337</v>
      </c>
      <c r="CA46" s="210">
        <f t="shared" si="50"/>
        <v>445.74492986372337</v>
      </c>
      <c r="CB46" s="210">
        <f t="shared" si="50"/>
        <v>445.74492986372337</v>
      </c>
      <c r="CC46" s="210">
        <f t="shared" si="50"/>
        <v>445.74492986372337</v>
      </c>
      <c r="CD46" s="210">
        <f t="shared" si="50"/>
        <v>445.74492986372337</v>
      </c>
      <c r="CE46" s="210">
        <f t="shared" si="50"/>
        <v>445.74492986372337</v>
      </c>
      <c r="CF46" s="210">
        <f t="shared" si="50"/>
        <v>445.74492986372337</v>
      </c>
      <c r="CG46" s="210">
        <f t="shared" si="50"/>
        <v>445.74492986372337</v>
      </c>
      <c r="CH46" s="210">
        <f t="shared" si="50"/>
        <v>445.74492986372337</v>
      </c>
      <c r="CI46" s="210">
        <f t="shared" si="50"/>
        <v>884.64656928478246</v>
      </c>
      <c r="CJ46" s="210">
        <f t="shared" si="50"/>
        <v>884.64656928478246</v>
      </c>
      <c r="CK46" s="210">
        <f t="shared" si="50"/>
        <v>884.64656928478246</v>
      </c>
      <c r="CL46" s="210">
        <f t="shared" si="50"/>
        <v>884.64656928478246</v>
      </c>
      <c r="CM46" s="210">
        <f t="shared" si="50"/>
        <v>884.64656928478246</v>
      </c>
      <c r="CN46" s="210">
        <f t="shared" si="50"/>
        <v>884.64656928478246</v>
      </c>
      <c r="CO46" s="210">
        <f t="shared" si="50"/>
        <v>884.64656928478246</v>
      </c>
      <c r="CP46" s="210">
        <f t="shared" si="50"/>
        <v>884.64656928478246</v>
      </c>
      <c r="CQ46" s="210">
        <f t="shared" si="50"/>
        <v>884.64656928478246</v>
      </c>
      <c r="CR46" s="210">
        <f t="shared" si="50"/>
        <v>884.64656928478246</v>
      </c>
      <c r="CS46" s="210">
        <f t="shared" si="50"/>
        <v>884.64656928478246</v>
      </c>
      <c r="CT46" s="210">
        <f t="shared" si="50"/>
        <v>884.64656928478246</v>
      </c>
      <c r="CU46" s="210">
        <f t="shared" si="50"/>
        <v>884.64656928478246</v>
      </c>
      <c r="CV46" s="210">
        <f t="shared" si="50"/>
        <v>884.64656928478246</v>
      </c>
      <c r="CW46" s="210">
        <f t="shared" si="50"/>
        <v>884.64656928478246</v>
      </c>
      <c r="CX46" s="210">
        <f t="shared" si="50"/>
        <v>0</v>
      </c>
      <c r="CY46" s="210">
        <f t="shared" si="50"/>
        <v>0</v>
      </c>
      <c r="CZ46" s="210">
        <f t="shared" si="50"/>
        <v>0</v>
      </c>
      <c r="DA46" s="210">
        <f t="shared" si="50"/>
        <v>0</v>
      </c>
    </row>
    <row r="47" spans="1:105">
      <c r="A47" s="201" t="str">
        <f>Income!A77</f>
        <v>Wild foods consumed and sold</v>
      </c>
      <c r="F47" s="210">
        <f t="shared" ref="F47:AK47" si="51">IF(F$22&lt;=$E$24,IF(F$22&lt;=$D$24,IF(F$22&lt;=$C$24,IF(F$22&lt;=$B$24,$B113,($C30-$B30)/($C$24-$B$24)),($D30-$C30)/($D$24-$C$24)),($E30-$D30)/($E$24-$D$24)),$F113)</f>
        <v>0</v>
      </c>
      <c r="G47" s="210">
        <f t="shared" si="51"/>
        <v>0</v>
      </c>
      <c r="H47" s="210">
        <f t="shared" si="51"/>
        <v>0</v>
      </c>
      <c r="I47" s="210">
        <f t="shared" si="51"/>
        <v>0</v>
      </c>
      <c r="J47" s="210">
        <f t="shared" si="51"/>
        <v>0</v>
      </c>
      <c r="K47" s="210">
        <f t="shared" si="51"/>
        <v>0</v>
      </c>
      <c r="L47" s="210">
        <f t="shared" si="51"/>
        <v>0</v>
      </c>
      <c r="M47" s="210">
        <f t="shared" si="51"/>
        <v>0</v>
      </c>
      <c r="N47" s="210">
        <f t="shared" si="51"/>
        <v>0</v>
      </c>
      <c r="O47" s="210">
        <f t="shared" si="51"/>
        <v>0</v>
      </c>
      <c r="P47" s="210">
        <f t="shared" si="51"/>
        <v>0</v>
      </c>
      <c r="Q47" s="210">
        <f t="shared" si="51"/>
        <v>0</v>
      </c>
      <c r="R47" s="210">
        <f t="shared" si="51"/>
        <v>0</v>
      </c>
      <c r="S47" s="210">
        <f t="shared" si="51"/>
        <v>0</v>
      </c>
      <c r="T47" s="210">
        <f t="shared" si="51"/>
        <v>0</v>
      </c>
      <c r="U47" s="210">
        <f t="shared" si="51"/>
        <v>0</v>
      </c>
      <c r="V47" s="210">
        <f t="shared" si="51"/>
        <v>0</v>
      </c>
      <c r="W47" s="210">
        <f t="shared" si="51"/>
        <v>0</v>
      </c>
      <c r="X47" s="210">
        <f t="shared" si="51"/>
        <v>0</v>
      </c>
      <c r="Y47" s="210">
        <f t="shared" si="51"/>
        <v>13.883958522383248</v>
      </c>
      <c r="Z47" s="210">
        <f t="shared" si="51"/>
        <v>13.883958522383248</v>
      </c>
      <c r="AA47" s="210">
        <f t="shared" si="51"/>
        <v>13.883958522383248</v>
      </c>
      <c r="AB47" s="210">
        <f t="shared" si="51"/>
        <v>13.883958522383248</v>
      </c>
      <c r="AC47" s="210">
        <f t="shared" si="51"/>
        <v>13.883958522383248</v>
      </c>
      <c r="AD47" s="210">
        <f t="shared" si="51"/>
        <v>13.883958522383248</v>
      </c>
      <c r="AE47" s="210">
        <f t="shared" si="51"/>
        <v>13.883958522383248</v>
      </c>
      <c r="AF47" s="210">
        <f t="shared" si="51"/>
        <v>13.883958522383248</v>
      </c>
      <c r="AG47" s="210">
        <f t="shared" si="51"/>
        <v>13.883958522383248</v>
      </c>
      <c r="AH47" s="210">
        <f t="shared" si="51"/>
        <v>13.883958522383248</v>
      </c>
      <c r="AI47" s="210">
        <f t="shared" si="51"/>
        <v>13.883958522383248</v>
      </c>
      <c r="AJ47" s="210">
        <f t="shared" si="51"/>
        <v>13.883958522383248</v>
      </c>
      <c r="AK47" s="210">
        <f t="shared" si="51"/>
        <v>13.883958522383248</v>
      </c>
      <c r="AL47" s="210">
        <f t="shared" ref="AL47:BQ47" si="52">IF(AL$22&lt;=$E$24,IF(AL$22&lt;=$D$24,IF(AL$22&lt;=$C$24,IF(AL$22&lt;=$B$24,$B113,($C30-$B30)/($C$24-$B$24)),($D30-$C30)/($D$24-$C$24)),($E30-$D30)/($E$24-$D$24)),$F113)</f>
        <v>13.883958522383248</v>
      </c>
      <c r="AM47" s="210">
        <f t="shared" si="52"/>
        <v>13.883958522383248</v>
      </c>
      <c r="AN47" s="210">
        <f t="shared" si="52"/>
        <v>13.883958522383248</v>
      </c>
      <c r="AO47" s="210">
        <f t="shared" si="52"/>
        <v>13.883958522383248</v>
      </c>
      <c r="AP47" s="210">
        <f t="shared" si="52"/>
        <v>13.883958522383248</v>
      </c>
      <c r="AQ47" s="210">
        <f t="shared" si="52"/>
        <v>13.883958522383248</v>
      </c>
      <c r="AR47" s="210">
        <f t="shared" si="52"/>
        <v>13.883958522383248</v>
      </c>
      <c r="AS47" s="210">
        <f t="shared" si="52"/>
        <v>13.883958522383248</v>
      </c>
      <c r="AT47" s="210">
        <f t="shared" si="52"/>
        <v>13.883958522383248</v>
      </c>
      <c r="AU47" s="210">
        <f t="shared" si="52"/>
        <v>13.883958522383248</v>
      </c>
      <c r="AV47" s="210">
        <f t="shared" si="52"/>
        <v>13.883958522383248</v>
      </c>
      <c r="AW47" s="210">
        <f t="shared" si="52"/>
        <v>13.883958522383248</v>
      </c>
      <c r="AX47" s="210">
        <f t="shared" si="52"/>
        <v>13.883958522383248</v>
      </c>
      <c r="AY47" s="210">
        <f t="shared" si="52"/>
        <v>13.883958522383248</v>
      </c>
      <c r="AZ47" s="210">
        <f t="shared" si="52"/>
        <v>13.883958522383248</v>
      </c>
      <c r="BA47" s="210">
        <f t="shared" si="52"/>
        <v>13.883958522383248</v>
      </c>
      <c r="BB47" s="210">
        <f t="shared" si="52"/>
        <v>13.883958522383248</v>
      </c>
      <c r="BC47" s="210">
        <f t="shared" si="52"/>
        <v>13.883958522383248</v>
      </c>
      <c r="BD47" s="210">
        <f t="shared" si="52"/>
        <v>13.883958522383248</v>
      </c>
      <c r="BE47" s="210">
        <f t="shared" si="52"/>
        <v>13.883958522383248</v>
      </c>
      <c r="BF47" s="210">
        <f t="shared" si="52"/>
        <v>13.883958522383248</v>
      </c>
      <c r="BG47" s="210">
        <f t="shared" si="52"/>
        <v>13.883958522383248</v>
      </c>
      <c r="BH47" s="210">
        <f t="shared" si="52"/>
        <v>-42.358279741876309</v>
      </c>
      <c r="BI47" s="210">
        <f t="shared" si="52"/>
        <v>-42.358279741876309</v>
      </c>
      <c r="BJ47" s="210">
        <f t="shared" si="52"/>
        <v>-42.358279741876309</v>
      </c>
      <c r="BK47" s="210">
        <f t="shared" si="52"/>
        <v>-42.358279741876309</v>
      </c>
      <c r="BL47" s="210">
        <f t="shared" si="52"/>
        <v>-42.358279741876309</v>
      </c>
      <c r="BM47" s="210">
        <f t="shared" si="52"/>
        <v>-42.358279741876309</v>
      </c>
      <c r="BN47" s="210">
        <f t="shared" si="52"/>
        <v>-42.358279741876309</v>
      </c>
      <c r="BO47" s="210">
        <f t="shared" si="52"/>
        <v>-42.358279741876309</v>
      </c>
      <c r="BP47" s="210">
        <f t="shared" si="52"/>
        <v>-42.358279741876309</v>
      </c>
      <c r="BQ47" s="210">
        <f t="shared" si="52"/>
        <v>-42.358279741876309</v>
      </c>
      <c r="BR47" s="210">
        <f t="shared" ref="BR47:DA47" si="53">IF(BR$22&lt;=$E$24,IF(BR$22&lt;=$D$24,IF(BR$22&lt;=$C$24,IF(BR$22&lt;=$B$24,$B113,($C30-$B30)/($C$24-$B$24)),($D30-$C30)/($D$24-$C$24)),($E30-$D30)/($E$24-$D$24)),$F113)</f>
        <v>-42.358279741876309</v>
      </c>
      <c r="BS47" s="210">
        <f t="shared" si="53"/>
        <v>-42.358279741876309</v>
      </c>
      <c r="BT47" s="210">
        <f t="shared" si="53"/>
        <v>-42.358279741876309</v>
      </c>
      <c r="BU47" s="210">
        <f t="shared" si="53"/>
        <v>-42.358279741876309</v>
      </c>
      <c r="BV47" s="210">
        <f t="shared" si="53"/>
        <v>-42.358279741876309</v>
      </c>
      <c r="BW47" s="210">
        <f t="shared" si="53"/>
        <v>-42.358279741876309</v>
      </c>
      <c r="BX47" s="210">
        <f t="shared" si="53"/>
        <v>-42.358279741876309</v>
      </c>
      <c r="BY47" s="210">
        <f t="shared" si="53"/>
        <v>-42.358279741876309</v>
      </c>
      <c r="BZ47" s="210">
        <f t="shared" si="53"/>
        <v>-42.358279741876309</v>
      </c>
      <c r="CA47" s="210">
        <f t="shared" si="53"/>
        <v>-42.358279741876309</v>
      </c>
      <c r="CB47" s="210">
        <f t="shared" si="53"/>
        <v>-42.358279741876309</v>
      </c>
      <c r="CC47" s="210">
        <f t="shared" si="53"/>
        <v>-42.358279741876309</v>
      </c>
      <c r="CD47" s="210">
        <f t="shared" si="53"/>
        <v>-42.358279741876309</v>
      </c>
      <c r="CE47" s="210">
        <f t="shared" si="53"/>
        <v>-42.358279741876309</v>
      </c>
      <c r="CF47" s="210">
        <f t="shared" si="53"/>
        <v>-42.358279741876309</v>
      </c>
      <c r="CG47" s="210">
        <f t="shared" si="53"/>
        <v>-42.358279741876309</v>
      </c>
      <c r="CH47" s="210">
        <f t="shared" si="53"/>
        <v>-42.358279741876309</v>
      </c>
      <c r="CI47" s="210">
        <f t="shared" si="53"/>
        <v>0</v>
      </c>
      <c r="CJ47" s="210">
        <f t="shared" si="53"/>
        <v>0</v>
      </c>
      <c r="CK47" s="210">
        <f t="shared" si="53"/>
        <v>0</v>
      </c>
      <c r="CL47" s="210">
        <f t="shared" si="53"/>
        <v>0</v>
      </c>
      <c r="CM47" s="210">
        <f t="shared" si="53"/>
        <v>0</v>
      </c>
      <c r="CN47" s="210">
        <f t="shared" si="53"/>
        <v>0</v>
      </c>
      <c r="CO47" s="210">
        <f t="shared" si="53"/>
        <v>0</v>
      </c>
      <c r="CP47" s="210">
        <f t="shared" si="53"/>
        <v>0</v>
      </c>
      <c r="CQ47" s="210">
        <f t="shared" si="53"/>
        <v>0</v>
      </c>
      <c r="CR47" s="210">
        <f t="shared" si="53"/>
        <v>0</v>
      </c>
      <c r="CS47" s="210">
        <f t="shared" si="53"/>
        <v>0</v>
      </c>
      <c r="CT47" s="210">
        <f t="shared" si="53"/>
        <v>0</v>
      </c>
      <c r="CU47" s="210">
        <f t="shared" si="53"/>
        <v>0</v>
      </c>
      <c r="CV47" s="210">
        <f t="shared" si="53"/>
        <v>0</v>
      </c>
      <c r="CW47" s="210">
        <f t="shared" si="53"/>
        <v>0</v>
      </c>
      <c r="CX47" s="210">
        <f t="shared" si="53"/>
        <v>52.189999999999884</v>
      </c>
      <c r="CY47" s="210">
        <f t="shared" si="53"/>
        <v>52.189999999999884</v>
      </c>
      <c r="CZ47" s="210">
        <f t="shared" si="53"/>
        <v>52.189999999999884</v>
      </c>
      <c r="DA47" s="210">
        <f t="shared" si="53"/>
        <v>52.189999999999884</v>
      </c>
    </row>
    <row r="48" spans="1:105">
      <c r="A48" s="201" t="str">
        <f>Income!A78</f>
        <v>Labour - casual</v>
      </c>
      <c r="F48" s="210">
        <f t="shared" ref="F48:AK48" si="54">IF(F$22&lt;=$E$24,IF(F$22&lt;=$D$24,IF(F$22&lt;=$C$24,IF(F$22&lt;=$B$24,$B114,($C31-$B31)/($C$24-$B$24)),($D31-$C31)/($D$24-$C$24)),($E31-$D31)/($E$24-$D$24)),$F114)</f>
        <v>0</v>
      </c>
      <c r="G48" s="210">
        <f t="shared" si="54"/>
        <v>0</v>
      </c>
      <c r="H48" s="210">
        <f t="shared" si="54"/>
        <v>0</v>
      </c>
      <c r="I48" s="210">
        <f t="shared" si="54"/>
        <v>0</v>
      </c>
      <c r="J48" s="210">
        <f t="shared" si="54"/>
        <v>0</v>
      </c>
      <c r="K48" s="210">
        <f t="shared" si="54"/>
        <v>0</v>
      </c>
      <c r="L48" s="210">
        <f t="shared" si="54"/>
        <v>0</v>
      </c>
      <c r="M48" s="210">
        <f t="shared" si="54"/>
        <v>0</v>
      </c>
      <c r="N48" s="210">
        <f t="shared" si="54"/>
        <v>0</v>
      </c>
      <c r="O48" s="210">
        <f t="shared" si="54"/>
        <v>0</v>
      </c>
      <c r="P48" s="210">
        <f t="shared" si="54"/>
        <v>0</v>
      </c>
      <c r="Q48" s="210">
        <f t="shared" si="54"/>
        <v>0</v>
      </c>
      <c r="R48" s="210">
        <f t="shared" si="54"/>
        <v>0</v>
      </c>
      <c r="S48" s="210">
        <f t="shared" si="54"/>
        <v>0</v>
      </c>
      <c r="T48" s="210">
        <f t="shared" si="54"/>
        <v>0</v>
      </c>
      <c r="U48" s="210">
        <f t="shared" si="54"/>
        <v>0</v>
      </c>
      <c r="V48" s="210">
        <f t="shared" si="54"/>
        <v>0</v>
      </c>
      <c r="W48" s="210">
        <f t="shared" si="54"/>
        <v>0</v>
      </c>
      <c r="X48" s="210">
        <f t="shared" si="54"/>
        <v>0</v>
      </c>
      <c r="Y48" s="210">
        <f t="shared" si="54"/>
        <v>179.82404529581592</v>
      </c>
      <c r="Z48" s="210">
        <f t="shared" si="54"/>
        <v>179.82404529581592</v>
      </c>
      <c r="AA48" s="210">
        <f t="shared" si="54"/>
        <v>179.82404529581592</v>
      </c>
      <c r="AB48" s="210">
        <f t="shared" si="54"/>
        <v>179.82404529581592</v>
      </c>
      <c r="AC48" s="210">
        <f t="shared" si="54"/>
        <v>179.82404529581592</v>
      </c>
      <c r="AD48" s="210">
        <f t="shared" si="54"/>
        <v>179.82404529581592</v>
      </c>
      <c r="AE48" s="210">
        <f t="shared" si="54"/>
        <v>179.82404529581592</v>
      </c>
      <c r="AF48" s="210">
        <f t="shared" si="54"/>
        <v>179.82404529581592</v>
      </c>
      <c r="AG48" s="210">
        <f t="shared" si="54"/>
        <v>179.82404529581592</v>
      </c>
      <c r="AH48" s="210">
        <f t="shared" si="54"/>
        <v>179.82404529581592</v>
      </c>
      <c r="AI48" s="210">
        <f t="shared" si="54"/>
        <v>179.82404529581592</v>
      </c>
      <c r="AJ48" s="210">
        <f t="shared" si="54"/>
        <v>179.82404529581592</v>
      </c>
      <c r="AK48" s="210">
        <f t="shared" si="54"/>
        <v>179.82404529581592</v>
      </c>
      <c r="AL48" s="210">
        <f t="shared" ref="AL48:BQ48" si="55">IF(AL$22&lt;=$E$24,IF(AL$22&lt;=$D$24,IF(AL$22&lt;=$C$24,IF(AL$22&lt;=$B$24,$B114,($C31-$B31)/($C$24-$B$24)),($D31-$C31)/($D$24-$C$24)),($E31-$D31)/($E$24-$D$24)),$F114)</f>
        <v>179.82404529581592</v>
      </c>
      <c r="AM48" s="210">
        <f t="shared" si="55"/>
        <v>179.82404529581592</v>
      </c>
      <c r="AN48" s="210">
        <f t="shared" si="55"/>
        <v>179.82404529581592</v>
      </c>
      <c r="AO48" s="210">
        <f t="shared" si="55"/>
        <v>179.82404529581592</v>
      </c>
      <c r="AP48" s="210">
        <f t="shared" si="55"/>
        <v>179.82404529581592</v>
      </c>
      <c r="AQ48" s="210">
        <f t="shared" si="55"/>
        <v>179.82404529581592</v>
      </c>
      <c r="AR48" s="210">
        <f t="shared" si="55"/>
        <v>179.82404529581592</v>
      </c>
      <c r="AS48" s="210">
        <f t="shared" si="55"/>
        <v>179.82404529581592</v>
      </c>
      <c r="AT48" s="210">
        <f t="shared" si="55"/>
        <v>179.82404529581592</v>
      </c>
      <c r="AU48" s="210">
        <f t="shared" si="55"/>
        <v>179.82404529581592</v>
      </c>
      <c r="AV48" s="210">
        <f t="shared" si="55"/>
        <v>179.82404529581592</v>
      </c>
      <c r="AW48" s="210">
        <f t="shared" si="55"/>
        <v>179.82404529581592</v>
      </c>
      <c r="AX48" s="210">
        <f t="shared" si="55"/>
        <v>179.82404529581592</v>
      </c>
      <c r="AY48" s="210">
        <f t="shared" si="55"/>
        <v>179.82404529581592</v>
      </c>
      <c r="AZ48" s="210">
        <f t="shared" si="55"/>
        <v>179.82404529581592</v>
      </c>
      <c r="BA48" s="210">
        <f t="shared" si="55"/>
        <v>179.82404529581592</v>
      </c>
      <c r="BB48" s="210">
        <f t="shared" si="55"/>
        <v>179.82404529581592</v>
      </c>
      <c r="BC48" s="210">
        <f t="shared" si="55"/>
        <v>179.82404529581592</v>
      </c>
      <c r="BD48" s="210">
        <f t="shared" si="55"/>
        <v>179.82404529581592</v>
      </c>
      <c r="BE48" s="210">
        <f t="shared" si="55"/>
        <v>179.82404529581592</v>
      </c>
      <c r="BF48" s="210">
        <f t="shared" si="55"/>
        <v>179.82404529581592</v>
      </c>
      <c r="BG48" s="210">
        <f t="shared" si="55"/>
        <v>179.82404529581592</v>
      </c>
      <c r="BH48" s="210">
        <f t="shared" si="55"/>
        <v>-529.46430765450589</v>
      </c>
      <c r="BI48" s="210">
        <f t="shared" si="55"/>
        <v>-529.46430765450589</v>
      </c>
      <c r="BJ48" s="210">
        <f t="shared" si="55"/>
        <v>-529.46430765450589</v>
      </c>
      <c r="BK48" s="210">
        <f t="shared" si="55"/>
        <v>-529.46430765450589</v>
      </c>
      <c r="BL48" s="210">
        <f t="shared" si="55"/>
        <v>-529.46430765450589</v>
      </c>
      <c r="BM48" s="210">
        <f t="shared" si="55"/>
        <v>-529.46430765450589</v>
      </c>
      <c r="BN48" s="210">
        <f t="shared" si="55"/>
        <v>-529.46430765450589</v>
      </c>
      <c r="BO48" s="210">
        <f t="shared" si="55"/>
        <v>-529.46430765450589</v>
      </c>
      <c r="BP48" s="210">
        <f t="shared" si="55"/>
        <v>-529.46430765450589</v>
      </c>
      <c r="BQ48" s="210">
        <f t="shared" si="55"/>
        <v>-529.46430765450589</v>
      </c>
      <c r="BR48" s="210">
        <f t="shared" ref="BR48:DA48" si="56">IF(BR$22&lt;=$E$24,IF(BR$22&lt;=$D$24,IF(BR$22&lt;=$C$24,IF(BR$22&lt;=$B$24,$B114,($C31-$B31)/($C$24-$B$24)),($D31-$C31)/($D$24-$C$24)),($E31-$D31)/($E$24-$D$24)),$F114)</f>
        <v>-529.46430765450589</v>
      </c>
      <c r="BS48" s="210">
        <f t="shared" si="56"/>
        <v>-529.46430765450589</v>
      </c>
      <c r="BT48" s="210">
        <f t="shared" si="56"/>
        <v>-529.46430765450589</v>
      </c>
      <c r="BU48" s="210">
        <f t="shared" si="56"/>
        <v>-529.46430765450589</v>
      </c>
      <c r="BV48" s="210">
        <f t="shared" si="56"/>
        <v>-529.46430765450589</v>
      </c>
      <c r="BW48" s="210">
        <f t="shared" si="56"/>
        <v>-529.46430765450589</v>
      </c>
      <c r="BX48" s="210">
        <f t="shared" si="56"/>
        <v>-529.46430765450589</v>
      </c>
      <c r="BY48" s="210">
        <f t="shared" si="56"/>
        <v>-529.46430765450589</v>
      </c>
      <c r="BZ48" s="210">
        <f t="shared" si="56"/>
        <v>-529.46430765450589</v>
      </c>
      <c r="CA48" s="210">
        <f t="shared" si="56"/>
        <v>-529.46430765450589</v>
      </c>
      <c r="CB48" s="210">
        <f t="shared" si="56"/>
        <v>-529.46430765450589</v>
      </c>
      <c r="CC48" s="210">
        <f t="shared" si="56"/>
        <v>-529.46430765450589</v>
      </c>
      <c r="CD48" s="210">
        <f t="shared" si="56"/>
        <v>-529.46430765450589</v>
      </c>
      <c r="CE48" s="210">
        <f t="shared" si="56"/>
        <v>-529.46430765450589</v>
      </c>
      <c r="CF48" s="210">
        <f t="shared" si="56"/>
        <v>-529.46430765450589</v>
      </c>
      <c r="CG48" s="210">
        <f t="shared" si="56"/>
        <v>-529.46430765450589</v>
      </c>
      <c r="CH48" s="210">
        <f t="shared" si="56"/>
        <v>-529.46430765450589</v>
      </c>
      <c r="CI48" s="210">
        <f t="shared" si="56"/>
        <v>0</v>
      </c>
      <c r="CJ48" s="210">
        <f t="shared" si="56"/>
        <v>0</v>
      </c>
      <c r="CK48" s="210">
        <f t="shared" si="56"/>
        <v>0</v>
      </c>
      <c r="CL48" s="210">
        <f t="shared" si="56"/>
        <v>0</v>
      </c>
      <c r="CM48" s="210">
        <f t="shared" si="56"/>
        <v>0</v>
      </c>
      <c r="CN48" s="210">
        <f t="shared" si="56"/>
        <v>0</v>
      </c>
      <c r="CO48" s="210">
        <f t="shared" si="56"/>
        <v>0</v>
      </c>
      <c r="CP48" s="210">
        <f t="shared" si="56"/>
        <v>0</v>
      </c>
      <c r="CQ48" s="210">
        <f t="shared" si="56"/>
        <v>0</v>
      </c>
      <c r="CR48" s="210">
        <f t="shared" si="56"/>
        <v>0</v>
      </c>
      <c r="CS48" s="210">
        <f t="shared" si="56"/>
        <v>0</v>
      </c>
      <c r="CT48" s="210">
        <f t="shared" si="56"/>
        <v>0</v>
      </c>
      <c r="CU48" s="210">
        <f t="shared" si="56"/>
        <v>0</v>
      </c>
      <c r="CV48" s="210">
        <f t="shared" si="56"/>
        <v>0</v>
      </c>
      <c r="CW48" s="210">
        <f t="shared" si="56"/>
        <v>0</v>
      </c>
      <c r="CX48" s="210">
        <f t="shared" si="56"/>
        <v>0</v>
      </c>
      <c r="CY48" s="210">
        <f t="shared" si="56"/>
        <v>0</v>
      </c>
      <c r="CZ48" s="210">
        <f t="shared" si="56"/>
        <v>0</v>
      </c>
      <c r="DA48" s="210">
        <f t="shared" si="56"/>
        <v>0</v>
      </c>
    </row>
    <row r="49" spans="1:105">
      <c r="A49" s="201" t="str">
        <f>Income!A79</f>
        <v>Labour - formal emp</v>
      </c>
      <c r="F49" s="210">
        <f t="shared" ref="F49:AK49" si="57">IF(F$22&lt;=$E$24,IF(F$22&lt;=$D$24,IF(F$22&lt;=$C$24,IF(F$22&lt;=$B$24,$B115,($C32-$B32)/($C$24-$B$24)),($D32-$C32)/($D$24-$C$24)),($E32-$D32)/($E$24-$D$24)),$F115)</f>
        <v>0</v>
      </c>
      <c r="G49" s="210">
        <f t="shared" si="57"/>
        <v>0</v>
      </c>
      <c r="H49" s="210">
        <f t="shared" si="57"/>
        <v>0</v>
      </c>
      <c r="I49" s="210">
        <f t="shared" si="57"/>
        <v>0</v>
      </c>
      <c r="J49" s="210">
        <f t="shared" si="57"/>
        <v>0</v>
      </c>
      <c r="K49" s="210">
        <f t="shared" si="57"/>
        <v>0</v>
      </c>
      <c r="L49" s="210">
        <f t="shared" si="57"/>
        <v>0</v>
      </c>
      <c r="M49" s="210">
        <f t="shared" si="57"/>
        <v>0</v>
      </c>
      <c r="N49" s="210">
        <f t="shared" si="57"/>
        <v>0</v>
      </c>
      <c r="O49" s="210">
        <f t="shared" si="57"/>
        <v>0</v>
      </c>
      <c r="P49" s="210">
        <f t="shared" si="57"/>
        <v>0</v>
      </c>
      <c r="Q49" s="210">
        <f t="shared" si="57"/>
        <v>0</v>
      </c>
      <c r="R49" s="210">
        <f t="shared" si="57"/>
        <v>0</v>
      </c>
      <c r="S49" s="210">
        <f t="shared" si="57"/>
        <v>0</v>
      </c>
      <c r="T49" s="210">
        <f t="shared" si="57"/>
        <v>0</v>
      </c>
      <c r="U49" s="210">
        <f t="shared" si="57"/>
        <v>0</v>
      </c>
      <c r="V49" s="210">
        <f t="shared" si="57"/>
        <v>0</v>
      </c>
      <c r="W49" s="210">
        <f t="shared" si="57"/>
        <v>0</v>
      </c>
      <c r="X49" s="210">
        <f t="shared" si="57"/>
        <v>0</v>
      </c>
      <c r="Y49" s="210">
        <f t="shared" si="57"/>
        <v>370.23889393021977</v>
      </c>
      <c r="Z49" s="210">
        <f t="shared" si="57"/>
        <v>370.23889393021977</v>
      </c>
      <c r="AA49" s="210">
        <f t="shared" si="57"/>
        <v>370.23889393021977</v>
      </c>
      <c r="AB49" s="210">
        <f t="shared" si="57"/>
        <v>370.23889393021977</v>
      </c>
      <c r="AC49" s="210">
        <f t="shared" si="57"/>
        <v>370.23889393021977</v>
      </c>
      <c r="AD49" s="210">
        <f t="shared" si="57"/>
        <v>370.23889393021977</v>
      </c>
      <c r="AE49" s="210">
        <f t="shared" si="57"/>
        <v>370.23889393021977</v>
      </c>
      <c r="AF49" s="210">
        <f t="shared" si="57"/>
        <v>370.23889393021977</v>
      </c>
      <c r="AG49" s="210">
        <f t="shared" si="57"/>
        <v>370.23889393021977</v>
      </c>
      <c r="AH49" s="210">
        <f t="shared" si="57"/>
        <v>370.23889393021977</v>
      </c>
      <c r="AI49" s="210">
        <f t="shared" si="57"/>
        <v>370.23889393021977</v>
      </c>
      <c r="AJ49" s="210">
        <f t="shared" si="57"/>
        <v>370.23889393021977</v>
      </c>
      <c r="AK49" s="210">
        <f t="shared" si="57"/>
        <v>370.23889393021977</v>
      </c>
      <c r="AL49" s="210">
        <f t="shared" ref="AL49:BQ49" si="58">IF(AL$22&lt;=$E$24,IF(AL$22&lt;=$D$24,IF(AL$22&lt;=$C$24,IF(AL$22&lt;=$B$24,$B115,($C32-$B32)/($C$24-$B$24)),($D32-$C32)/($D$24-$C$24)),($E32-$D32)/($E$24-$D$24)),$F115)</f>
        <v>370.23889393021977</v>
      </c>
      <c r="AM49" s="210">
        <f t="shared" si="58"/>
        <v>370.23889393021977</v>
      </c>
      <c r="AN49" s="210">
        <f t="shared" si="58"/>
        <v>370.23889393021977</v>
      </c>
      <c r="AO49" s="210">
        <f t="shared" si="58"/>
        <v>370.23889393021977</v>
      </c>
      <c r="AP49" s="210">
        <f t="shared" si="58"/>
        <v>370.23889393021977</v>
      </c>
      <c r="AQ49" s="210">
        <f t="shared" si="58"/>
        <v>370.23889393021977</v>
      </c>
      <c r="AR49" s="210">
        <f t="shared" si="58"/>
        <v>370.23889393021977</v>
      </c>
      <c r="AS49" s="210">
        <f t="shared" si="58"/>
        <v>370.23889393021977</v>
      </c>
      <c r="AT49" s="210">
        <f t="shared" si="58"/>
        <v>370.23889393021977</v>
      </c>
      <c r="AU49" s="210">
        <f t="shared" si="58"/>
        <v>370.23889393021977</v>
      </c>
      <c r="AV49" s="210">
        <f t="shared" si="58"/>
        <v>370.23889393021977</v>
      </c>
      <c r="AW49" s="210">
        <f t="shared" si="58"/>
        <v>370.23889393021977</v>
      </c>
      <c r="AX49" s="210">
        <f t="shared" si="58"/>
        <v>370.23889393021977</v>
      </c>
      <c r="AY49" s="210">
        <f t="shared" si="58"/>
        <v>370.23889393021977</v>
      </c>
      <c r="AZ49" s="210">
        <f t="shared" si="58"/>
        <v>370.23889393021977</v>
      </c>
      <c r="BA49" s="210">
        <f t="shared" si="58"/>
        <v>370.23889393021977</v>
      </c>
      <c r="BB49" s="210">
        <f t="shared" si="58"/>
        <v>370.23889393021977</v>
      </c>
      <c r="BC49" s="210">
        <f t="shared" si="58"/>
        <v>370.23889393021977</v>
      </c>
      <c r="BD49" s="210">
        <f t="shared" si="58"/>
        <v>370.23889393021977</v>
      </c>
      <c r="BE49" s="210">
        <f t="shared" si="58"/>
        <v>370.23889393021977</v>
      </c>
      <c r="BF49" s="210">
        <f t="shared" si="58"/>
        <v>370.23889393021977</v>
      </c>
      <c r="BG49" s="210">
        <f t="shared" si="58"/>
        <v>370.23889393021977</v>
      </c>
      <c r="BH49" s="210">
        <f t="shared" si="58"/>
        <v>1171.7998663111339</v>
      </c>
      <c r="BI49" s="210">
        <f t="shared" si="58"/>
        <v>1171.7998663111339</v>
      </c>
      <c r="BJ49" s="210">
        <f t="shared" si="58"/>
        <v>1171.7998663111339</v>
      </c>
      <c r="BK49" s="210">
        <f t="shared" si="58"/>
        <v>1171.7998663111339</v>
      </c>
      <c r="BL49" s="210">
        <f t="shared" si="58"/>
        <v>1171.7998663111339</v>
      </c>
      <c r="BM49" s="210">
        <f t="shared" si="58"/>
        <v>1171.7998663111339</v>
      </c>
      <c r="BN49" s="210">
        <f t="shared" si="58"/>
        <v>1171.7998663111339</v>
      </c>
      <c r="BO49" s="210">
        <f t="shared" si="58"/>
        <v>1171.7998663111339</v>
      </c>
      <c r="BP49" s="210">
        <f t="shared" si="58"/>
        <v>1171.7998663111339</v>
      </c>
      <c r="BQ49" s="210">
        <f t="shared" si="58"/>
        <v>1171.7998663111339</v>
      </c>
      <c r="BR49" s="210">
        <f t="shared" ref="BR49:DA49" si="59">IF(BR$22&lt;=$E$24,IF(BR$22&lt;=$D$24,IF(BR$22&lt;=$C$24,IF(BR$22&lt;=$B$24,$B115,($C32-$B32)/($C$24-$B$24)),($D32-$C32)/($D$24-$C$24)),($E32-$D32)/($E$24-$D$24)),$F115)</f>
        <v>1171.7998663111339</v>
      </c>
      <c r="BS49" s="210">
        <f t="shared" si="59"/>
        <v>1171.7998663111339</v>
      </c>
      <c r="BT49" s="210">
        <f t="shared" si="59"/>
        <v>1171.7998663111339</v>
      </c>
      <c r="BU49" s="210">
        <f t="shared" si="59"/>
        <v>1171.7998663111339</v>
      </c>
      <c r="BV49" s="210">
        <f t="shared" si="59"/>
        <v>1171.7998663111339</v>
      </c>
      <c r="BW49" s="210">
        <f t="shared" si="59"/>
        <v>1171.7998663111339</v>
      </c>
      <c r="BX49" s="210">
        <f t="shared" si="59"/>
        <v>1171.7998663111339</v>
      </c>
      <c r="BY49" s="210">
        <f t="shared" si="59"/>
        <v>1171.7998663111339</v>
      </c>
      <c r="BZ49" s="210">
        <f t="shared" si="59"/>
        <v>1171.7998663111339</v>
      </c>
      <c r="CA49" s="210">
        <f t="shared" si="59"/>
        <v>1171.7998663111339</v>
      </c>
      <c r="CB49" s="210">
        <f t="shared" si="59"/>
        <v>1171.7998663111339</v>
      </c>
      <c r="CC49" s="210">
        <f t="shared" si="59"/>
        <v>1171.7998663111339</v>
      </c>
      <c r="CD49" s="210">
        <f t="shared" si="59"/>
        <v>1171.7998663111339</v>
      </c>
      <c r="CE49" s="210">
        <f t="shared" si="59"/>
        <v>1171.7998663111339</v>
      </c>
      <c r="CF49" s="210">
        <f t="shared" si="59"/>
        <v>1171.7998663111339</v>
      </c>
      <c r="CG49" s="210">
        <f t="shared" si="59"/>
        <v>1171.7998663111339</v>
      </c>
      <c r="CH49" s="210">
        <f t="shared" si="59"/>
        <v>1171.7998663111339</v>
      </c>
      <c r="CI49" s="210">
        <f t="shared" si="59"/>
        <v>11163.263620017235</v>
      </c>
      <c r="CJ49" s="210">
        <f t="shared" si="59"/>
        <v>11163.263620017235</v>
      </c>
      <c r="CK49" s="210">
        <f t="shared" si="59"/>
        <v>11163.263620017235</v>
      </c>
      <c r="CL49" s="210">
        <f t="shared" si="59"/>
        <v>11163.263620017235</v>
      </c>
      <c r="CM49" s="210">
        <f t="shared" si="59"/>
        <v>11163.263620017235</v>
      </c>
      <c r="CN49" s="210">
        <f t="shared" si="59"/>
        <v>11163.263620017235</v>
      </c>
      <c r="CO49" s="210">
        <f t="shared" si="59"/>
        <v>11163.263620017235</v>
      </c>
      <c r="CP49" s="210">
        <f t="shared" si="59"/>
        <v>11163.263620017235</v>
      </c>
      <c r="CQ49" s="210">
        <f t="shared" si="59"/>
        <v>11163.263620017235</v>
      </c>
      <c r="CR49" s="210">
        <f t="shared" si="59"/>
        <v>11163.263620017235</v>
      </c>
      <c r="CS49" s="210">
        <f t="shared" si="59"/>
        <v>11163.263620017235</v>
      </c>
      <c r="CT49" s="210">
        <f t="shared" si="59"/>
        <v>11163.263620017235</v>
      </c>
      <c r="CU49" s="210">
        <f t="shared" si="59"/>
        <v>11163.263620017235</v>
      </c>
      <c r="CV49" s="210">
        <f t="shared" si="59"/>
        <v>11163.263620017235</v>
      </c>
      <c r="CW49" s="210">
        <f t="shared" si="59"/>
        <v>11163.263620017235</v>
      </c>
      <c r="CX49" s="210">
        <f t="shared" si="59"/>
        <v>2671.7</v>
      </c>
      <c r="CY49" s="210">
        <f t="shared" si="59"/>
        <v>2671.7</v>
      </c>
      <c r="CZ49" s="210">
        <f t="shared" si="59"/>
        <v>2671.7</v>
      </c>
      <c r="DA49" s="210">
        <f t="shared" si="59"/>
        <v>2671.7</v>
      </c>
    </row>
    <row r="50" spans="1:105">
      <c r="A50" s="201" t="str">
        <f>Income!A81</f>
        <v>Self - employment</v>
      </c>
      <c r="F50" s="210">
        <f t="shared" ref="F50:AK50" si="60">IF(F$22&lt;=$E$24,IF(F$22&lt;=$D$24,IF(F$22&lt;=$C$24,IF(F$22&lt;=$B$24,$B116,($C33-$B33)/($C$24-$B$24)),($D33-$C33)/($D$24-$C$24)),($E33-$D33)/($E$24-$D$24)),$F116)</f>
        <v>0</v>
      </c>
      <c r="G50" s="210">
        <f t="shared" si="60"/>
        <v>0</v>
      </c>
      <c r="H50" s="210">
        <f t="shared" si="60"/>
        <v>0</v>
      </c>
      <c r="I50" s="210">
        <f t="shared" si="60"/>
        <v>0</v>
      </c>
      <c r="J50" s="210">
        <f t="shared" si="60"/>
        <v>0</v>
      </c>
      <c r="K50" s="210">
        <f t="shared" si="60"/>
        <v>0</v>
      </c>
      <c r="L50" s="210">
        <f t="shared" si="60"/>
        <v>0</v>
      </c>
      <c r="M50" s="210">
        <f t="shared" si="60"/>
        <v>0</v>
      </c>
      <c r="N50" s="210">
        <f t="shared" si="60"/>
        <v>0</v>
      </c>
      <c r="O50" s="210">
        <f t="shared" si="60"/>
        <v>0</v>
      </c>
      <c r="P50" s="210">
        <f t="shared" si="60"/>
        <v>0</v>
      </c>
      <c r="Q50" s="210">
        <f t="shared" si="60"/>
        <v>0</v>
      </c>
      <c r="R50" s="210">
        <f t="shared" si="60"/>
        <v>0</v>
      </c>
      <c r="S50" s="210">
        <f t="shared" si="60"/>
        <v>0</v>
      </c>
      <c r="T50" s="210">
        <f t="shared" si="60"/>
        <v>0</v>
      </c>
      <c r="U50" s="210">
        <f t="shared" si="60"/>
        <v>0</v>
      </c>
      <c r="V50" s="210">
        <f t="shared" si="60"/>
        <v>0</v>
      </c>
      <c r="W50" s="210">
        <f t="shared" si="60"/>
        <v>0</v>
      </c>
      <c r="X50" s="210">
        <f t="shared" si="60"/>
        <v>0</v>
      </c>
      <c r="Y50" s="210">
        <f t="shared" si="60"/>
        <v>146.10412109716026</v>
      </c>
      <c r="Z50" s="210">
        <f t="shared" si="60"/>
        <v>146.10412109716026</v>
      </c>
      <c r="AA50" s="210">
        <f t="shared" si="60"/>
        <v>146.10412109716026</v>
      </c>
      <c r="AB50" s="210">
        <f t="shared" si="60"/>
        <v>146.10412109716026</v>
      </c>
      <c r="AC50" s="210">
        <f t="shared" si="60"/>
        <v>146.10412109716026</v>
      </c>
      <c r="AD50" s="210">
        <f t="shared" si="60"/>
        <v>146.10412109716026</v>
      </c>
      <c r="AE50" s="210">
        <f t="shared" si="60"/>
        <v>146.10412109716026</v>
      </c>
      <c r="AF50" s="210">
        <f t="shared" si="60"/>
        <v>146.10412109716026</v>
      </c>
      <c r="AG50" s="210">
        <f t="shared" si="60"/>
        <v>146.10412109716026</v>
      </c>
      <c r="AH50" s="210">
        <f t="shared" si="60"/>
        <v>146.10412109716026</v>
      </c>
      <c r="AI50" s="210">
        <f t="shared" si="60"/>
        <v>146.10412109716026</v>
      </c>
      <c r="AJ50" s="210">
        <f t="shared" si="60"/>
        <v>146.10412109716026</v>
      </c>
      <c r="AK50" s="210">
        <f t="shared" si="60"/>
        <v>146.10412109716026</v>
      </c>
      <c r="AL50" s="210">
        <f t="shared" ref="AL50:BQ50" si="61">IF(AL$22&lt;=$E$24,IF(AL$22&lt;=$D$24,IF(AL$22&lt;=$C$24,IF(AL$22&lt;=$B$24,$B116,($C33-$B33)/($C$24-$B$24)),($D33-$C33)/($D$24-$C$24)),($E33-$D33)/($E$24-$D$24)),$F116)</f>
        <v>146.10412109716026</v>
      </c>
      <c r="AM50" s="210">
        <f t="shared" si="61"/>
        <v>146.10412109716026</v>
      </c>
      <c r="AN50" s="210">
        <f t="shared" si="61"/>
        <v>146.10412109716026</v>
      </c>
      <c r="AO50" s="210">
        <f t="shared" si="61"/>
        <v>146.10412109716026</v>
      </c>
      <c r="AP50" s="210">
        <f t="shared" si="61"/>
        <v>146.10412109716026</v>
      </c>
      <c r="AQ50" s="210">
        <f t="shared" si="61"/>
        <v>146.10412109716026</v>
      </c>
      <c r="AR50" s="210">
        <f t="shared" si="61"/>
        <v>146.10412109716026</v>
      </c>
      <c r="AS50" s="210">
        <f t="shared" si="61"/>
        <v>146.10412109716026</v>
      </c>
      <c r="AT50" s="210">
        <f t="shared" si="61"/>
        <v>146.10412109716026</v>
      </c>
      <c r="AU50" s="210">
        <f t="shared" si="61"/>
        <v>146.10412109716026</v>
      </c>
      <c r="AV50" s="210">
        <f t="shared" si="61"/>
        <v>146.10412109716026</v>
      </c>
      <c r="AW50" s="210">
        <f t="shared" si="61"/>
        <v>146.10412109716026</v>
      </c>
      <c r="AX50" s="210">
        <f t="shared" si="61"/>
        <v>146.10412109716026</v>
      </c>
      <c r="AY50" s="210">
        <f t="shared" si="61"/>
        <v>146.10412109716026</v>
      </c>
      <c r="AZ50" s="210">
        <f t="shared" si="61"/>
        <v>146.10412109716026</v>
      </c>
      <c r="BA50" s="210">
        <f t="shared" si="61"/>
        <v>146.10412109716026</v>
      </c>
      <c r="BB50" s="210">
        <f t="shared" si="61"/>
        <v>146.10412109716026</v>
      </c>
      <c r="BC50" s="210">
        <f t="shared" si="61"/>
        <v>146.10412109716026</v>
      </c>
      <c r="BD50" s="210">
        <f t="shared" si="61"/>
        <v>146.10412109716026</v>
      </c>
      <c r="BE50" s="210">
        <f t="shared" si="61"/>
        <v>146.10412109716026</v>
      </c>
      <c r="BF50" s="210">
        <f t="shared" si="61"/>
        <v>146.10412109716026</v>
      </c>
      <c r="BG50" s="210">
        <f t="shared" si="61"/>
        <v>146.10412109716026</v>
      </c>
      <c r="BH50" s="210">
        <f t="shared" si="61"/>
        <v>-206.12977701488185</v>
      </c>
      <c r="BI50" s="210">
        <f t="shared" si="61"/>
        <v>-206.12977701488185</v>
      </c>
      <c r="BJ50" s="210">
        <f t="shared" si="61"/>
        <v>-206.12977701488185</v>
      </c>
      <c r="BK50" s="210">
        <f t="shared" si="61"/>
        <v>-206.12977701488185</v>
      </c>
      <c r="BL50" s="210">
        <f t="shared" si="61"/>
        <v>-206.12977701488185</v>
      </c>
      <c r="BM50" s="210">
        <f t="shared" si="61"/>
        <v>-206.12977701488185</v>
      </c>
      <c r="BN50" s="210">
        <f t="shared" si="61"/>
        <v>-206.12977701488185</v>
      </c>
      <c r="BO50" s="210">
        <f t="shared" si="61"/>
        <v>-206.12977701488185</v>
      </c>
      <c r="BP50" s="210">
        <f t="shared" si="61"/>
        <v>-206.12977701488185</v>
      </c>
      <c r="BQ50" s="210">
        <f t="shared" si="61"/>
        <v>-206.12977701488185</v>
      </c>
      <c r="BR50" s="210">
        <f t="shared" ref="BR50:DA50" si="62">IF(BR$22&lt;=$E$24,IF(BR$22&lt;=$D$24,IF(BR$22&lt;=$C$24,IF(BR$22&lt;=$B$24,$B116,($C33-$B33)/($C$24-$B$24)),($D33-$C33)/($D$24-$C$24)),($E33-$D33)/($E$24-$D$24)),$F116)</f>
        <v>-206.12977701488185</v>
      </c>
      <c r="BS50" s="210">
        <f t="shared" si="62"/>
        <v>-206.12977701488185</v>
      </c>
      <c r="BT50" s="210">
        <f t="shared" si="62"/>
        <v>-206.12977701488185</v>
      </c>
      <c r="BU50" s="210">
        <f t="shared" si="62"/>
        <v>-206.12977701488185</v>
      </c>
      <c r="BV50" s="210">
        <f t="shared" si="62"/>
        <v>-206.12977701488185</v>
      </c>
      <c r="BW50" s="210">
        <f t="shared" si="62"/>
        <v>-206.12977701488185</v>
      </c>
      <c r="BX50" s="210">
        <f t="shared" si="62"/>
        <v>-206.12977701488185</v>
      </c>
      <c r="BY50" s="210">
        <f t="shared" si="62"/>
        <v>-206.12977701488185</v>
      </c>
      <c r="BZ50" s="210">
        <f t="shared" si="62"/>
        <v>-206.12977701488185</v>
      </c>
      <c r="CA50" s="210">
        <f t="shared" si="62"/>
        <v>-206.12977701488185</v>
      </c>
      <c r="CB50" s="210">
        <f t="shared" si="62"/>
        <v>-206.12977701488185</v>
      </c>
      <c r="CC50" s="210">
        <f t="shared" si="62"/>
        <v>-206.12977701488185</v>
      </c>
      <c r="CD50" s="210">
        <f t="shared" si="62"/>
        <v>-206.12977701488185</v>
      </c>
      <c r="CE50" s="210">
        <f t="shared" si="62"/>
        <v>-206.12977701488185</v>
      </c>
      <c r="CF50" s="210">
        <f t="shared" si="62"/>
        <v>-206.12977701488185</v>
      </c>
      <c r="CG50" s="210">
        <f t="shared" si="62"/>
        <v>-206.12977701488185</v>
      </c>
      <c r="CH50" s="210">
        <f t="shared" si="62"/>
        <v>-206.12977701488185</v>
      </c>
      <c r="CI50" s="210">
        <f t="shared" si="62"/>
        <v>-44.877441688511496</v>
      </c>
      <c r="CJ50" s="210">
        <f t="shared" si="62"/>
        <v>-44.877441688511496</v>
      </c>
      <c r="CK50" s="210">
        <f t="shared" si="62"/>
        <v>-44.877441688511496</v>
      </c>
      <c r="CL50" s="210">
        <f t="shared" si="62"/>
        <v>-44.877441688511496</v>
      </c>
      <c r="CM50" s="210">
        <f t="shared" si="62"/>
        <v>-44.877441688511496</v>
      </c>
      <c r="CN50" s="210">
        <f t="shared" si="62"/>
        <v>-44.877441688511496</v>
      </c>
      <c r="CO50" s="210">
        <f t="shared" si="62"/>
        <v>-44.877441688511496</v>
      </c>
      <c r="CP50" s="210">
        <f t="shared" si="62"/>
        <v>-44.877441688511496</v>
      </c>
      <c r="CQ50" s="210">
        <f t="shared" si="62"/>
        <v>-44.877441688511496</v>
      </c>
      <c r="CR50" s="210">
        <f t="shared" si="62"/>
        <v>-44.877441688511496</v>
      </c>
      <c r="CS50" s="210">
        <f t="shared" si="62"/>
        <v>-44.877441688511496</v>
      </c>
      <c r="CT50" s="210">
        <f t="shared" si="62"/>
        <v>-44.877441688511496</v>
      </c>
      <c r="CU50" s="210">
        <f t="shared" si="62"/>
        <v>-44.877441688511496</v>
      </c>
      <c r="CV50" s="210">
        <f t="shared" si="62"/>
        <v>-44.877441688511496</v>
      </c>
      <c r="CW50" s="210">
        <f t="shared" si="62"/>
        <v>-44.877441688511496</v>
      </c>
      <c r="CX50" s="210">
        <f t="shared" si="62"/>
        <v>829.53</v>
      </c>
      <c r="CY50" s="210">
        <f t="shared" si="62"/>
        <v>829.53</v>
      </c>
      <c r="CZ50" s="210">
        <f t="shared" si="62"/>
        <v>829.53</v>
      </c>
      <c r="DA50" s="210">
        <f t="shared" si="62"/>
        <v>829.53</v>
      </c>
    </row>
    <row r="51" spans="1:105">
      <c r="A51" s="201" t="str">
        <f>Income!A82</f>
        <v>Small business/petty trading</v>
      </c>
      <c r="F51" s="210">
        <f t="shared" ref="F51:AK51" si="63">IF(F$22&lt;=$E$24,IF(F$22&lt;=$D$24,IF(F$22&lt;=$C$24,IF(F$22&lt;=$B$24,$B117,($C34-$B34)/($C$24-$B$24)),($D34-$C34)/($D$24-$C$24)),($E34-$D34)/($E$24-$D$24)),$F117)</f>
        <v>0</v>
      </c>
      <c r="G51" s="210">
        <f t="shared" si="63"/>
        <v>0</v>
      </c>
      <c r="H51" s="210">
        <f t="shared" si="63"/>
        <v>0</v>
      </c>
      <c r="I51" s="210">
        <f t="shared" si="63"/>
        <v>0</v>
      </c>
      <c r="J51" s="210">
        <f t="shared" si="63"/>
        <v>0</v>
      </c>
      <c r="K51" s="210">
        <f t="shared" si="63"/>
        <v>0</v>
      </c>
      <c r="L51" s="210">
        <f t="shared" si="63"/>
        <v>0</v>
      </c>
      <c r="M51" s="210">
        <f t="shared" si="63"/>
        <v>0</v>
      </c>
      <c r="N51" s="210">
        <f t="shared" si="63"/>
        <v>0</v>
      </c>
      <c r="O51" s="210">
        <f t="shared" si="63"/>
        <v>0</v>
      </c>
      <c r="P51" s="210">
        <f t="shared" si="63"/>
        <v>0</v>
      </c>
      <c r="Q51" s="210">
        <f t="shared" si="63"/>
        <v>0</v>
      </c>
      <c r="R51" s="210">
        <f t="shared" si="63"/>
        <v>0</v>
      </c>
      <c r="S51" s="210">
        <f t="shared" si="63"/>
        <v>0</v>
      </c>
      <c r="T51" s="210">
        <f t="shared" si="63"/>
        <v>0</v>
      </c>
      <c r="U51" s="210">
        <f t="shared" si="63"/>
        <v>0</v>
      </c>
      <c r="V51" s="210">
        <f t="shared" si="63"/>
        <v>0</v>
      </c>
      <c r="W51" s="210">
        <f t="shared" si="63"/>
        <v>0</v>
      </c>
      <c r="X51" s="210">
        <f t="shared" si="63"/>
        <v>0</v>
      </c>
      <c r="Y51" s="210">
        <f t="shared" si="63"/>
        <v>40.389697519660345</v>
      </c>
      <c r="Z51" s="210">
        <f t="shared" si="63"/>
        <v>40.389697519660345</v>
      </c>
      <c r="AA51" s="210">
        <f t="shared" si="63"/>
        <v>40.389697519660345</v>
      </c>
      <c r="AB51" s="210">
        <f t="shared" si="63"/>
        <v>40.389697519660345</v>
      </c>
      <c r="AC51" s="210">
        <f t="shared" si="63"/>
        <v>40.389697519660345</v>
      </c>
      <c r="AD51" s="210">
        <f t="shared" si="63"/>
        <v>40.389697519660345</v>
      </c>
      <c r="AE51" s="210">
        <f t="shared" si="63"/>
        <v>40.389697519660345</v>
      </c>
      <c r="AF51" s="210">
        <f t="shared" si="63"/>
        <v>40.389697519660345</v>
      </c>
      <c r="AG51" s="210">
        <f t="shared" si="63"/>
        <v>40.389697519660345</v>
      </c>
      <c r="AH51" s="210">
        <f t="shared" si="63"/>
        <v>40.389697519660345</v>
      </c>
      <c r="AI51" s="210">
        <f t="shared" si="63"/>
        <v>40.389697519660345</v>
      </c>
      <c r="AJ51" s="210">
        <f t="shared" si="63"/>
        <v>40.389697519660345</v>
      </c>
      <c r="AK51" s="210">
        <f t="shared" si="63"/>
        <v>40.389697519660345</v>
      </c>
      <c r="AL51" s="210">
        <f t="shared" ref="AL51:BQ51" si="64">IF(AL$22&lt;=$E$24,IF(AL$22&lt;=$D$24,IF(AL$22&lt;=$C$24,IF(AL$22&lt;=$B$24,$B117,($C34-$B34)/($C$24-$B$24)),($D34-$C34)/($D$24-$C$24)),($E34-$D34)/($E$24-$D$24)),$F117)</f>
        <v>40.389697519660345</v>
      </c>
      <c r="AM51" s="210">
        <f t="shared" si="64"/>
        <v>40.389697519660345</v>
      </c>
      <c r="AN51" s="210">
        <f t="shared" si="64"/>
        <v>40.389697519660345</v>
      </c>
      <c r="AO51" s="210">
        <f t="shared" si="64"/>
        <v>40.389697519660345</v>
      </c>
      <c r="AP51" s="210">
        <f t="shared" si="64"/>
        <v>40.389697519660345</v>
      </c>
      <c r="AQ51" s="210">
        <f t="shared" si="64"/>
        <v>40.389697519660345</v>
      </c>
      <c r="AR51" s="210">
        <f t="shared" si="64"/>
        <v>40.389697519660345</v>
      </c>
      <c r="AS51" s="210">
        <f t="shared" si="64"/>
        <v>40.389697519660345</v>
      </c>
      <c r="AT51" s="210">
        <f t="shared" si="64"/>
        <v>40.389697519660345</v>
      </c>
      <c r="AU51" s="210">
        <f t="shared" si="64"/>
        <v>40.389697519660345</v>
      </c>
      <c r="AV51" s="210">
        <f t="shared" si="64"/>
        <v>40.389697519660345</v>
      </c>
      <c r="AW51" s="210">
        <f t="shared" si="64"/>
        <v>40.389697519660345</v>
      </c>
      <c r="AX51" s="210">
        <f t="shared" si="64"/>
        <v>40.389697519660345</v>
      </c>
      <c r="AY51" s="210">
        <f t="shared" si="64"/>
        <v>40.389697519660345</v>
      </c>
      <c r="AZ51" s="210">
        <f t="shared" si="64"/>
        <v>40.389697519660345</v>
      </c>
      <c r="BA51" s="210">
        <f t="shared" si="64"/>
        <v>40.389697519660345</v>
      </c>
      <c r="BB51" s="210">
        <f t="shared" si="64"/>
        <v>40.389697519660345</v>
      </c>
      <c r="BC51" s="210">
        <f t="shared" si="64"/>
        <v>40.389697519660345</v>
      </c>
      <c r="BD51" s="210">
        <f t="shared" si="64"/>
        <v>40.389697519660345</v>
      </c>
      <c r="BE51" s="210">
        <f t="shared" si="64"/>
        <v>40.389697519660345</v>
      </c>
      <c r="BF51" s="210">
        <f t="shared" si="64"/>
        <v>40.389697519660345</v>
      </c>
      <c r="BG51" s="210">
        <f t="shared" si="64"/>
        <v>40.389697519660345</v>
      </c>
      <c r="BH51" s="210">
        <f t="shared" si="64"/>
        <v>2183.2044317725877</v>
      </c>
      <c r="BI51" s="210">
        <f t="shared" si="64"/>
        <v>2183.2044317725877</v>
      </c>
      <c r="BJ51" s="210">
        <f t="shared" si="64"/>
        <v>2183.2044317725877</v>
      </c>
      <c r="BK51" s="210">
        <f t="shared" si="64"/>
        <v>2183.2044317725877</v>
      </c>
      <c r="BL51" s="210">
        <f t="shared" si="64"/>
        <v>2183.2044317725877</v>
      </c>
      <c r="BM51" s="210">
        <f t="shared" si="64"/>
        <v>2183.2044317725877</v>
      </c>
      <c r="BN51" s="210">
        <f t="shared" si="64"/>
        <v>2183.2044317725877</v>
      </c>
      <c r="BO51" s="210">
        <f t="shared" si="64"/>
        <v>2183.2044317725877</v>
      </c>
      <c r="BP51" s="210">
        <f t="shared" si="64"/>
        <v>2183.2044317725877</v>
      </c>
      <c r="BQ51" s="210">
        <f t="shared" si="64"/>
        <v>2183.2044317725877</v>
      </c>
      <c r="BR51" s="210">
        <f t="shared" ref="BR51:DA51" si="65">IF(BR$22&lt;=$E$24,IF(BR$22&lt;=$D$24,IF(BR$22&lt;=$C$24,IF(BR$22&lt;=$B$24,$B117,($C34-$B34)/($C$24-$B$24)),($D34-$C34)/($D$24-$C$24)),($E34-$D34)/($E$24-$D$24)),$F117)</f>
        <v>2183.2044317725877</v>
      </c>
      <c r="BS51" s="210">
        <f t="shared" si="65"/>
        <v>2183.2044317725877</v>
      </c>
      <c r="BT51" s="210">
        <f t="shared" si="65"/>
        <v>2183.2044317725877</v>
      </c>
      <c r="BU51" s="210">
        <f t="shared" si="65"/>
        <v>2183.2044317725877</v>
      </c>
      <c r="BV51" s="210">
        <f t="shared" si="65"/>
        <v>2183.2044317725877</v>
      </c>
      <c r="BW51" s="210">
        <f t="shared" si="65"/>
        <v>2183.2044317725877</v>
      </c>
      <c r="BX51" s="210">
        <f t="shared" si="65"/>
        <v>2183.2044317725877</v>
      </c>
      <c r="BY51" s="210">
        <f t="shared" si="65"/>
        <v>2183.2044317725877</v>
      </c>
      <c r="BZ51" s="210">
        <f t="shared" si="65"/>
        <v>2183.2044317725877</v>
      </c>
      <c r="CA51" s="210">
        <f t="shared" si="65"/>
        <v>2183.2044317725877</v>
      </c>
      <c r="CB51" s="210">
        <f t="shared" si="65"/>
        <v>2183.2044317725877</v>
      </c>
      <c r="CC51" s="210">
        <f t="shared" si="65"/>
        <v>2183.2044317725877</v>
      </c>
      <c r="CD51" s="210">
        <f t="shared" si="65"/>
        <v>2183.2044317725877</v>
      </c>
      <c r="CE51" s="210">
        <f t="shared" si="65"/>
        <v>2183.2044317725877</v>
      </c>
      <c r="CF51" s="210">
        <f t="shared" si="65"/>
        <v>2183.2044317725877</v>
      </c>
      <c r="CG51" s="210">
        <f t="shared" si="65"/>
        <v>2183.2044317725877</v>
      </c>
      <c r="CH51" s="210">
        <f t="shared" si="65"/>
        <v>2183.2044317725877</v>
      </c>
      <c r="CI51" s="210">
        <f t="shared" si="65"/>
        <v>-249.36898431582813</v>
      </c>
      <c r="CJ51" s="210">
        <f t="shared" si="65"/>
        <v>-249.36898431582813</v>
      </c>
      <c r="CK51" s="210">
        <f t="shared" si="65"/>
        <v>-249.36898431582813</v>
      </c>
      <c r="CL51" s="210">
        <f t="shared" si="65"/>
        <v>-249.36898431582813</v>
      </c>
      <c r="CM51" s="210">
        <f t="shared" si="65"/>
        <v>-249.36898431582813</v>
      </c>
      <c r="CN51" s="210">
        <f t="shared" si="65"/>
        <v>-249.36898431582813</v>
      </c>
      <c r="CO51" s="210">
        <f t="shared" si="65"/>
        <v>-249.36898431582813</v>
      </c>
      <c r="CP51" s="210">
        <f t="shared" si="65"/>
        <v>-249.36898431582813</v>
      </c>
      <c r="CQ51" s="210">
        <f t="shared" si="65"/>
        <v>-249.36898431582813</v>
      </c>
      <c r="CR51" s="210">
        <f t="shared" si="65"/>
        <v>-249.36898431582813</v>
      </c>
      <c r="CS51" s="210">
        <f t="shared" si="65"/>
        <v>-249.36898431582813</v>
      </c>
      <c r="CT51" s="210">
        <f t="shared" si="65"/>
        <v>-249.36898431582813</v>
      </c>
      <c r="CU51" s="210">
        <f t="shared" si="65"/>
        <v>-249.36898431582813</v>
      </c>
      <c r="CV51" s="210">
        <f t="shared" si="65"/>
        <v>-249.36898431582813</v>
      </c>
      <c r="CW51" s="210">
        <f t="shared" si="65"/>
        <v>-249.36898431582813</v>
      </c>
      <c r="CX51" s="210">
        <f t="shared" si="65"/>
        <v>6203.5</v>
      </c>
      <c r="CY51" s="210">
        <f t="shared" si="65"/>
        <v>6203.5</v>
      </c>
      <c r="CZ51" s="210">
        <f t="shared" si="65"/>
        <v>6203.5</v>
      </c>
      <c r="DA51" s="210">
        <f t="shared" si="65"/>
        <v>6203.5</v>
      </c>
    </row>
    <row r="52" spans="1:105">
      <c r="A52" s="201" t="str">
        <f>Income!A83</f>
        <v>Food transfer - official</v>
      </c>
      <c r="F52" s="210">
        <f t="shared" ref="F52:AK52" si="66">IF(F$22&lt;=$E$24,IF(F$22&lt;=$D$24,IF(F$22&lt;=$C$24,IF(F$22&lt;=$B$24,$B118,($C35-$B35)/($C$24-$B$24)),($D35-$C35)/($D$24-$C$24)),($E35-$D35)/($E$24-$D$24)),$F118)</f>
        <v>0</v>
      </c>
      <c r="G52" s="210">
        <f t="shared" si="66"/>
        <v>0</v>
      </c>
      <c r="H52" s="210">
        <f t="shared" si="66"/>
        <v>0</v>
      </c>
      <c r="I52" s="210">
        <f t="shared" si="66"/>
        <v>0</v>
      </c>
      <c r="J52" s="210">
        <f t="shared" si="66"/>
        <v>0</v>
      </c>
      <c r="K52" s="210">
        <f t="shared" si="66"/>
        <v>0</v>
      </c>
      <c r="L52" s="210">
        <f t="shared" si="66"/>
        <v>0</v>
      </c>
      <c r="M52" s="210">
        <f t="shared" si="66"/>
        <v>0</v>
      </c>
      <c r="N52" s="210">
        <f t="shared" si="66"/>
        <v>0</v>
      </c>
      <c r="O52" s="210">
        <f t="shared" si="66"/>
        <v>0</v>
      </c>
      <c r="P52" s="210">
        <f t="shared" si="66"/>
        <v>0</v>
      </c>
      <c r="Q52" s="210">
        <f t="shared" si="66"/>
        <v>0</v>
      </c>
      <c r="R52" s="210">
        <f t="shared" si="66"/>
        <v>0</v>
      </c>
      <c r="S52" s="210">
        <f t="shared" si="66"/>
        <v>0</v>
      </c>
      <c r="T52" s="210">
        <f t="shared" si="66"/>
        <v>0</v>
      </c>
      <c r="U52" s="210">
        <f t="shared" si="66"/>
        <v>0</v>
      </c>
      <c r="V52" s="210">
        <f t="shared" si="66"/>
        <v>0</v>
      </c>
      <c r="W52" s="210">
        <f t="shared" si="66"/>
        <v>0</v>
      </c>
      <c r="X52" s="210">
        <f t="shared" si="66"/>
        <v>0</v>
      </c>
      <c r="Y52" s="210">
        <f t="shared" si="66"/>
        <v>-2.7797321830208017</v>
      </c>
      <c r="Z52" s="210">
        <f t="shared" si="66"/>
        <v>-2.7797321830208017</v>
      </c>
      <c r="AA52" s="210">
        <f t="shared" si="66"/>
        <v>-2.7797321830208017</v>
      </c>
      <c r="AB52" s="210">
        <f t="shared" si="66"/>
        <v>-2.7797321830208017</v>
      </c>
      <c r="AC52" s="210">
        <f t="shared" si="66"/>
        <v>-2.7797321830208017</v>
      </c>
      <c r="AD52" s="210">
        <f t="shared" si="66"/>
        <v>-2.7797321830208017</v>
      </c>
      <c r="AE52" s="210">
        <f t="shared" si="66"/>
        <v>-2.7797321830208017</v>
      </c>
      <c r="AF52" s="210">
        <f t="shared" si="66"/>
        <v>-2.7797321830208017</v>
      </c>
      <c r="AG52" s="210">
        <f t="shared" si="66"/>
        <v>-2.7797321830208017</v>
      </c>
      <c r="AH52" s="210">
        <f t="shared" si="66"/>
        <v>-2.7797321830208017</v>
      </c>
      <c r="AI52" s="210">
        <f t="shared" si="66"/>
        <v>-2.7797321830208017</v>
      </c>
      <c r="AJ52" s="210">
        <f t="shared" si="66"/>
        <v>-2.7797321830208017</v>
      </c>
      <c r="AK52" s="210">
        <f t="shared" si="66"/>
        <v>-2.7797321830208017</v>
      </c>
      <c r="AL52" s="210">
        <f t="shared" ref="AL52:BQ52" si="67">IF(AL$22&lt;=$E$24,IF(AL$22&lt;=$D$24,IF(AL$22&lt;=$C$24,IF(AL$22&lt;=$B$24,$B118,($C35-$B35)/($C$24-$B$24)),($D35-$C35)/($D$24-$C$24)),($E35-$D35)/($E$24-$D$24)),$F118)</f>
        <v>-2.7797321830208017</v>
      </c>
      <c r="AM52" s="210">
        <f t="shared" si="67"/>
        <v>-2.7797321830208017</v>
      </c>
      <c r="AN52" s="210">
        <f t="shared" si="67"/>
        <v>-2.7797321830208017</v>
      </c>
      <c r="AO52" s="210">
        <f t="shared" si="67"/>
        <v>-2.7797321830208017</v>
      </c>
      <c r="AP52" s="210">
        <f t="shared" si="67"/>
        <v>-2.7797321830208017</v>
      </c>
      <c r="AQ52" s="210">
        <f t="shared" si="67"/>
        <v>-2.7797321830208017</v>
      </c>
      <c r="AR52" s="210">
        <f t="shared" si="67"/>
        <v>-2.7797321830208017</v>
      </c>
      <c r="AS52" s="210">
        <f t="shared" si="67"/>
        <v>-2.7797321830208017</v>
      </c>
      <c r="AT52" s="210">
        <f t="shared" si="67"/>
        <v>-2.7797321830208017</v>
      </c>
      <c r="AU52" s="210">
        <f t="shared" si="67"/>
        <v>-2.7797321830208017</v>
      </c>
      <c r="AV52" s="210">
        <f t="shared" si="67"/>
        <v>-2.7797321830208017</v>
      </c>
      <c r="AW52" s="210">
        <f t="shared" si="67"/>
        <v>-2.7797321830208017</v>
      </c>
      <c r="AX52" s="210">
        <f t="shared" si="67"/>
        <v>-2.7797321830208017</v>
      </c>
      <c r="AY52" s="210">
        <f t="shared" si="67"/>
        <v>-2.7797321830208017</v>
      </c>
      <c r="AZ52" s="210">
        <f t="shared" si="67"/>
        <v>-2.7797321830208017</v>
      </c>
      <c r="BA52" s="210">
        <f t="shared" si="67"/>
        <v>-2.7797321830208017</v>
      </c>
      <c r="BB52" s="210">
        <f t="shared" si="67"/>
        <v>-2.7797321830208017</v>
      </c>
      <c r="BC52" s="210">
        <f t="shared" si="67"/>
        <v>-2.7797321830208017</v>
      </c>
      <c r="BD52" s="210">
        <f t="shared" si="67"/>
        <v>-2.7797321830208017</v>
      </c>
      <c r="BE52" s="210">
        <f t="shared" si="67"/>
        <v>-2.7797321830208017</v>
      </c>
      <c r="BF52" s="210">
        <f t="shared" si="67"/>
        <v>-2.7797321830208017</v>
      </c>
      <c r="BG52" s="210">
        <f t="shared" si="67"/>
        <v>-2.7797321830208017</v>
      </c>
      <c r="BH52" s="210">
        <f t="shared" si="67"/>
        <v>-33.696099603515485</v>
      </c>
      <c r="BI52" s="210">
        <f t="shared" si="67"/>
        <v>-33.696099603515485</v>
      </c>
      <c r="BJ52" s="210">
        <f t="shared" si="67"/>
        <v>-33.696099603515485</v>
      </c>
      <c r="BK52" s="210">
        <f t="shared" si="67"/>
        <v>-33.696099603515485</v>
      </c>
      <c r="BL52" s="210">
        <f t="shared" si="67"/>
        <v>-33.696099603515485</v>
      </c>
      <c r="BM52" s="210">
        <f t="shared" si="67"/>
        <v>-33.696099603515485</v>
      </c>
      <c r="BN52" s="210">
        <f t="shared" si="67"/>
        <v>-33.696099603515485</v>
      </c>
      <c r="BO52" s="210">
        <f t="shared" si="67"/>
        <v>-33.696099603515485</v>
      </c>
      <c r="BP52" s="210">
        <f t="shared" si="67"/>
        <v>-33.696099603515485</v>
      </c>
      <c r="BQ52" s="210">
        <f t="shared" si="67"/>
        <v>-33.696099603515485</v>
      </c>
      <c r="BR52" s="210">
        <f t="shared" ref="BR52:DA52" si="68">IF(BR$22&lt;=$E$24,IF(BR$22&lt;=$D$24,IF(BR$22&lt;=$C$24,IF(BR$22&lt;=$B$24,$B118,($C35-$B35)/($C$24-$B$24)),($D35-$C35)/($D$24-$C$24)),($E35-$D35)/($E$24-$D$24)),$F118)</f>
        <v>-33.696099603515485</v>
      </c>
      <c r="BS52" s="210">
        <f t="shared" si="68"/>
        <v>-33.696099603515485</v>
      </c>
      <c r="BT52" s="210">
        <f t="shared" si="68"/>
        <v>-33.696099603515485</v>
      </c>
      <c r="BU52" s="210">
        <f t="shared" si="68"/>
        <v>-33.696099603515485</v>
      </c>
      <c r="BV52" s="210">
        <f t="shared" si="68"/>
        <v>-33.696099603515485</v>
      </c>
      <c r="BW52" s="210">
        <f t="shared" si="68"/>
        <v>-33.696099603515485</v>
      </c>
      <c r="BX52" s="210">
        <f t="shared" si="68"/>
        <v>-33.696099603515485</v>
      </c>
      <c r="BY52" s="210">
        <f t="shared" si="68"/>
        <v>-33.696099603515485</v>
      </c>
      <c r="BZ52" s="210">
        <f t="shared" si="68"/>
        <v>-33.696099603515485</v>
      </c>
      <c r="CA52" s="210">
        <f t="shared" si="68"/>
        <v>-33.696099603515485</v>
      </c>
      <c r="CB52" s="210">
        <f t="shared" si="68"/>
        <v>-33.696099603515485</v>
      </c>
      <c r="CC52" s="210">
        <f t="shared" si="68"/>
        <v>-33.696099603515485</v>
      </c>
      <c r="CD52" s="210">
        <f t="shared" si="68"/>
        <v>-33.696099603515485</v>
      </c>
      <c r="CE52" s="210">
        <f t="shared" si="68"/>
        <v>-33.696099603515485</v>
      </c>
      <c r="CF52" s="210">
        <f t="shared" si="68"/>
        <v>-33.696099603515485</v>
      </c>
      <c r="CG52" s="210">
        <f t="shared" si="68"/>
        <v>-33.696099603515485</v>
      </c>
      <c r="CH52" s="210">
        <f t="shared" si="68"/>
        <v>-33.696099603515485</v>
      </c>
      <c r="CI52" s="210">
        <f t="shared" si="68"/>
        <v>0</v>
      </c>
      <c r="CJ52" s="210">
        <f t="shared" si="68"/>
        <v>0</v>
      </c>
      <c r="CK52" s="210">
        <f t="shared" si="68"/>
        <v>0</v>
      </c>
      <c r="CL52" s="210">
        <f t="shared" si="68"/>
        <v>0</v>
      </c>
      <c r="CM52" s="210">
        <f t="shared" si="68"/>
        <v>0</v>
      </c>
      <c r="CN52" s="210">
        <f t="shared" si="68"/>
        <v>0</v>
      </c>
      <c r="CO52" s="210">
        <f t="shared" si="68"/>
        <v>0</v>
      </c>
      <c r="CP52" s="210">
        <f t="shared" si="68"/>
        <v>0</v>
      </c>
      <c r="CQ52" s="210">
        <f t="shared" si="68"/>
        <v>0</v>
      </c>
      <c r="CR52" s="210">
        <f t="shared" si="68"/>
        <v>0</v>
      </c>
      <c r="CS52" s="210">
        <f t="shared" si="68"/>
        <v>0</v>
      </c>
      <c r="CT52" s="210">
        <f t="shared" si="68"/>
        <v>0</v>
      </c>
      <c r="CU52" s="210">
        <f t="shared" si="68"/>
        <v>0</v>
      </c>
      <c r="CV52" s="210">
        <f t="shared" si="68"/>
        <v>0</v>
      </c>
      <c r="CW52" s="210">
        <f t="shared" si="68"/>
        <v>0</v>
      </c>
      <c r="CX52" s="210">
        <f t="shared" si="68"/>
        <v>14.730000000000004</v>
      </c>
      <c r="CY52" s="210">
        <f t="shared" si="68"/>
        <v>14.730000000000004</v>
      </c>
      <c r="CZ52" s="210">
        <f t="shared" si="68"/>
        <v>14.730000000000004</v>
      </c>
      <c r="DA52" s="210">
        <f t="shared" si="68"/>
        <v>14.730000000000004</v>
      </c>
    </row>
    <row r="53" spans="1:105">
      <c r="A53" s="201" t="str">
        <f>Income!A85</f>
        <v>Cash transfer - official</v>
      </c>
      <c r="F53" s="210">
        <f t="shared" ref="F53:AK53" si="69">IF(F$22&lt;=$E$24,IF(F$22&lt;=$D$24,IF(F$22&lt;=$C$24,IF(F$22&lt;=$B$24,$B119,($C36-$B36)/($C$24-$B$24)),($D36-$C36)/($D$24-$C$24)),($E36-$D36)/($E$24-$D$24)),$F119)</f>
        <v>0</v>
      </c>
      <c r="G53" s="210">
        <f t="shared" si="69"/>
        <v>0</v>
      </c>
      <c r="H53" s="210">
        <f t="shared" si="69"/>
        <v>0</v>
      </c>
      <c r="I53" s="210">
        <f t="shared" si="69"/>
        <v>0</v>
      </c>
      <c r="J53" s="210">
        <f t="shared" si="69"/>
        <v>0</v>
      </c>
      <c r="K53" s="210">
        <f t="shared" si="69"/>
        <v>0</v>
      </c>
      <c r="L53" s="210">
        <f t="shared" si="69"/>
        <v>0</v>
      </c>
      <c r="M53" s="210">
        <f t="shared" si="69"/>
        <v>0</v>
      </c>
      <c r="N53" s="210">
        <f t="shared" si="69"/>
        <v>0</v>
      </c>
      <c r="O53" s="210">
        <f t="shared" si="69"/>
        <v>0</v>
      </c>
      <c r="P53" s="210">
        <f t="shared" si="69"/>
        <v>0</v>
      </c>
      <c r="Q53" s="210">
        <f t="shared" si="69"/>
        <v>0</v>
      </c>
      <c r="R53" s="210">
        <f t="shared" si="69"/>
        <v>0</v>
      </c>
      <c r="S53" s="210">
        <f t="shared" si="69"/>
        <v>0</v>
      </c>
      <c r="T53" s="210">
        <f t="shared" si="69"/>
        <v>0</v>
      </c>
      <c r="U53" s="210">
        <f t="shared" si="69"/>
        <v>0</v>
      </c>
      <c r="V53" s="210">
        <f t="shared" si="69"/>
        <v>0</v>
      </c>
      <c r="W53" s="210">
        <f t="shared" si="69"/>
        <v>0</v>
      </c>
      <c r="X53" s="210">
        <f t="shared" si="69"/>
        <v>0</v>
      </c>
      <c r="Y53" s="210">
        <f t="shared" si="69"/>
        <v>0</v>
      </c>
      <c r="Z53" s="210">
        <f t="shared" si="69"/>
        <v>0</v>
      </c>
      <c r="AA53" s="210">
        <f t="shared" si="69"/>
        <v>0</v>
      </c>
      <c r="AB53" s="210">
        <f t="shared" si="69"/>
        <v>0</v>
      </c>
      <c r="AC53" s="210">
        <f t="shared" si="69"/>
        <v>0</v>
      </c>
      <c r="AD53" s="210">
        <f t="shared" si="69"/>
        <v>0</v>
      </c>
      <c r="AE53" s="210">
        <f t="shared" si="69"/>
        <v>0</v>
      </c>
      <c r="AF53" s="210">
        <f t="shared" si="69"/>
        <v>0</v>
      </c>
      <c r="AG53" s="210">
        <f t="shared" si="69"/>
        <v>0</v>
      </c>
      <c r="AH53" s="210">
        <f t="shared" si="69"/>
        <v>0</v>
      </c>
      <c r="AI53" s="210">
        <f t="shared" si="69"/>
        <v>0</v>
      </c>
      <c r="AJ53" s="210">
        <f t="shared" si="69"/>
        <v>0</v>
      </c>
      <c r="AK53" s="210">
        <f t="shared" si="69"/>
        <v>0</v>
      </c>
      <c r="AL53" s="210">
        <f t="shared" ref="AL53:BQ53" si="70">IF(AL$22&lt;=$E$24,IF(AL$22&lt;=$D$24,IF(AL$22&lt;=$C$24,IF(AL$22&lt;=$B$24,$B119,($C36-$B36)/($C$24-$B$24)),($D36-$C36)/($D$24-$C$24)),($E36-$D36)/($E$24-$D$24)),$F119)</f>
        <v>0</v>
      </c>
      <c r="AM53" s="210">
        <f t="shared" si="70"/>
        <v>0</v>
      </c>
      <c r="AN53" s="210">
        <f t="shared" si="70"/>
        <v>0</v>
      </c>
      <c r="AO53" s="210">
        <f t="shared" si="70"/>
        <v>0</v>
      </c>
      <c r="AP53" s="210">
        <f t="shared" si="70"/>
        <v>0</v>
      </c>
      <c r="AQ53" s="210">
        <f t="shared" si="70"/>
        <v>0</v>
      </c>
      <c r="AR53" s="210">
        <f t="shared" si="70"/>
        <v>0</v>
      </c>
      <c r="AS53" s="210">
        <f t="shared" si="70"/>
        <v>0</v>
      </c>
      <c r="AT53" s="210">
        <f t="shared" si="70"/>
        <v>0</v>
      </c>
      <c r="AU53" s="210">
        <f t="shared" si="70"/>
        <v>0</v>
      </c>
      <c r="AV53" s="210">
        <f t="shared" si="70"/>
        <v>0</v>
      </c>
      <c r="AW53" s="210">
        <f t="shared" si="70"/>
        <v>0</v>
      </c>
      <c r="AX53" s="210">
        <f t="shared" si="70"/>
        <v>0</v>
      </c>
      <c r="AY53" s="210">
        <f t="shared" si="70"/>
        <v>0</v>
      </c>
      <c r="AZ53" s="210">
        <f t="shared" si="70"/>
        <v>0</v>
      </c>
      <c r="BA53" s="210">
        <f t="shared" si="70"/>
        <v>0</v>
      </c>
      <c r="BB53" s="210">
        <f t="shared" si="70"/>
        <v>0</v>
      </c>
      <c r="BC53" s="210">
        <f t="shared" si="70"/>
        <v>0</v>
      </c>
      <c r="BD53" s="210">
        <f t="shared" si="70"/>
        <v>0</v>
      </c>
      <c r="BE53" s="210">
        <f t="shared" si="70"/>
        <v>0</v>
      </c>
      <c r="BF53" s="210">
        <f t="shared" si="70"/>
        <v>0</v>
      </c>
      <c r="BG53" s="210">
        <f t="shared" si="70"/>
        <v>0</v>
      </c>
      <c r="BH53" s="210">
        <f t="shared" si="70"/>
        <v>-690.92561266270832</v>
      </c>
      <c r="BI53" s="210">
        <f t="shared" si="70"/>
        <v>-690.92561266270832</v>
      </c>
      <c r="BJ53" s="210">
        <f t="shared" si="70"/>
        <v>-690.92561266270832</v>
      </c>
      <c r="BK53" s="210">
        <f t="shared" si="70"/>
        <v>-690.92561266270832</v>
      </c>
      <c r="BL53" s="210">
        <f t="shared" si="70"/>
        <v>-690.92561266270832</v>
      </c>
      <c r="BM53" s="210">
        <f t="shared" si="70"/>
        <v>-690.92561266270832</v>
      </c>
      <c r="BN53" s="210">
        <f t="shared" si="70"/>
        <v>-690.92561266270832</v>
      </c>
      <c r="BO53" s="210">
        <f t="shared" si="70"/>
        <v>-690.92561266270832</v>
      </c>
      <c r="BP53" s="210">
        <f t="shared" si="70"/>
        <v>-690.92561266270832</v>
      </c>
      <c r="BQ53" s="210">
        <f t="shared" si="70"/>
        <v>-690.92561266270832</v>
      </c>
      <c r="BR53" s="210">
        <f t="shared" ref="BR53:DA53" si="71">IF(BR$22&lt;=$E$24,IF(BR$22&lt;=$D$24,IF(BR$22&lt;=$C$24,IF(BR$22&lt;=$B$24,$B119,($C36-$B36)/($C$24-$B$24)),($D36-$C36)/($D$24-$C$24)),($E36-$D36)/($E$24-$D$24)),$F119)</f>
        <v>-690.92561266270832</v>
      </c>
      <c r="BS53" s="210">
        <f t="shared" si="71"/>
        <v>-690.92561266270832</v>
      </c>
      <c r="BT53" s="210">
        <f t="shared" si="71"/>
        <v>-690.92561266270832</v>
      </c>
      <c r="BU53" s="210">
        <f t="shared" si="71"/>
        <v>-690.92561266270832</v>
      </c>
      <c r="BV53" s="210">
        <f t="shared" si="71"/>
        <v>-690.92561266270832</v>
      </c>
      <c r="BW53" s="210">
        <f t="shared" si="71"/>
        <v>-690.92561266270832</v>
      </c>
      <c r="BX53" s="210">
        <f t="shared" si="71"/>
        <v>-690.92561266270832</v>
      </c>
      <c r="BY53" s="210">
        <f t="shared" si="71"/>
        <v>-690.92561266270832</v>
      </c>
      <c r="BZ53" s="210">
        <f t="shared" si="71"/>
        <v>-690.92561266270832</v>
      </c>
      <c r="CA53" s="210">
        <f t="shared" si="71"/>
        <v>-690.92561266270832</v>
      </c>
      <c r="CB53" s="210">
        <f t="shared" si="71"/>
        <v>-690.92561266270832</v>
      </c>
      <c r="CC53" s="210">
        <f t="shared" si="71"/>
        <v>-690.92561266270832</v>
      </c>
      <c r="CD53" s="210">
        <f t="shared" si="71"/>
        <v>-690.92561266270832</v>
      </c>
      <c r="CE53" s="210">
        <f t="shared" si="71"/>
        <v>-690.92561266270832</v>
      </c>
      <c r="CF53" s="210">
        <f t="shared" si="71"/>
        <v>-690.92561266270832</v>
      </c>
      <c r="CG53" s="210">
        <f t="shared" si="71"/>
        <v>-690.92561266270832</v>
      </c>
      <c r="CH53" s="210">
        <f t="shared" si="71"/>
        <v>-690.92561266270832</v>
      </c>
      <c r="CI53" s="210">
        <f t="shared" si="71"/>
        <v>0</v>
      </c>
      <c r="CJ53" s="210">
        <f t="shared" si="71"/>
        <v>0</v>
      </c>
      <c r="CK53" s="210">
        <f t="shared" si="71"/>
        <v>0</v>
      </c>
      <c r="CL53" s="210">
        <f t="shared" si="71"/>
        <v>0</v>
      </c>
      <c r="CM53" s="210">
        <f t="shared" si="71"/>
        <v>0</v>
      </c>
      <c r="CN53" s="210">
        <f t="shared" si="71"/>
        <v>0</v>
      </c>
      <c r="CO53" s="210">
        <f t="shared" si="71"/>
        <v>0</v>
      </c>
      <c r="CP53" s="210">
        <f t="shared" si="71"/>
        <v>0</v>
      </c>
      <c r="CQ53" s="210">
        <f t="shared" si="71"/>
        <v>0</v>
      </c>
      <c r="CR53" s="210">
        <f t="shared" si="71"/>
        <v>0</v>
      </c>
      <c r="CS53" s="210">
        <f t="shared" si="71"/>
        <v>0</v>
      </c>
      <c r="CT53" s="210">
        <f t="shared" si="71"/>
        <v>0</v>
      </c>
      <c r="CU53" s="210">
        <f t="shared" si="71"/>
        <v>0</v>
      </c>
      <c r="CV53" s="210">
        <f t="shared" si="71"/>
        <v>0</v>
      </c>
      <c r="CW53" s="210">
        <f t="shared" si="71"/>
        <v>0</v>
      </c>
      <c r="CX53" s="210">
        <f t="shared" si="71"/>
        <v>-1127.83</v>
      </c>
      <c r="CY53" s="210">
        <f t="shared" si="71"/>
        <v>-1127.83</v>
      </c>
      <c r="CZ53" s="210">
        <f t="shared" si="71"/>
        <v>-1127.83</v>
      </c>
      <c r="DA53" s="210">
        <f t="shared" si="71"/>
        <v>-1127.83</v>
      </c>
    </row>
    <row r="54" spans="1:105">
      <c r="A54" s="201" t="str">
        <f>Income!A86</f>
        <v>Cash transfer - gifts</v>
      </c>
      <c r="F54" s="210">
        <f t="shared" ref="F54:AK54" si="72">IF(F$22&lt;=$E$24,IF(F$22&lt;=$D$24,IF(F$22&lt;=$C$24,IF(F$22&lt;=$B$24,$B120,($C37-$B37)/($C$24-$B$24)),($D37-$C37)/($D$24-$C$24)),($E37-$D37)/($E$24-$D$24)),$F120)</f>
        <v>0</v>
      </c>
      <c r="G54" s="210">
        <f t="shared" si="72"/>
        <v>0</v>
      </c>
      <c r="H54" s="210">
        <f t="shared" si="72"/>
        <v>0</v>
      </c>
      <c r="I54" s="210">
        <f t="shared" si="72"/>
        <v>0</v>
      </c>
      <c r="J54" s="210">
        <f t="shared" si="72"/>
        <v>0</v>
      </c>
      <c r="K54" s="210">
        <f t="shared" si="72"/>
        <v>0</v>
      </c>
      <c r="L54" s="210">
        <f t="shared" si="72"/>
        <v>0</v>
      </c>
      <c r="M54" s="210">
        <f t="shared" si="72"/>
        <v>0</v>
      </c>
      <c r="N54" s="210">
        <f t="shared" si="72"/>
        <v>0</v>
      </c>
      <c r="O54" s="210">
        <f t="shared" si="72"/>
        <v>0</v>
      </c>
      <c r="P54" s="210">
        <f t="shared" si="72"/>
        <v>0</v>
      </c>
      <c r="Q54" s="210">
        <f t="shared" si="72"/>
        <v>0</v>
      </c>
      <c r="R54" s="210">
        <f t="shared" si="72"/>
        <v>0</v>
      </c>
      <c r="S54" s="210">
        <f t="shared" si="72"/>
        <v>0</v>
      </c>
      <c r="T54" s="210">
        <f t="shared" si="72"/>
        <v>0</v>
      </c>
      <c r="U54" s="210">
        <f t="shared" si="72"/>
        <v>0</v>
      </c>
      <c r="V54" s="210">
        <f t="shared" si="72"/>
        <v>0</v>
      </c>
      <c r="W54" s="210">
        <f t="shared" si="72"/>
        <v>0</v>
      </c>
      <c r="X54" s="210">
        <f t="shared" si="72"/>
        <v>0</v>
      </c>
      <c r="Y54" s="210">
        <f t="shared" si="72"/>
        <v>88.352463324256988</v>
      </c>
      <c r="Z54" s="210">
        <f t="shared" si="72"/>
        <v>88.352463324256988</v>
      </c>
      <c r="AA54" s="210">
        <f t="shared" si="72"/>
        <v>88.352463324256988</v>
      </c>
      <c r="AB54" s="210">
        <f t="shared" si="72"/>
        <v>88.352463324256988</v>
      </c>
      <c r="AC54" s="210">
        <f t="shared" si="72"/>
        <v>88.352463324256988</v>
      </c>
      <c r="AD54" s="210">
        <f t="shared" si="72"/>
        <v>88.352463324256988</v>
      </c>
      <c r="AE54" s="210">
        <f t="shared" si="72"/>
        <v>88.352463324256988</v>
      </c>
      <c r="AF54" s="210">
        <f t="shared" si="72"/>
        <v>88.352463324256988</v>
      </c>
      <c r="AG54" s="210">
        <f t="shared" si="72"/>
        <v>88.352463324256988</v>
      </c>
      <c r="AH54" s="210">
        <f t="shared" si="72"/>
        <v>88.352463324256988</v>
      </c>
      <c r="AI54" s="210">
        <f t="shared" si="72"/>
        <v>88.352463324256988</v>
      </c>
      <c r="AJ54" s="210">
        <f t="shared" si="72"/>
        <v>88.352463324256988</v>
      </c>
      <c r="AK54" s="210">
        <f t="shared" si="72"/>
        <v>88.352463324256988</v>
      </c>
      <c r="AL54" s="210">
        <f t="shared" ref="AL54:BQ54" si="73">IF(AL$22&lt;=$E$24,IF(AL$22&lt;=$D$24,IF(AL$22&lt;=$C$24,IF(AL$22&lt;=$B$24,$B120,($C37-$B37)/($C$24-$B$24)),($D37-$C37)/($D$24-$C$24)),($E37-$D37)/($E$24-$D$24)),$F120)</f>
        <v>88.352463324256988</v>
      </c>
      <c r="AM54" s="210">
        <f t="shared" si="73"/>
        <v>88.352463324256988</v>
      </c>
      <c r="AN54" s="210">
        <f t="shared" si="73"/>
        <v>88.352463324256988</v>
      </c>
      <c r="AO54" s="210">
        <f t="shared" si="73"/>
        <v>88.352463324256988</v>
      </c>
      <c r="AP54" s="210">
        <f t="shared" si="73"/>
        <v>88.352463324256988</v>
      </c>
      <c r="AQ54" s="210">
        <f t="shared" si="73"/>
        <v>88.352463324256988</v>
      </c>
      <c r="AR54" s="210">
        <f t="shared" si="73"/>
        <v>88.352463324256988</v>
      </c>
      <c r="AS54" s="210">
        <f t="shared" si="73"/>
        <v>88.352463324256988</v>
      </c>
      <c r="AT54" s="210">
        <f t="shared" si="73"/>
        <v>88.352463324256988</v>
      </c>
      <c r="AU54" s="210">
        <f t="shared" si="73"/>
        <v>88.352463324256988</v>
      </c>
      <c r="AV54" s="210">
        <f t="shared" si="73"/>
        <v>88.352463324256988</v>
      </c>
      <c r="AW54" s="210">
        <f t="shared" si="73"/>
        <v>88.352463324256988</v>
      </c>
      <c r="AX54" s="210">
        <f t="shared" si="73"/>
        <v>88.352463324256988</v>
      </c>
      <c r="AY54" s="210">
        <f t="shared" si="73"/>
        <v>88.352463324256988</v>
      </c>
      <c r="AZ54" s="210">
        <f t="shared" si="73"/>
        <v>88.352463324256988</v>
      </c>
      <c r="BA54" s="210">
        <f t="shared" si="73"/>
        <v>88.352463324256988</v>
      </c>
      <c r="BB54" s="210">
        <f t="shared" si="73"/>
        <v>88.352463324256988</v>
      </c>
      <c r="BC54" s="210">
        <f t="shared" si="73"/>
        <v>88.352463324256988</v>
      </c>
      <c r="BD54" s="210">
        <f t="shared" si="73"/>
        <v>88.352463324256988</v>
      </c>
      <c r="BE54" s="210">
        <f t="shared" si="73"/>
        <v>88.352463324256988</v>
      </c>
      <c r="BF54" s="210">
        <f t="shared" si="73"/>
        <v>88.352463324256988</v>
      </c>
      <c r="BG54" s="210">
        <f t="shared" si="73"/>
        <v>88.352463324256988</v>
      </c>
      <c r="BH54" s="210">
        <f t="shared" si="73"/>
        <v>-23.11396012892083</v>
      </c>
      <c r="BI54" s="210">
        <f t="shared" si="73"/>
        <v>-23.11396012892083</v>
      </c>
      <c r="BJ54" s="210">
        <f t="shared" si="73"/>
        <v>-23.11396012892083</v>
      </c>
      <c r="BK54" s="210">
        <f t="shared" si="73"/>
        <v>-23.11396012892083</v>
      </c>
      <c r="BL54" s="210">
        <f t="shared" si="73"/>
        <v>-23.11396012892083</v>
      </c>
      <c r="BM54" s="210">
        <f t="shared" si="73"/>
        <v>-23.11396012892083</v>
      </c>
      <c r="BN54" s="210">
        <f t="shared" si="73"/>
        <v>-23.11396012892083</v>
      </c>
      <c r="BO54" s="210">
        <f t="shared" si="73"/>
        <v>-23.11396012892083</v>
      </c>
      <c r="BP54" s="210">
        <f t="shared" si="73"/>
        <v>-23.11396012892083</v>
      </c>
      <c r="BQ54" s="210">
        <f t="shared" si="73"/>
        <v>-23.11396012892083</v>
      </c>
      <c r="BR54" s="210">
        <f t="shared" ref="BR54:DA54" si="74">IF(BR$22&lt;=$E$24,IF(BR$22&lt;=$D$24,IF(BR$22&lt;=$C$24,IF(BR$22&lt;=$B$24,$B120,($C37-$B37)/($C$24-$B$24)),($D37-$C37)/($D$24-$C$24)),($E37-$D37)/($E$24-$D$24)),$F120)</f>
        <v>-23.11396012892083</v>
      </c>
      <c r="BS54" s="210">
        <f t="shared" si="74"/>
        <v>-23.11396012892083</v>
      </c>
      <c r="BT54" s="210">
        <f t="shared" si="74"/>
        <v>-23.11396012892083</v>
      </c>
      <c r="BU54" s="210">
        <f t="shared" si="74"/>
        <v>-23.11396012892083</v>
      </c>
      <c r="BV54" s="210">
        <f t="shared" si="74"/>
        <v>-23.11396012892083</v>
      </c>
      <c r="BW54" s="210">
        <f t="shared" si="74"/>
        <v>-23.11396012892083</v>
      </c>
      <c r="BX54" s="210">
        <f t="shared" si="74"/>
        <v>-23.11396012892083</v>
      </c>
      <c r="BY54" s="210">
        <f t="shared" si="74"/>
        <v>-23.11396012892083</v>
      </c>
      <c r="BZ54" s="210">
        <f t="shared" si="74"/>
        <v>-23.11396012892083</v>
      </c>
      <c r="CA54" s="210">
        <f t="shared" si="74"/>
        <v>-23.11396012892083</v>
      </c>
      <c r="CB54" s="210">
        <f t="shared" si="74"/>
        <v>-23.11396012892083</v>
      </c>
      <c r="CC54" s="210">
        <f t="shared" si="74"/>
        <v>-23.11396012892083</v>
      </c>
      <c r="CD54" s="210">
        <f t="shared" si="74"/>
        <v>-23.11396012892083</v>
      </c>
      <c r="CE54" s="210">
        <f t="shared" si="74"/>
        <v>-23.11396012892083</v>
      </c>
      <c r="CF54" s="210">
        <f t="shared" si="74"/>
        <v>-23.11396012892083</v>
      </c>
      <c r="CG54" s="210">
        <f t="shared" si="74"/>
        <v>-23.11396012892083</v>
      </c>
      <c r="CH54" s="210">
        <f t="shared" si="74"/>
        <v>-23.11396012892083</v>
      </c>
      <c r="CI54" s="210">
        <f t="shared" si="74"/>
        <v>284.2237973605728</v>
      </c>
      <c r="CJ54" s="210">
        <f t="shared" si="74"/>
        <v>284.2237973605728</v>
      </c>
      <c r="CK54" s="210">
        <f t="shared" si="74"/>
        <v>284.2237973605728</v>
      </c>
      <c r="CL54" s="210">
        <f t="shared" si="74"/>
        <v>284.2237973605728</v>
      </c>
      <c r="CM54" s="210">
        <f t="shared" si="74"/>
        <v>284.2237973605728</v>
      </c>
      <c r="CN54" s="210">
        <f t="shared" si="74"/>
        <v>284.2237973605728</v>
      </c>
      <c r="CO54" s="210">
        <f t="shared" si="74"/>
        <v>284.2237973605728</v>
      </c>
      <c r="CP54" s="210">
        <f t="shared" si="74"/>
        <v>284.2237973605728</v>
      </c>
      <c r="CQ54" s="210">
        <f t="shared" si="74"/>
        <v>284.2237973605728</v>
      </c>
      <c r="CR54" s="210">
        <f t="shared" si="74"/>
        <v>284.2237973605728</v>
      </c>
      <c r="CS54" s="210">
        <f t="shared" si="74"/>
        <v>284.2237973605728</v>
      </c>
      <c r="CT54" s="210">
        <f t="shared" si="74"/>
        <v>284.2237973605728</v>
      </c>
      <c r="CU54" s="210">
        <f t="shared" si="74"/>
        <v>284.2237973605728</v>
      </c>
      <c r="CV54" s="210">
        <f t="shared" si="74"/>
        <v>284.2237973605728</v>
      </c>
      <c r="CW54" s="210">
        <f t="shared" si="74"/>
        <v>284.2237973605728</v>
      </c>
      <c r="CX54" s="210">
        <f t="shared" si="74"/>
        <v>296.33</v>
      </c>
      <c r="CY54" s="210">
        <f t="shared" si="74"/>
        <v>296.33</v>
      </c>
      <c r="CZ54" s="210">
        <f t="shared" si="74"/>
        <v>296.33</v>
      </c>
      <c r="DA54" s="210">
        <f t="shared" si="74"/>
        <v>296.33</v>
      </c>
    </row>
    <row r="55" spans="1:105">
      <c r="A55" s="201" t="str">
        <f>Income!A88</f>
        <v>TOTAL</v>
      </c>
    </row>
    <row r="56" spans="1:105">
      <c r="A56" s="201" t="str">
        <f>Income!A89</f>
        <v>Food Poverty line</v>
      </c>
    </row>
    <row r="57" spans="1:105">
      <c r="A57" s="201" t="str">
        <f>Income!A90</f>
        <v>Lower Bound Poverty line</v>
      </c>
    </row>
    <row r="59" spans="1:105" s="204" customFormat="1">
      <c r="A59" s="204" t="str">
        <f>Income!A72</f>
        <v>Own crops Consumed</v>
      </c>
      <c r="F59" s="204">
        <f t="shared" ref="F59:AK59" si="75">IF(F$22&lt;=$E$24,IF(F$22&lt;=$D$24,IF(F$22&lt;=$C$24,IF(F$22&lt;=$B$24,IF(F3=0,0,IF($B25+($B$24-F$22)*F42&lt;0,0,$B25+($B$24-F$22)*F42)),$B25+(F$22-$B$24)*F42),$C25+(F$22-$C$24)*F42),$D25+(F$22-$D$24)*F42),IF($E25+(F$22-$E$24)*F42&lt;0,0,$E25+(F$22-$E$24)*F42))</f>
        <v>3455.8792739655614</v>
      </c>
      <c r="G59" s="204">
        <f t="shared" si="75"/>
        <v>3455.8792739655614</v>
      </c>
      <c r="H59" s="204">
        <f t="shared" si="75"/>
        <v>3455.8792739655614</v>
      </c>
      <c r="I59" s="204">
        <f t="shared" si="75"/>
        <v>3455.8792739655614</v>
      </c>
      <c r="J59" s="204">
        <f t="shared" si="75"/>
        <v>3455.8792739655614</v>
      </c>
      <c r="K59" s="204">
        <f t="shared" si="75"/>
        <v>3455.8792739655614</v>
      </c>
      <c r="L59" s="204">
        <f t="shared" si="75"/>
        <v>3455.8792739655614</v>
      </c>
      <c r="M59" s="204">
        <f t="shared" si="75"/>
        <v>3455.8792739655614</v>
      </c>
      <c r="N59" s="204">
        <f t="shared" si="75"/>
        <v>3455.8792739655614</v>
      </c>
      <c r="O59" s="204">
        <f t="shared" si="75"/>
        <v>3455.8792739655614</v>
      </c>
      <c r="P59" s="204">
        <f t="shared" si="75"/>
        <v>3455.8792739655614</v>
      </c>
      <c r="Q59" s="204">
        <f t="shared" si="75"/>
        <v>3455.8792739655614</v>
      </c>
      <c r="R59" s="204">
        <f t="shared" si="75"/>
        <v>3455.8792739655614</v>
      </c>
      <c r="S59" s="204">
        <f t="shared" si="75"/>
        <v>3455.8792739655614</v>
      </c>
      <c r="T59" s="204">
        <f t="shared" si="75"/>
        <v>3455.8792739655614</v>
      </c>
      <c r="U59" s="204">
        <f t="shared" si="75"/>
        <v>3455.8792739655614</v>
      </c>
      <c r="V59" s="204">
        <f t="shared" si="75"/>
        <v>3455.8792739655614</v>
      </c>
      <c r="W59" s="204">
        <f t="shared" si="75"/>
        <v>3455.8792739655614</v>
      </c>
      <c r="X59" s="204">
        <f t="shared" si="75"/>
        <v>3455.8792739655614</v>
      </c>
      <c r="Y59" s="204">
        <f t="shared" si="75"/>
        <v>3504.998351673923</v>
      </c>
      <c r="Z59" s="204">
        <f t="shared" si="75"/>
        <v>3563.9412449239562</v>
      </c>
      <c r="AA59" s="204">
        <f t="shared" si="75"/>
        <v>3622.8841381739899</v>
      </c>
      <c r="AB59" s="204">
        <f t="shared" si="75"/>
        <v>3681.8270314240235</v>
      </c>
      <c r="AC59" s="204">
        <f t="shared" si="75"/>
        <v>3740.7699246740572</v>
      </c>
      <c r="AD59" s="204">
        <f t="shared" si="75"/>
        <v>3799.7128179240908</v>
      </c>
      <c r="AE59" s="204">
        <f t="shared" si="75"/>
        <v>3858.655711174124</v>
      </c>
      <c r="AF59" s="204">
        <f t="shared" si="75"/>
        <v>3917.5986044241577</v>
      </c>
      <c r="AG59" s="204">
        <f t="shared" si="75"/>
        <v>3976.5414976741913</v>
      </c>
      <c r="AH59" s="204">
        <f t="shared" si="75"/>
        <v>4035.4843909242245</v>
      </c>
      <c r="AI59" s="204">
        <f t="shared" si="75"/>
        <v>4094.4272841742581</v>
      </c>
      <c r="AJ59" s="204">
        <f t="shared" si="75"/>
        <v>4153.3701774242918</v>
      </c>
      <c r="AK59" s="204">
        <f t="shared" si="75"/>
        <v>4212.313070674325</v>
      </c>
      <c r="AL59" s="204">
        <f t="shared" ref="AL59:BQ59" si="76">IF(AL$22&lt;=$E$24,IF(AL$22&lt;=$D$24,IF(AL$22&lt;=$C$24,IF(AL$22&lt;=$B$24,IF(AL3=0,0,IF($B25+($B$24-AL$22)*AL42&lt;0,0,$B25+($B$24-AL$22)*AL42)),$B25+(AL$22-$B$24)*AL42),$C25+(AL$22-$C$24)*AL42),$D25+(AL$22-$D$24)*AL42),IF($E25+(AL$22-$E$24)*AL42&lt;0,0,$E25+(AL$22-$E$24)*AL42))</f>
        <v>4271.2559639243591</v>
      </c>
      <c r="AM59" s="204">
        <f t="shared" si="76"/>
        <v>4330.1988571743923</v>
      </c>
      <c r="AN59" s="204">
        <f t="shared" si="76"/>
        <v>4389.1417504244255</v>
      </c>
      <c r="AO59" s="204">
        <f t="shared" si="76"/>
        <v>4448.0846436744596</v>
      </c>
      <c r="AP59" s="204">
        <f t="shared" si="76"/>
        <v>4507.0275369244928</v>
      </c>
      <c r="AQ59" s="204">
        <f t="shared" si="76"/>
        <v>4565.9704301745269</v>
      </c>
      <c r="AR59" s="204">
        <f t="shared" si="76"/>
        <v>4624.9133234245601</v>
      </c>
      <c r="AS59" s="204">
        <f t="shared" si="76"/>
        <v>4683.8562166745942</v>
      </c>
      <c r="AT59" s="204">
        <f t="shared" si="76"/>
        <v>4742.7991099246274</v>
      </c>
      <c r="AU59" s="204">
        <f t="shared" si="76"/>
        <v>4801.7420031746606</v>
      </c>
      <c r="AV59" s="204">
        <f t="shared" si="76"/>
        <v>4860.6848964246947</v>
      </c>
      <c r="AW59" s="204">
        <f t="shared" si="76"/>
        <v>4919.6277896747279</v>
      </c>
      <c r="AX59" s="204">
        <f t="shared" si="76"/>
        <v>4978.5706829247611</v>
      </c>
      <c r="AY59" s="204">
        <f t="shared" si="76"/>
        <v>5037.5135761747952</v>
      </c>
      <c r="AZ59" s="204">
        <f t="shared" si="76"/>
        <v>5096.4564694248284</v>
      </c>
      <c r="BA59" s="204">
        <f t="shared" si="76"/>
        <v>5155.3993626748615</v>
      </c>
      <c r="BB59" s="204">
        <f t="shared" si="76"/>
        <v>5214.3422559248957</v>
      </c>
      <c r="BC59" s="204">
        <f t="shared" si="76"/>
        <v>5273.2851491749288</v>
      </c>
      <c r="BD59" s="204">
        <f t="shared" si="76"/>
        <v>5332.228042424963</v>
      </c>
      <c r="BE59" s="204">
        <f t="shared" si="76"/>
        <v>5391.1709356749961</v>
      </c>
      <c r="BF59" s="204">
        <f t="shared" si="76"/>
        <v>5450.1138289250302</v>
      </c>
      <c r="BG59" s="204">
        <f t="shared" si="76"/>
        <v>5509.0567221750634</v>
      </c>
      <c r="BH59" s="204">
        <f t="shared" si="76"/>
        <v>5528.3765026370456</v>
      </c>
      <c r="BI59" s="204">
        <f t="shared" si="76"/>
        <v>5539.7716605414171</v>
      </c>
      <c r="BJ59" s="204">
        <f t="shared" si="76"/>
        <v>5551.1668184457885</v>
      </c>
      <c r="BK59" s="204">
        <f t="shared" si="76"/>
        <v>5562.56197635016</v>
      </c>
      <c r="BL59" s="204">
        <f t="shared" si="76"/>
        <v>5573.9571342545314</v>
      </c>
      <c r="BM59" s="204">
        <f t="shared" si="76"/>
        <v>5585.3522921589029</v>
      </c>
      <c r="BN59" s="204">
        <f t="shared" si="76"/>
        <v>5596.7474500632752</v>
      </c>
      <c r="BO59" s="204">
        <f t="shared" si="76"/>
        <v>5608.1426079676467</v>
      </c>
      <c r="BP59" s="204">
        <f t="shared" si="76"/>
        <v>5619.5377658720181</v>
      </c>
      <c r="BQ59" s="204">
        <f t="shared" si="76"/>
        <v>5630.9329237763895</v>
      </c>
      <c r="BR59" s="204">
        <f t="shared" ref="BR59:DA59" si="77">IF(BR$22&lt;=$E$24,IF(BR$22&lt;=$D$24,IF(BR$22&lt;=$C$24,IF(BR$22&lt;=$B$24,IF(BR3=0,0,IF($B25+($B$24-BR$22)*BR42&lt;0,0,$B25+($B$24-BR$22)*BR42)),$B25+(BR$22-$B$24)*BR42),$C25+(BR$22-$C$24)*BR42),$D25+(BR$22-$D$24)*BR42),IF($E25+(BR$22-$E$24)*BR42&lt;0,0,$E25+(BR$22-$E$24)*BR42))</f>
        <v>5642.328081680761</v>
      </c>
      <c r="BS59" s="204">
        <f t="shared" si="77"/>
        <v>5653.7232395851333</v>
      </c>
      <c r="BT59" s="204">
        <f t="shared" si="77"/>
        <v>5665.1183974895048</v>
      </c>
      <c r="BU59" s="204">
        <f t="shared" si="77"/>
        <v>5676.5135553938762</v>
      </c>
      <c r="BV59" s="204">
        <f t="shared" si="77"/>
        <v>5687.9087132982477</v>
      </c>
      <c r="BW59" s="204">
        <f t="shared" si="77"/>
        <v>5699.3038712026191</v>
      </c>
      <c r="BX59" s="204">
        <f t="shared" si="77"/>
        <v>5710.6990291069915</v>
      </c>
      <c r="BY59" s="204">
        <f t="shared" si="77"/>
        <v>5722.0941870113629</v>
      </c>
      <c r="BZ59" s="204">
        <f t="shared" si="77"/>
        <v>5733.4893449157344</v>
      </c>
      <c r="CA59" s="204">
        <f t="shared" si="77"/>
        <v>5744.8845028201058</v>
      </c>
      <c r="CB59" s="204">
        <f t="shared" si="77"/>
        <v>5756.2796607244773</v>
      </c>
      <c r="CC59" s="204">
        <f t="shared" si="77"/>
        <v>5767.6748186288496</v>
      </c>
      <c r="CD59" s="204">
        <f t="shared" si="77"/>
        <v>5779.0699765332211</v>
      </c>
      <c r="CE59" s="204">
        <f t="shared" si="77"/>
        <v>5790.4651344375925</v>
      </c>
      <c r="CF59" s="204">
        <f t="shared" si="77"/>
        <v>5801.8602923419639</v>
      </c>
      <c r="CG59" s="204">
        <f t="shared" si="77"/>
        <v>5813.2554502463354</v>
      </c>
      <c r="CH59" s="204">
        <f t="shared" si="77"/>
        <v>5824.6506081507068</v>
      </c>
      <c r="CI59" s="204">
        <f t="shared" si="77"/>
        <v>5828.0281163095287</v>
      </c>
      <c r="CJ59" s="204">
        <f t="shared" si="77"/>
        <v>5829.8020945192411</v>
      </c>
      <c r="CK59" s="204">
        <f t="shared" si="77"/>
        <v>5831.5760727289526</v>
      </c>
      <c r="CL59" s="204">
        <f t="shared" si="77"/>
        <v>5833.3500509386649</v>
      </c>
      <c r="CM59" s="204">
        <f t="shared" si="77"/>
        <v>5835.1240291483764</v>
      </c>
      <c r="CN59" s="204">
        <f t="shared" si="77"/>
        <v>5836.8980073580888</v>
      </c>
      <c r="CO59" s="204">
        <f t="shared" si="77"/>
        <v>5838.6719855678002</v>
      </c>
      <c r="CP59" s="204">
        <f t="shared" si="77"/>
        <v>5840.4459637775126</v>
      </c>
      <c r="CQ59" s="204">
        <f t="shared" si="77"/>
        <v>5842.219941987224</v>
      </c>
      <c r="CR59" s="204">
        <f t="shared" si="77"/>
        <v>5843.9939201969355</v>
      </c>
      <c r="CS59" s="204">
        <f t="shared" si="77"/>
        <v>5845.7678984066479</v>
      </c>
      <c r="CT59" s="204">
        <f t="shared" si="77"/>
        <v>5847.5418766163593</v>
      </c>
      <c r="CU59" s="204">
        <f t="shared" si="77"/>
        <v>5849.3158548260717</v>
      </c>
      <c r="CV59" s="204">
        <f t="shared" si="77"/>
        <v>5851.0898330357832</v>
      </c>
      <c r="CW59" s="204">
        <f t="shared" si="77"/>
        <v>5852.8638112454955</v>
      </c>
      <c r="CX59" s="204">
        <f t="shared" si="77"/>
        <v>5941.7928076137814</v>
      </c>
      <c r="CY59" s="204">
        <f t="shared" si="77"/>
        <v>6048.152807613782</v>
      </c>
      <c r="CZ59" s="204">
        <f t="shared" si="77"/>
        <v>6154.5128076137817</v>
      </c>
      <c r="DA59" s="204">
        <f t="shared" si="77"/>
        <v>6260.8728076137822</v>
      </c>
    </row>
    <row r="60" spans="1:105" s="204" customFormat="1">
      <c r="A60" s="204" t="str">
        <f>Income!A73</f>
        <v>Own crops sold</v>
      </c>
      <c r="F60" s="204">
        <f t="shared" ref="F60:AK60" si="78">IF(F$22&lt;=$E$24,IF(F$22&lt;=$D$24,IF(F$22&lt;=$C$24,IF(F$22&lt;=$B$24,IF(F4=0,0,IF($B26+($B$24-F$22)*F43&lt;0,0,$B26+($B$24-F$22)*F43)),$B26+(F$22-$B$24)*F43),$C26+(F$22-$C$24)*F43),$D26+(F$22-$D$24)*F43),IF($E26+(F$22-$E$24)*F43&lt;0,0,$E26+(F$22-$E$24)*F43))</f>
        <v>7353.5326801018091</v>
      </c>
      <c r="G60" s="204">
        <f t="shared" si="78"/>
        <v>7013.2726801018089</v>
      </c>
      <c r="H60" s="204">
        <f t="shared" si="78"/>
        <v>6673.0126801018087</v>
      </c>
      <c r="I60" s="204">
        <f t="shared" si="78"/>
        <v>6332.7526801018084</v>
      </c>
      <c r="J60" s="204">
        <f t="shared" si="78"/>
        <v>5992.4926801018091</v>
      </c>
      <c r="K60" s="204">
        <f t="shared" si="78"/>
        <v>5652.2326801018089</v>
      </c>
      <c r="L60" s="204">
        <f t="shared" si="78"/>
        <v>5311.9726801018087</v>
      </c>
      <c r="M60" s="204">
        <f t="shared" si="78"/>
        <v>4971.7126801018085</v>
      </c>
      <c r="N60" s="204">
        <f t="shared" si="78"/>
        <v>4631.4526801018083</v>
      </c>
      <c r="O60" s="204">
        <f t="shared" si="78"/>
        <v>4291.1926801018089</v>
      </c>
      <c r="P60" s="204">
        <f t="shared" si="78"/>
        <v>3950.9326801018087</v>
      </c>
      <c r="Q60" s="204">
        <f t="shared" si="78"/>
        <v>3610.6726801018085</v>
      </c>
      <c r="R60" s="204">
        <f t="shared" si="78"/>
        <v>3270.4126801018083</v>
      </c>
      <c r="S60" s="204">
        <f t="shared" si="78"/>
        <v>2930.1526801018085</v>
      </c>
      <c r="T60" s="204">
        <f t="shared" si="78"/>
        <v>2589.8926801018088</v>
      </c>
      <c r="U60" s="204">
        <f t="shared" si="78"/>
        <v>2249.6326801018085</v>
      </c>
      <c r="V60" s="204">
        <f t="shared" si="78"/>
        <v>1909.3726801018088</v>
      </c>
      <c r="W60" s="204">
        <f t="shared" si="78"/>
        <v>1569.1126801018086</v>
      </c>
      <c r="X60" s="204">
        <f t="shared" si="78"/>
        <v>1228.8526801018086</v>
      </c>
      <c r="Y60" s="204">
        <f t="shared" si="78"/>
        <v>1197.7017855634695</v>
      </c>
      <c r="Z60" s="204">
        <f t="shared" si="78"/>
        <v>1228.3727121174616</v>
      </c>
      <c r="AA60" s="204">
        <f t="shared" si="78"/>
        <v>1259.0436386714537</v>
      </c>
      <c r="AB60" s="204">
        <f t="shared" si="78"/>
        <v>1289.7145652254458</v>
      </c>
      <c r="AC60" s="204">
        <f t="shared" si="78"/>
        <v>1320.3854917794379</v>
      </c>
      <c r="AD60" s="204">
        <f t="shared" si="78"/>
        <v>1351.05641833343</v>
      </c>
      <c r="AE60" s="204">
        <f t="shared" si="78"/>
        <v>1381.7273448874219</v>
      </c>
      <c r="AF60" s="204">
        <f t="shared" si="78"/>
        <v>1412.398271441414</v>
      </c>
      <c r="AG60" s="204">
        <f t="shared" si="78"/>
        <v>1443.0691979954061</v>
      </c>
      <c r="AH60" s="204">
        <f t="shared" si="78"/>
        <v>1473.7401245493982</v>
      </c>
      <c r="AI60" s="204">
        <f t="shared" si="78"/>
        <v>1504.41105110339</v>
      </c>
      <c r="AJ60" s="204">
        <f t="shared" si="78"/>
        <v>1535.0819776573821</v>
      </c>
      <c r="AK60" s="204">
        <f t="shared" si="78"/>
        <v>1565.7529042113742</v>
      </c>
      <c r="AL60" s="204">
        <f t="shared" ref="AL60:BQ60" si="79">IF(AL$22&lt;=$E$24,IF(AL$22&lt;=$D$24,IF(AL$22&lt;=$C$24,IF(AL$22&lt;=$B$24,IF(AL4=0,0,IF($B26+($B$24-AL$22)*AL43&lt;0,0,$B26+($B$24-AL$22)*AL43)),$B26+(AL$22-$B$24)*AL43),$C26+(AL$22-$C$24)*AL43),$D26+(AL$22-$D$24)*AL43),IF($E26+(AL$22-$E$24)*AL43&lt;0,0,$E26+(AL$22-$E$24)*AL43))</f>
        <v>1596.4238307653663</v>
      </c>
      <c r="AM60" s="204">
        <f t="shared" si="79"/>
        <v>1627.0947573193585</v>
      </c>
      <c r="AN60" s="204">
        <f t="shared" si="79"/>
        <v>1657.7656838733506</v>
      </c>
      <c r="AO60" s="204">
        <f t="shared" si="79"/>
        <v>1688.4366104273424</v>
      </c>
      <c r="AP60" s="204">
        <f t="shared" si="79"/>
        <v>1719.1075369813345</v>
      </c>
      <c r="AQ60" s="204">
        <f t="shared" si="79"/>
        <v>1749.7784635353266</v>
      </c>
      <c r="AR60" s="204">
        <f t="shared" si="79"/>
        <v>1780.4493900893185</v>
      </c>
      <c r="AS60" s="204">
        <f t="shared" si="79"/>
        <v>1811.1203166433106</v>
      </c>
      <c r="AT60" s="204">
        <f t="shared" si="79"/>
        <v>1841.7912431973027</v>
      </c>
      <c r="AU60" s="204">
        <f t="shared" si="79"/>
        <v>1872.4621697512948</v>
      </c>
      <c r="AV60" s="204">
        <f t="shared" si="79"/>
        <v>1903.1330963052869</v>
      </c>
      <c r="AW60" s="204">
        <f t="shared" si="79"/>
        <v>1933.804022859279</v>
      </c>
      <c r="AX60" s="204">
        <f t="shared" si="79"/>
        <v>1964.4749494132711</v>
      </c>
      <c r="AY60" s="204">
        <f t="shared" si="79"/>
        <v>1995.145875967263</v>
      </c>
      <c r="AZ60" s="204">
        <f t="shared" si="79"/>
        <v>2025.8168025212551</v>
      </c>
      <c r="BA60" s="204">
        <f t="shared" si="79"/>
        <v>2056.4877290752474</v>
      </c>
      <c r="BB60" s="204">
        <f t="shared" si="79"/>
        <v>2087.1586556292391</v>
      </c>
      <c r="BC60" s="204">
        <f t="shared" si="79"/>
        <v>2117.8295821832312</v>
      </c>
      <c r="BD60" s="204">
        <f t="shared" si="79"/>
        <v>2148.5005087372233</v>
      </c>
      <c r="BE60" s="204">
        <f t="shared" si="79"/>
        <v>2179.1714352912154</v>
      </c>
      <c r="BF60" s="204">
        <f t="shared" si="79"/>
        <v>2209.8423618452075</v>
      </c>
      <c r="BG60" s="204">
        <f t="shared" si="79"/>
        <v>2240.5132883991996</v>
      </c>
      <c r="BH60" s="204">
        <f t="shared" si="79"/>
        <v>2870.1500282670304</v>
      </c>
      <c r="BI60" s="204">
        <f t="shared" si="79"/>
        <v>3619.5799307976267</v>
      </c>
      <c r="BJ60" s="204">
        <f t="shared" si="79"/>
        <v>4369.0098333282231</v>
      </c>
      <c r="BK60" s="204">
        <f t="shared" si="79"/>
        <v>5118.4397358588194</v>
      </c>
      <c r="BL60" s="204">
        <f t="shared" si="79"/>
        <v>5867.8696383894157</v>
      </c>
      <c r="BM60" s="204">
        <f t="shared" si="79"/>
        <v>6617.2995409200121</v>
      </c>
      <c r="BN60" s="204">
        <f t="shared" si="79"/>
        <v>7366.7294434506084</v>
      </c>
      <c r="BO60" s="204">
        <f t="shared" si="79"/>
        <v>8116.1593459812048</v>
      </c>
      <c r="BP60" s="204">
        <f t="shared" si="79"/>
        <v>8865.589248511802</v>
      </c>
      <c r="BQ60" s="204">
        <f t="shared" si="79"/>
        <v>9615.0191510423974</v>
      </c>
      <c r="BR60" s="204">
        <f t="shared" ref="BR60:CZ60" si="80">IF(BR$22&lt;=$E$24,IF(BR$22&lt;=$D$24,IF(BR$22&lt;=$C$24,IF(BR$22&lt;=$B$24,IF(BR4=0,0,IF($B26+($B$24-BR$22)*BR43&lt;0,0,$B26+($B$24-BR$22)*BR43)),$B26+(BR$22-$B$24)*BR43),$C26+(BR$22-$C$24)*BR43),$D26+(BR$22-$D$24)*BR43),IF($E26+(BR$22-$E$24)*BR43&lt;0,0,$E26+(BR$22-$E$24)*BR43))</f>
        <v>10364.449053572993</v>
      </c>
      <c r="BS60" s="204">
        <f t="shared" si="80"/>
        <v>11113.87895610359</v>
      </c>
      <c r="BT60" s="204">
        <f t="shared" si="80"/>
        <v>11863.308858634186</v>
      </c>
      <c r="BU60" s="204">
        <f t="shared" si="80"/>
        <v>12612.738761164783</v>
      </c>
      <c r="BV60" s="204">
        <f t="shared" si="80"/>
        <v>13362.168663695378</v>
      </c>
      <c r="BW60" s="204">
        <f t="shared" si="80"/>
        <v>14111.598566225975</v>
      </c>
      <c r="BX60" s="204">
        <f t="shared" si="80"/>
        <v>14861.028468756571</v>
      </c>
      <c r="BY60" s="204">
        <f t="shared" si="80"/>
        <v>15610.458371287168</v>
      </c>
      <c r="BZ60" s="204">
        <f t="shared" si="80"/>
        <v>16359.888273817764</v>
      </c>
      <c r="CA60" s="204">
        <f t="shared" si="80"/>
        <v>17109.318176348359</v>
      </c>
      <c r="CB60" s="204">
        <f t="shared" si="80"/>
        <v>17858.748078878954</v>
      </c>
      <c r="CC60" s="204">
        <f t="shared" si="80"/>
        <v>18608.177981409553</v>
      </c>
      <c r="CD60" s="204">
        <f t="shared" si="80"/>
        <v>19357.607883940149</v>
      </c>
      <c r="CE60" s="204">
        <f t="shared" si="80"/>
        <v>20107.037786470744</v>
      </c>
      <c r="CF60" s="204">
        <f t="shared" si="80"/>
        <v>20856.467689001343</v>
      </c>
      <c r="CG60" s="204">
        <f t="shared" si="80"/>
        <v>21605.897591531939</v>
      </c>
      <c r="CH60" s="204">
        <f t="shared" si="80"/>
        <v>22355.327494062534</v>
      </c>
      <c r="CI60" s="204">
        <f t="shared" si="80"/>
        <v>23239.128715704399</v>
      </c>
      <c r="CJ60" s="204">
        <f t="shared" si="80"/>
        <v>24149.804201168521</v>
      </c>
      <c r="CK60" s="204">
        <f t="shared" si="80"/>
        <v>25060.47968663264</v>
      </c>
      <c r="CL60" s="204">
        <f t="shared" si="80"/>
        <v>25971.155172096758</v>
      </c>
      <c r="CM60" s="204">
        <f t="shared" si="80"/>
        <v>26881.830657560877</v>
      </c>
      <c r="CN60" s="204">
        <f t="shared" si="80"/>
        <v>27792.506143024995</v>
      </c>
      <c r="CO60" s="204">
        <f t="shared" si="80"/>
        <v>28703.181628489114</v>
      </c>
      <c r="CP60" s="204">
        <f t="shared" si="80"/>
        <v>29613.857113953232</v>
      </c>
      <c r="CQ60" s="204">
        <f t="shared" si="80"/>
        <v>30524.532599417355</v>
      </c>
      <c r="CR60" s="204">
        <f t="shared" si="80"/>
        <v>31435.208084881473</v>
      </c>
      <c r="CS60" s="204">
        <f t="shared" si="80"/>
        <v>32345.883570345592</v>
      </c>
      <c r="CT60" s="204">
        <f t="shared" si="80"/>
        <v>33256.55905580971</v>
      </c>
      <c r="CU60" s="204">
        <f t="shared" si="80"/>
        <v>34167.234541273829</v>
      </c>
      <c r="CV60" s="204">
        <f t="shared" si="80"/>
        <v>35077.910026737947</v>
      </c>
      <c r="CW60" s="204">
        <f t="shared" si="80"/>
        <v>35988.585512202066</v>
      </c>
      <c r="CX60" s="204">
        <f t="shared" si="80"/>
        <v>36744.414759779422</v>
      </c>
      <c r="CY60" s="204">
        <f t="shared" si="80"/>
        <v>37469.274759779422</v>
      </c>
      <c r="CZ60" s="204">
        <f t="shared" si="80"/>
        <v>38194.134759779416</v>
      </c>
      <c r="DA60" s="204">
        <f>IF(DA$22&lt;=$E$24,IF(DA$22&lt;=$D$24,IF(DA$22&lt;=$C$24,IF(DA$22&lt;=$B$24,IF(DA4=0,0,IF($B26+($B$24-DA$22)*DA43&lt;0,0,$B26+($B$24-DA$22)*DA43)),$B26+(DA$22-$B$24)*DA43),$C26+(DA$22-$C$24)*DA43),$D26+(DA$22-$D$24)*DA43),IF($E26+(DA$22-$E$24)*DA43&lt;0,0,$E26+(DA$22-$E$24)*DA43))</f>
        <v>38918.994759779416</v>
      </c>
    </row>
    <row r="61" spans="1:105" s="204" customFormat="1">
      <c r="A61" s="204" t="str">
        <f>Income!A74</f>
        <v>Animal products consumed</v>
      </c>
      <c r="F61" s="204">
        <f t="shared" ref="F61:AK61" si="81">IF(F$22&lt;=$E$24,IF(F$22&lt;=$D$24,IF(F$22&lt;=$C$24,IF(F$22&lt;=$B$24,IF(F5=0,0,IF($B27+($B$24-F$22)*F44&lt;0,0,$B27+($B$24-F$22)*F44)),$B27+(F$22-$B$24)*F44),$C27+(F$22-$C$24)*F44),$D27+(F$22-$D$24)*F44),IF($E27+(F$22-$E$24)*F44&lt;0,0,$E27+(F$22-$E$24)*F44))</f>
        <v>573.66831497016756</v>
      </c>
      <c r="G61" s="204">
        <f t="shared" si="81"/>
        <v>573.66831497016756</v>
      </c>
      <c r="H61" s="204">
        <f t="shared" si="81"/>
        <v>573.66831497016756</v>
      </c>
      <c r="I61" s="204">
        <f t="shared" si="81"/>
        <v>573.66831497016756</v>
      </c>
      <c r="J61" s="204">
        <f t="shared" si="81"/>
        <v>573.66831497016756</v>
      </c>
      <c r="K61" s="204">
        <f t="shared" si="81"/>
        <v>573.66831497016756</v>
      </c>
      <c r="L61" s="204">
        <f t="shared" si="81"/>
        <v>573.66831497016756</v>
      </c>
      <c r="M61" s="204">
        <f t="shared" si="81"/>
        <v>573.66831497016756</v>
      </c>
      <c r="N61" s="204">
        <f t="shared" si="81"/>
        <v>573.66831497016756</v>
      </c>
      <c r="O61" s="204">
        <f t="shared" si="81"/>
        <v>573.66831497016756</v>
      </c>
      <c r="P61" s="204">
        <f t="shared" si="81"/>
        <v>573.66831497016756</v>
      </c>
      <c r="Q61" s="204">
        <f t="shared" si="81"/>
        <v>573.66831497016756</v>
      </c>
      <c r="R61" s="204">
        <f t="shared" si="81"/>
        <v>573.66831497016756</v>
      </c>
      <c r="S61" s="204">
        <f t="shared" si="81"/>
        <v>573.66831497016756</v>
      </c>
      <c r="T61" s="204">
        <f t="shared" si="81"/>
        <v>573.66831497016756</v>
      </c>
      <c r="U61" s="204">
        <f t="shared" si="81"/>
        <v>573.66831497016756</v>
      </c>
      <c r="V61" s="204">
        <f t="shared" si="81"/>
        <v>573.66831497016756</v>
      </c>
      <c r="W61" s="204">
        <f t="shared" si="81"/>
        <v>573.66831497016756</v>
      </c>
      <c r="X61" s="204">
        <f t="shared" si="81"/>
        <v>573.66831497016756</v>
      </c>
      <c r="Y61" s="204">
        <f t="shared" si="81"/>
        <v>586.90661365260303</v>
      </c>
      <c r="Z61" s="204">
        <f t="shared" si="81"/>
        <v>602.79257207152568</v>
      </c>
      <c r="AA61" s="204">
        <f t="shared" si="81"/>
        <v>618.67853049044822</v>
      </c>
      <c r="AB61" s="204">
        <f t="shared" si="81"/>
        <v>634.56448890937088</v>
      </c>
      <c r="AC61" s="204">
        <f t="shared" si="81"/>
        <v>650.45044732829342</v>
      </c>
      <c r="AD61" s="204">
        <f t="shared" si="81"/>
        <v>666.33640574721596</v>
      </c>
      <c r="AE61" s="204">
        <f t="shared" si="81"/>
        <v>682.22236416613862</v>
      </c>
      <c r="AF61" s="204">
        <f t="shared" si="81"/>
        <v>698.10832258506116</v>
      </c>
      <c r="AG61" s="204">
        <f t="shared" si="81"/>
        <v>713.99428100398382</v>
      </c>
      <c r="AH61" s="204">
        <f t="shared" si="81"/>
        <v>729.88023942290636</v>
      </c>
      <c r="AI61" s="204">
        <f t="shared" si="81"/>
        <v>745.7661978418289</v>
      </c>
      <c r="AJ61" s="204">
        <f t="shared" si="81"/>
        <v>761.65215626075155</v>
      </c>
      <c r="AK61" s="204">
        <f t="shared" si="81"/>
        <v>777.53811467967409</v>
      </c>
      <c r="AL61" s="204">
        <f t="shared" ref="AL61:BQ61" si="82">IF(AL$22&lt;=$E$24,IF(AL$22&lt;=$D$24,IF(AL$22&lt;=$C$24,IF(AL$22&lt;=$B$24,IF(AL5=0,0,IF($B27+($B$24-AL$22)*AL44&lt;0,0,$B27+($B$24-AL$22)*AL44)),$B27+(AL$22-$B$24)*AL44),$C27+(AL$22-$C$24)*AL44),$D27+(AL$22-$D$24)*AL44),IF($E27+(AL$22-$E$24)*AL44&lt;0,0,$E27+(AL$22-$E$24)*AL44))</f>
        <v>793.42407309859664</v>
      </c>
      <c r="AM61" s="204">
        <f t="shared" si="82"/>
        <v>809.31003151751929</v>
      </c>
      <c r="AN61" s="204">
        <f t="shared" si="82"/>
        <v>825.19598993644183</v>
      </c>
      <c r="AO61" s="204">
        <f t="shared" si="82"/>
        <v>841.08194835536437</v>
      </c>
      <c r="AP61" s="204">
        <f t="shared" si="82"/>
        <v>856.96790677428703</v>
      </c>
      <c r="AQ61" s="204">
        <f t="shared" si="82"/>
        <v>872.85386519320957</v>
      </c>
      <c r="AR61" s="204">
        <f t="shared" si="82"/>
        <v>888.73982361213211</v>
      </c>
      <c r="AS61" s="204">
        <f t="shared" si="82"/>
        <v>904.62578203105477</v>
      </c>
      <c r="AT61" s="204">
        <f t="shared" si="82"/>
        <v>920.51174044997742</v>
      </c>
      <c r="AU61" s="204">
        <f t="shared" si="82"/>
        <v>936.39769886889985</v>
      </c>
      <c r="AV61" s="204">
        <f t="shared" si="82"/>
        <v>952.28365728782251</v>
      </c>
      <c r="AW61" s="204">
        <f t="shared" si="82"/>
        <v>968.16961570674516</v>
      </c>
      <c r="AX61" s="204">
        <f t="shared" si="82"/>
        <v>984.0555741256677</v>
      </c>
      <c r="AY61" s="204">
        <f t="shared" si="82"/>
        <v>999.94153254459025</v>
      </c>
      <c r="AZ61" s="204">
        <f t="shared" si="82"/>
        <v>1015.8274909635129</v>
      </c>
      <c r="BA61" s="204">
        <f t="shared" si="82"/>
        <v>1031.7134493824356</v>
      </c>
      <c r="BB61" s="204">
        <f t="shared" si="82"/>
        <v>1047.599407801358</v>
      </c>
      <c r="BC61" s="204">
        <f t="shared" si="82"/>
        <v>1063.4853662202806</v>
      </c>
      <c r="BD61" s="204">
        <f t="shared" si="82"/>
        <v>1079.3713246392031</v>
      </c>
      <c r="BE61" s="204">
        <f t="shared" si="82"/>
        <v>1095.2572830581257</v>
      </c>
      <c r="BF61" s="204">
        <f t="shared" si="82"/>
        <v>1111.1432414770484</v>
      </c>
      <c r="BG61" s="204">
        <f t="shared" si="82"/>
        <v>1127.029199895971</v>
      </c>
      <c r="BH61" s="204">
        <f t="shared" si="82"/>
        <v>1139.8480813711549</v>
      </c>
      <c r="BI61" s="204">
        <f t="shared" si="82"/>
        <v>1152.0535474575911</v>
      </c>
      <c r="BJ61" s="204">
        <f t="shared" si="82"/>
        <v>1164.2590135440273</v>
      </c>
      <c r="BK61" s="204">
        <f t="shared" si="82"/>
        <v>1176.4644796304638</v>
      </c>
      <c r="BL61" s="204">
        <f t="shared" si="82"/>
        <v>1188.6699457169</v>
      </c>
      <c r="BM61" s="204">
        <f t="shared" si="82"/>
        <v>1200.8754118033362</v>
      </c>
      <c r="BN61" s="204">
        <f t="shared" si="82"/>
        <v>1213.0808778897724</v>
      </c>
      <c r="BO61" s="204">
        <f t="shared" si="82"/>
        <v>1225.2863439762086</v>
      </c>
      <c r="BP61" s="204">
        <f t="shared" si="82"/>
        <v>1237.4918100626448</v>
      </c>
      <c r="BQ61" s="204">
        <f t="shared" si="82"/>
        <v>1249.6972761490813</v>
      </c>
      <c r="BR61" s="204">
        <f t="shared" ref="BR61:DA61" si="83">IF(BR$22&lt;=$E$24,IF(BR$22&lt;=$D$24,IF(BR$22&lt;=$C$24,IF(BR$22&lt;=$B$24,IF(BR5=0,0,IF($B27+($B$24-BR$22)*BR44&lt;0,0,$B27+($B$24-BR$22)*BR44)),$B27+(BR$22-$B$24)*BR44),$C27+(BR$22-$C$24)*BR44),$D27+(BR$22-$D$24)*BR44),IF($E27+(BR$22-$E$24)*BR44&lt;0,0,$E27+(BR$22-$E$24)*BR44))</f>
        <v>1261.9027422355175</v>
      </c>
      <c r="BS61" s="204">
        <f t="shared" si="83"/>
        <v>1274.1082083219537</v>
      </c>
      <c r="BT61" s="204">
        <f t="shared" si="83"/>
        <v>1286.3136744083899</v>
      </c>
      <c r="BU61" s="204">
        <f t="shared" si="83"/>
        <v>1298.5191404948262</v>
      </c>
      <c r="BV61" s="204">
        <f t="shared" si="83"/>
        <v>1310.7246065812624</v>
      </c>
      <c r="BW61" s="204">
        <f t="shared" si="83"/>
        <v>1322.9300726676988</v>
      </c>
      <c r="BX61" s="204">
        <f t="shared" si="83"/>
        <v>1335.135538754135</v>
      </c>
      <c r="BY61" s="204">
        <f t="shared" si="83"/>
        <v>1347.3410048405713</v>
      </c>
      <c r="BZ61" s="204">
        <f t="shared" si="83"/>
        <v>1359.5464709270075</v>
      </c>
      <c r="CA61" s="204">
        <f t="shared" si="83"/>
        <v>1371.7519370134437</v>
      </c>
      <c r="CB61" s="204">
        <f t="shared" si="83"/>
        <v>1383.9574030998799</v>
      </c>
      <c r="CC61" s="204">
        <f t="shared" si="83"/>
        <v>1396.1628691863161</v>
      </c>
      <c r="CD61" s="204">
        <f t="shared" si="83"/>
        <v>1408.3683352727526</v>
      </c>
      <c r="CE61" s="204">
        <f t="shared" si="83"/>
        <v>1420.5738013591888</v>
      </c>
      <c r="CF61" s="204">
        <f t="shared" si="83"/>
        <v>1432.779267445625</v>
      </c>
      <c r="CG61" s="204">
        <f t="shared" si="83"/>
        <v>1444.9847335320612</v>
      </c>
      <c r="CH61" s="204">
        <f t="shared" si="83"/>
        <v>1457.1901996184974</v>
      </c>
      <c r="CI61" s="204">
        <f t="shared" si="83"/>
        <v>1511.6830632742026</v>
      </c>
      <c r="CJ61" s="204">
        <f t="shared" si="83"/>
        <v>1574.6334064437608</v>
      </c>
      <c r="CK61" s="204">
        <f t="shared" si="83"/>
        <v>1637.5837496133192</v>
      </c>
      <c r="CL61" s="204">
        <f t="shared" si="83"/>
        <v>1700.5340927828775</v>
      </c>
      <c r="CM61" s="204">
        <f t="shared" si="83"/>
        <v>1763.4844359524359</v>
      </c>
      <c r="CN61" s="204">
        <f t="shared" si="83"/>
        <v>1826.4347791219941</v>
      </c>
      <c r="CO61" s="204">
        <f t="shared" si="83"/>
        <v>1889.3851222915523</v>
      </c>
      <c r="CP61" s="204">
        <f t="shared" si="83"/>
        <v>1952.3354654611107</v>
      </c>
      <c r="CQ61" s="204">
        <f t="shared" si="83"/>
        <v>2015.285808630669</v>
      </c>
      <c r="CR61" s="204">
        <f t="shared" si="83"/>
        <v>2078.2361518002272</v>
      </c>
      <c r="CS61" s="204">
        <f t="shared" si="83"/>
        <v>2141.1864949697856</v>
      </c>
      <c r="CT61" s="204">
        <f t="shared" si="83"/>
        <v>2204.136838139344</v>
      </c>
      <c r="CU61" s="204">
        <f t="shared" si="83"/>
        <v>2267.087181308902</v>
      </c>
      <c r="CV61" s="204">
        <f t="shared" si="83"/>
        <v>2330.0375244784605</v>
      </c>
      <c r="CW61" s="204">
        <f t="shared" si="83"/>
        <v>2392.9878676480184</v>
      </c>
      <c r="CX61" s="204">
        <f t="shared" si="83"/>
        <v>2410.5054248429446</v>
      </c>
      <c r="CY61" s="204">
        <f t="shared" si="83"/>
        <v>2418.9364248429447</v>
      </c>
      <c r="CZ61" s="204">
        <f t="shared" si="83"/>
        <v>2427.3674248429443</v>
      </c>
      <c r="DA61" s="204">
        <f t="shared" si="83"/>
        <v>2435.7984248429443</v>
      </c>
    </row>
    <row r="62" spans="1:105" s="204" customFormat="1">
      <c r="A62" s="204" t="str">
        <f>Income!A75</f>
        <v>Animal products sold</v>
      </c>
      <c r="F62" s="204">
        <f t="shared" ref="F62:AK62" si="84">IF(F$22&lt;=$E$24,IF(F$22&lt;=$D$24,IF(F$22&lt;=$C$24,IF(F$22&lt;=$B$24,IF(F6=0,0,IF($B28+($B$24-F$22)*F45&lt;0,0,$B28+($B$24-F$22)*F45)),$B28+(F$22-$B$24)*F45),$C28+(F$22-$C$24)*F45),$D28+(F$22-$D$24)*F45),IF($E28+(F$22-$E$24)*F45&lt;0,0,$E28+(F$22-$E$24)*F45))</f>
        <v>0</v>
      </c>
      <c r="G62" s="204">
        <f t="shared" si="84"/>
        <v>0</v>
      </c>
      <c r="H62" s="204">
        <f t="shared" si="84"/>
        <v>0</v>
      </c>
      <c r="I62" s="204">
        <f t="shared" si="84"/>
        <v>0</v>
      </c>
      <c r="J62" s="204">
        <f t="shared" si="84"/>
        <v>0</v>
      </c>
      <c r="K62" s="204">
        <f t="shared" si="84"/>
        <v>0</v>
      </c>
      <c r="L62" s="204">
        <f t="shared" si="84"/>
        <v>0</v>
      </c>
      <c r="M62" s="204">
        <f t="shared" si="84"/>
        <v>0</v>
      </c>
      <c r="N62" s="204">
        <f t="shared" si="84"/>
        <v>0</v>
      </c>
      <c r="O62" s="204">
        <f t="shared" si="84"/>
        <v>0</v>
      </c>
      <c r="P62" s="204">
        <f t="shared" si="84"/>
        <v>0</v>
      </c>
      <c r="Q62" s="204">
        <f t="shared" si="84"/>
        <v>0</v>
      </c>
      <c r="R62" s="204">
        <f t="shared" si="84"/>
        <v>0</v>
      </c>
      <c r="S62" s="204">
        <f t="shared" si="84"/>
        <v>0</v>
      </c>
      <c r="T62" s="204">
        <f t="shared" si="84"/>
        <v>0</v>
      </c>
      <c r="U62" s="204">
        <f t="shared" si="84"/>
        <v>0</v>
      </c>
      <c r="V62" s="204">
        <f t="shared" si="84"/>
        <v>0</v>
      </c>
      <c r="W62" s="204">
        <f t="shared" si="84"/>
        <v>0</v>
      </c>
      <c r="X62" s="204">
        <f t="shared" si="84"/>
        <v>0</v>
      </c>
      <c r="Y62" s="204">
        <f t="shared" si="84"/>
        <v>0</v>
      </c>
      <c r="Z62" s="204">
        <f t="shared" si="84"/>
        <v>0</v>
      </c>
      <c r="AA62" s="204">
        <f t="shared" si="84"/>
        <v>0</v>
      </c>
      <c r="AB62" s="204">
        <f t="shared" si="84"/>
        <v>0</v>
      </c>
      <c r="AC62" s="204">
        <f t="shared" si="84"/>
        <v>0</v>
      </c>
      <c r="AD62" s="204">
        <f t="shared" si="84"/>
        <v>0</v>
      </c>
      <c r="AE62" s="204">
        <f t="shared" si="84"/>
        <v>0</v>
      </c>
      <c r="AF62" s="204">
        <f t="shared" si="84"/>
        <v>0</v>
      </c>
      <c r="AG62" s="204">
        <f t="shared" si="84"/>
        <v>0</v>
      </c>
      <c r="AH62" s="204">
        <f t="shared" si="84"/>
        <v>0</v>
      </c>
      <c r="AI62" s="204">
        <f t="shared" si="84"/>
        <v>0</v>
      </c>
      <c r="AJ62" s="204">
        <f t="shared" si="84"/>
        <v>0</v>
      </c>
      <c r="AK62" s="204">
        <f t="shared" si="84"/>
        <v>0</v>
      </c>
      <c r="AL62" s="204">
        <f t="shared" ref="AL62:BQ62" si="85">IF(AL$22&lt;=$E$24,IF(AL$22&lt;=$D$24,IF(AL$22&lt;=$C$24,IF(AL$22&lt;=$B$24,IF(AL6=0,0,IF($B28+($B$24-AL$22)*AL45&lt;0,0,$B28+($B$24-AL$22)*AL45)),$B28+(AL$22-$B$24)*AL45),$C28+(AL$22-$C$24)*AL45),$D28+(AL$22-$D$24)*AL45),IF($E28+(AL$22-$E$24)*AL45&lt;0,0,$E28+(AL$22-$E$24)*AL45))</f>
        <v>0</v>
      </c>
      <c r="AM62" s="204">
        <f t="shared" si="85"/>
        <v>0</v>
      </c>
      <c r="AN62" s="204">
        <f t="shared" si="85"/>
        <v>0</v>
      </c>
      <c r="AO62" s="204">
        <f t="shared" si="85"/>
        <v>0</v>
      </c>
      <c r="AP62" s="204">
        <f t="shared" si="85"/>
        <v>0</v>
      </c>
      <c r="AQ62" s="204">
        <f t="shared" si="85"/>
        <v>0</v>
      </c>
      <c r="AR62" s="204">
        <f t="shared" si="85"/>
        <v>0</v>
      </c>
      <c r="AS62" s="204">
        <f t="shared" si="85"/>
        <v>0</v>
      </c>
      <c r="AT62" s="204">
        <f t="shared" si="85"/>
        <v>0</v>
      </c>
      <c r="AU62" s="204">
        <f t="shared" si="85"/>
        <v>0</v>
      </c>
      <c r="AV62" s="204">
        <f t="shared" si="85"/>
        <v>0</v>
      </c>
      <c r="AW62" s="204">
        <f t="shared" si="85"/>
        <v>0</v>
      </c>
      <c r="AX62" s="204">
        <f t="shared" si="85"/>
        <v>0</v>
      </c>
      <c r="AY62" s="204">
        <f t="shared" si="85"/>
        <v>0</v>
      </c>
      <c r="AZ62" s="204">
        <f t="shared" si="85"/>
        <v>0</v>
      </c>
      <c r="BA62" s="204">
        <f t="shared" si="85"/>
        <v>0</v>
      </c>
      <c r="BB62" s="204">
        <f t="shared" si="85"/>
        <v>0</v>
      </c>
      <c r="BC62" s="204">
        <f t="shared" si="85"/>
        <v>0</v>
      </c>
      <c r="BD62" s="204">
        <f t="shared" si="85"/>
        <v>0</v>
      </c>
      <c r="BE62" s="204">
        <f t="shared" si="85"/>
        <v>0</v>
      </c>
      <c r="BF62" s="204">
        <f t="shared" si="85"/>
        <v>0</v>
      </c>
      <c r="BG62" s="204">
        <f t="shared" si="85"/>
        <v>0</v>
      </c>
      <c r="BH62" s="204">
        <f t="shared" si="85"/>
        <v>0</v>
      </c>
      <c r="BI62" s="204">
        <f t="shared" si="85"/>
        <v>0</v>
      </c>
      <c r="BJ62" s="204">
        <f t="shared" si="85"/>
        <v>0</v>
      </c>
      <c r="BK62" s="204">
        <f t="shared" si="85"/>
        <v>0</v>
      </c>
      <c r="BL62" s="204">
        <f t="shared" si="85"/>
        <v>0</v>
      </c>
      <c r="BM62" s="204">
        <f t="shared" si="85"/>
        <v>0</v>
      </c>
      <c r="BN62" s="204">
        <f t="shared" si="85"/>
        <v>0</v>
      </c>
      <c r="BO62" s="204">
        <f t="shared" si="85"/>
        <v>0</v>
      </c>
      <c r="BP62" s="204">
        <f t="shared" si="85"/>
        <v>0</v>
      </c>
      <c r="BQ62" s="204">
        <f t="shared" si="85"/>
        <v>0</v>
      </c>
      <c r="BR62" s="204">
        <f t="shared" ref="BR62:DA62" si="86">IF(BR$22&lt;=$E$24,IF(BR$22&lt;=$D$24,IF(BR$22&lt;=$C$24,IF(BR$22&lt;=$B$24,IF(BR6=0,0,IF($B28+($B$24-BR$22)*BR45&lt;0,0,$B28+($B$24-BR$22)*BR45)),$B28+(BR$22-$B$24)*BR45),$C28+(BR$22-$C$24)*BR45),$D28+(BR$22-$D$24)*BR45),IF($E28+(BR$22-$E$24)*BR45&lt;0,0,$E28+(BR$22-$E$24)*BR45))</f>
        <v>0</v>
      </c>
      <c r="BS62" s="204">
        <f t="shared" si="86"/>
        <v>0</v>
      </c>
      <c r="BT62" s="204">
        <f t="shared" si="86"/>
        <v>0</v>
      </c>
      <c r="BU62" s="204">
        <f t="shared" si="86"/>
        <v>0</v>
      </c>
      <c r="BV62" s="204">
        <f t="shared" si="86"/>
        <v>0</v>
      </c>
      <c r="BW62" s="204">
        <f t="shared" si="86"/>
        <v>0</v>
      </c>
      <c r="BX62" s="204">
        <f t="shared" si="86"/>
        <v>0</v>
      </c>
      <c r="BY62" s="204">
        <f t="shared" si="86"/>
        <v>0</v>
      </c>
      <c r="BZ62" s="204">
        <f t="shared" si="86"/>
        <v>0</v>
      </c>
      <c r="CA62" s="204">
        <f t="shared" si="86"/>
        <v>0</v>
      </c>
      <c r="CB62" s="204">
        <f t="shared" si="86"/>
        <v>0</v>
      </c>
      <c r="CC62" s="204">
        <f t="shared" si="86"/>
        <v>0</v>
      </c>
      <c r="CD62" s="204">
        <f t="shared" si="86"/>
        <v>0</v>
      </c>
      <c r="CE62" s="204">
        <f t="shared" si="86"/>
        <v>0</v>
      </c>
      <c r="CF62" s="204">
        <f t="shared" si="86"/>
        <v>0</v>
      </c>
      <c r="CG62" s="204">
        <f t="shared" si="86"/>
        <v>0</v>
      </c>
      <c r="CH62" s="204">
        <f t="shared" si="86"/>
        <v>0</v>
      </c>
      <c r="CI62" s="204">
        <f t="shared" si="86"/>
        <v>0</v>
      </c>
      <c r="CJ62" s="204">
        <f t="shared" si="86"/>
        <v>0</v>
      </c>
      <c r="CK62" s="204">
        <f t="shared" si="86"/>
        <v>0</v>
      </c>
      <c r="CL62" s="204">
        <f t="shared" si="86"/>
        <v>0</v>
      </c>
      <c r="CM62" s="204">
        <f t="shared" si="86"/>
        <v>0</v>
      </c>
      <c r="CN62" s="204">
        <f t="shared" si="86"/>
        <v>0</v>
      </c>
      <c r="CO62" s="204">
        <f t="shared" si="86"/>
        <v>0</v>
      </c>
      <c r="CP62" s="204">
        <f t="shared" si="86"/>
        <v>0</v>
      </c>
      <c r="CQ62" s="204">
        <f t="shared" si="86"/>
        <v>0</v>
      </c>
      <c r="CR62" s="204">
        <f t="shared" si="86"/>
        <v>0</v>
      </c>
      <c r="CS62" s="204">
        <f t="shared" si="86"/>
        <v>0</v>
      </c>
      <c r="CT62" s="204">
        <f t="shared" si="86"/>
        <v>0</v>
      </c>
      <c r="CU62" s="204">
        <f t="shared" si="86"/>
        <v>0</v>
      </c>
      <c r="CV62" s="204">
        <f t="shared" si="86"/>
        <v>0</v>
      </c>
      <c r="CW62" s="204">
        <f t="shared" si="86"/>
        <v>0</v>
      </c>
      <c r="CX62" s="204">
        <f t="shared" si="86"/>
        <v>0</v>
      </c>
      <c r="CY62" s="204">
        <f t="shared" si="86"/>
        <v>0</v>
      </c>
      <c r="CZ62" s="204">
        <f t="shared" si="86"/>
        <v>0</v>
      </c>
      <c r="DA62" s="204">
        <f t="shared" si="86"/>
        <v>0</v>
      </c>
    </row>
    <row r="63" spans="1:105" s="204" customFormat="1">
      <c r="A63" s="204" t="str">
        <f>Income!A76</f>
        <v>Animals sold</v>
      </c>
      <c r="F63" s="204">
        <f t="shared" ref="F63:BQ63" si="87">IF(F$22&lt;=$E$24,IF(F$22&lt;=$D$24,IF(F$22&lt;=$C$24,IF(F$22&lt;=$B$24,IF(F7=0,0,IF($B29+($B$24-F$22)*F46&lt;0,0,$B29+($B$24-F$22)*F46)),$B29+(F$22-$B$24)*F46),$C29+(F$22-$C$24)*F46),$D29+(F$22-$D$24)*F46),IF($E29+(F$22-$E$24)*F46&lt;0,0,$E29+(F$22-$E$24)*F46))</f>
        <v>0</v>
      </c>
      <c r="G63" s="204">
        <f t="shared" si="87"/>
        <v>0</v>
      </c>
      <c r="H63" s="204">
        <f t="shared" si="87"/>
        <v>0</v>
      </c>
      <c r="I63" s="204">
        <f t="shared" si="87"/>
        <v>0</v>
      </c>
      <c r="J63" s="204">
        <f t="shared" si="87"/>
        <v>0</v>
      </c>
      <c r="K63" s="204">
        <f t="shared" si="87"/>
        <v>0</v>
      </c>
      <c r="L63" s="204">
        <f t="shared" ref="L63:L69" si="88">IF(L$22&lt;=$E$24,IF(L$22&lt;=$D$24,IF(L$22&lt;=$C$24,IF(L$22&lt;=$B$24,IF(L7=0,0,IF($B29+($B$24-L$22)*L46&lt;0,0,$B29+($B$24-L$22)*L46)),$B29+(L$22-$B$24)*L46),$C29+(L$22-$C$24)*L46),$D29+(L$22-$D$24)*L46),IF($E29+(L$22-$E$24)*L46&lt;0,0,$E29+(L$22-$E$24)*L46))</f>
        <v>0</v>
      </c>
      <c r="M63" s="204">
        <f t="shared" si="87"/>
        <v>0</v>
      </c>
      <c r="N63" s="204">
        <f t="shared" si="87"/>
        <v>0</v>
      </c>
      <c r="O63" s="204">
        <f t="shared" si="87"/>
        <v>0</v>
      </c>
      <c r="P63" s="204">
        <f t="shared" si="87"/>
        <v>0</v>
      </c>
      <c r="Q63" s="204">
        <f t="shared" si="87"/>
        <v>0</v>
      </c>
      <c r="R63" s="204">
        <f t="shared" si="87"/>
        <v>0</v>
      </c>
      <c r="S63" s="204">
        <f t="shared" si="87"/>
        <v>0</v>
      </c>
      <c r="T63" s="204">
        <f t="shared" si="87"/>
        <v>0</v>
      </c>
      <c r="U63" s="204">
        <f t="shared" si="87"/>
        <v>0</v>
      </c>
      <c r="V63" s="204">
        <f t="shared" si="87"/>
        <v>0</v>
      </c>
      <c r="W63" s="204">
        <f t="shared" si="87"/>
        <v>0</v>
      </c>
      <c r="X63" s="204">
        <f t="shared" si="87"/>
        <v>0</v>
      </c>
      <c r="Y63" s="204">
        <f t="shared" si="87"/>
        <v>137.78192676737183</v>
      </c>
      <c r="Z63" s="204">
        <f t="shared" si="87"/>
        <v>303.12023888821756</v>
      </c>
      <c r="AA63" s="204">
        <f t="shared" si="87"/>
        <v>468.45855100906329</v>
      </c>
      <c r="AB63" s="204">
        <f t="shared" si="87"/>
        <v>633.79686312990907</v>
      </c>
      <c r="AC63" s="204">
        <f t="shared" si="87"/>
        <v>799.13517525075474</v>
      </c>
      <c r="AD63" s="204">
        <f t="shared" si="87"/>
        <v>964.47348737160053</v>
      </c>
      <c r="AE63" s="204">
        <f t="shared" si="87"/>
        <v>1129.8117994924462</v>
      </c>
      <c r="AF63" s="204">
        <f t="shared" si="87"/>
        <v>1295.150111613292</v>
      </c>
      <c r="AG63" s="204">
        <f t="shared" si="87"/>
        <v>1460.4884237341378</v>
      </c>
      <c r="AH63" s="204">
        <f t="shared" si="87"/>
        <v>1625.8267358549833</v>
      </c>
      <c r="AI63" s="204">
        <f t="shared" si="87"/>
        <v>1791.1650479758291</v>
      </c>
      <c r="AJ63" s="204">
        <f t="shared" si="87"/>
        <v>1956.5033600966749</v>
      </c>
      <c r="AK63" s="204">
        <f t="shared" si="87"/>
        <v>2121.8416722175207</v>
      </c>
      <c r="AL63" s="204">
        <f t="shared" si="87"/>
        <v>2287.1799843383665</v>
      </c>
      <c r="AM63" s="204">
        <f t="shared" si="87"/>
        <v>2452.5182964592123</v>
      </c>
      <c r="AN63" s="204">
        <f t="shared" si="87"/>
        <v>2617.8566085800576</v>
      </c>
      <c r="AO63" s="204">
        <f t="shared" si="87"/>
        <v>2783.1949207009034</v>
      </c>
      <c r="AP63" s="204">
        <f t="shared" si="87"/>
        <v>2948.5332328217492</v>
      </c>
      <c r="AQ63" s="204">
        <f t="shared" si="87"/>
        <v>3113.8715449425949</v>
      </c>
      <c r="AR63" s="204">
        <f t="shared" si="87"/>
        <v>3279.2098570634407</v>
      </c>
      <c r="AS63" s="204">
        <f t="shared" si="87"/>
        <v>3444.5481691842865</v>
      </c>
      <c r="AT63" s="204">
        <f t="shared" si="87"/>
        <v>3609.8864813051323</v>
      </c>
      <c r="AU63" s="204">
        <f t="shared" si="87"/>
        <v>3775.2247934259781</v>
      </c>
      <c r="AV63" s="204">
        <f t="shared" si="87"/>
        <v>3940.5631055468234</v>
      </c>
      <c r="AW63" s="204">
        <f t="shared" si="87"/>
        <v>4105.9014176676692</v>
      </c>
      <c r="AX63" s="204">
        <f t="shared" si="87"/>
        <v>4271.2397297885154</v>
      </c>
      <c r="AY63" s="204">
        <f t="shared" si="87"/>
        <v>4436.5780419093608</v>
      </c>
      <c r="AZ63" s="204">
        <f t="shared" si="87"/>
        <v>4601.9163540302061</v>
      </c>
      <c r="BA63" s="204">
        <f t="shared" si="87"/>
        <v>4767.2546661510523</v>
      </c>
      <c r="BB63" s="204">
        <f t="shared" si="87"/>
        <v>4932.5929782718977</v>
      </c>
      <c r="BC63" s="204">
        <f t="shared" si="87"/>
        <v>5097.9312903927439</v>
      </c>
      <c r="BD63" s="204">
        <f t="shared" si="87"/>
        <v>5263.2696025135892</v>
      </c>
      <c r="BE63" s="204">
        <f t="shared" si="87"/>
        <v>5428.6079146344355</v>
      </c>
      <c r="BF63" s="204">
        <f t="shared" si="87"/>
        <v>5593.9462267552808</v>
      </c>
      <c r="BG63" s="204">
        <f t="shared" si="87"/>
        <v>5759.284538876127</v>
      </c>
      <c r="BH63" s="204">
        <f t="shared" si="87"/>
        <v>6158.2950324493704</v>
      </c>
      <c r="BI63" s="204">
        <f t="shared" si="87"/>
        <v>6604.0399623130943</v>
      </c>
      <c r="BJ63" s="204">
        <f t="shared" si="87"/>
        <v>7049.7848921768173</v>
      </c>
      <c r="BK63" s="204">
        <f t="shared" si="87"/>
        <v>7495.5298220405411</v>
      </c>
      <c r="BL63" s="204">
        <f t="shared" si="87"/>
        <v>7941.2747519042641</v>
      </c>
      <c r="BM63" s="204">
        <f t="shared" si="87"/>
        <v>8387.019681767988</v>
      </c>
      <c r="BN63" s="204">
        <f t="shared" si="87"/>
        <v>8832.7646116317119</v>
      </c>
      <c r="BO63" s="204">
        <f t="shared" si="87"/>
        <v>9278.509541495434</v>
      </c>
      <c r="BP63" s="204">
        <f t="shared" si="87"/>
        <v>9724.2544713591578</v>
      </c>
      <c r="BQ63" s="204">
        <f t="shared" si="87"/>
        <v>10169.999401222882</v>
      </c>
      <c r="BR63" s="204">
        <f t="shared" ref="BR63:DA63" si="89">IF(BR$22&lt;=$E$24,IF(BR$22&lt;=$D$24,IF(BR$22&lt;=$C$24,IF(BR$22&lt;=$B$24,IF(BR7=0,0,IF($B29+($B$24-BR$22)*BR46&lt;0,0,$B29+($B$24-BR$22)*BR46)),$B29+(BR$22-$B$24)*BR46),$C29+(BR$22-$C$24)*BR46),$D29+(BR$22-$D$24)*BR46),IF($E29+(BR$22-$E$24)*BR46&lt;0,0,$E29+(BR$22-$E$24)*BR46))</f>
        <v>10615.744331086604</v>
      </c>
      <c r="BS63" s="204">
        <f t="shared" si="89"/>
        <v>11061.489260950328</v>
      </c>
      <c r="BT63" s="204">
        <f t="shared" si="89"/>
        <v>11507.234190814052</v>
      </c>
      <c r="BU63" s="204">
        <f t="shared" si="89"/>
        <v>11952.979120677774</v>
      </c>
      <c r="BV63" s="204">
        <f t="shared" si="89"/>
        <v>12398.724050541497</v>
      </c>
      <c r="BW63" s="204">
        <f t="shared" si="89"/>
        <v>12844.468980405221</v>
      </c>
      <c r="BX63" s="204">
        <f t="shared" si="89"/>
        <v>13290.213910268943</v>
      </c>
      <c r="BY63" s="204">
        <f t="shared" si="89"/>
        <v>13735.958840132669</v>
      </c>
      <c r="BZ63" s="204">
        <f t="shared" si="89"/>
        <v>14181.703769996391</v>
      </c>
      <c r="CA63" s="204">
        <f t="shared" si="89"/>
        <v>14627.448699860115</v>
      </c>
      <c r="CB63" s="204">
        <f t="shared" si="89"/>
        <v>15073.193629723839</v>
      </c>
      <c r="CC63" s="204">
        <f t="shared" si="89"/>
        <v>15518.938559587561</v>
      </c>
      <c r="CD63" s="204">
        <f t="shared" si="89"/>
        <v>15964.683489451285</v>
      </c>
      <c r="CE63" s="204">
        <f t="shared" si="89"/>
        <v>16410.428419315009</v>
      </c>
      <c r="CF63" s="204">
        <f t="shared" si="89"/>
        <v>16856.173349178731</v>
      </c>
      <c r="CG63" s="204">
        <f t="shared" si="89"/>
        <v>17301.918279042453</v>
      </c>
      <c r="CH63" s="204">
        <f t="shared" si="89"/>
        <v>17747.663208906179</v>
      </c>
      <c r="CI63" s="204">
        <f t="shared" si="89"/>
        <v>18559.159504954121</v>
      </c>
      <c r="CJ63" s="204">
        <f t="shared" si="89"/>
        <v>19443.806074238906</v>
      </c>
      <c r="CK63" s="204">
        <f t="shared" si="89"/>
        <v>20328.452643523688</v>
      </c>
      <c r="CL63" s="204">
        <f t="shared" si="89"/>
        <v>21213.099212808469</v>
      </c>
      <c r="CM63" s="204">
        <f t="shared" si="89"/>
        <v>22097.745782093254</v>
      </c>
      <c r="CN63" s="204">
        <f t="shared" si="89"/>
        <v>22982.392351378036</v>
      </c>
      <c r="CO63" s="204">
        <f t="shared" si="89"/>
        <v>23867.038920662817</v>
      </c>
      <c r="CP63" s="204">
        <f t="shared" si="89"/>
        <v>24751.685489947598</v>
      </c>
      <c r="CQ63" s="204">
        <f t="shared" si="89"/>
        <v>25636.33205923238</v>
      </c>
      <c r="CR63" s="204">
        <f t="shared" si="89"/>
        <v>26520.978628517165</v>
      </c>
      <c r="CS63" s="204">
        <f t="shared" si="89"/>
        <v>27405.625197801946</v>
      </c>
      <c r="CT63" s="204">
        <f t="shared" si="89"/>
        <v>28290.271767086728</v>
      </c>
      <c r="CU63" s="204">
        <f t="shared" si="89"/>
        <v>29174.918336371513</v>
      </c>
      <c r="CV63" s="204">
        <f t="shared" si="89"/>
        <v>30059.564905656294</v>
      </c>
      <c r="CW63" s="204">
        <f t="shared" si="89"/>
        <v>30944.211474941076</v>
      </c>
      <c r="CX63" s="204">
        <f t="shared" si="89"/>
        <v>31091.652569821865</v>
      </c>
      <c r="CY63" s="204">
        <f t="shared" si="89"/>
        <v>31091.652569821865</v>
      </c>
      <c r="CZ63" s="204">
        <f t="shared" si="89"/>
        <v>31091.652569821865</v>
      </c>
      <c r="DA63" s="204">
        <f t="shared" si="89"/>
        <v>31091.652569821865</v>
      </c>
    </row>
    <row r="64" spans="1:105" s="204" customFormat="1">
      <c r="A64" s="204" t="str">
        <f>Income!A77</f>
        <v>Wild foods consumed and sold</v>
      </c>
      <c r="F64" s="204">
        <f t="shared" ref="F64:BQ64" si="90">IF(F$22&lt;=$E$24,IF(F$22&lt;=$D$24,IF(F$22&lt;=$C$24,IF(F$22&lt;=$B$24,IF(F8=0,0,IF($B30+($B$24-F$22)*F47&lt;0,0,$B30+($B$24-F$22)*F47)),$B30+(F$22-$B$24)*F47),$C30+(F$22-$C$24)*F47),$D30+(F$22-$D$24)*F47),IF($E30+(F$22-$E$24)*F47&lt;0,0,$E30+(F$22-$E$24)*F47))</f>
        <v>657.73500474724642</v>
      </c>
      <c r="G64" s="204">
        <f t="shared" si="90"/>
        <v>657.73500474724642</v>
      </c>
      <c r="H64" s="204">
        <f t="shared" si="90"/>
        <v>657.73500474724642</v>
      </c>
      <c r="I64" s="204">
        <f t="shared" si="90"/>
        <v>657.73500474724642</v>
      </c>
      <c r="J64" s="204">
        <f t="shared" si="90"/>
        <v>657.73500474724642</v>
      </c>
      <c r="K64" s="204">
        <f t="shared" si="90"/>
        <v>657.73500474724642</v>
      </c>
      <c r="L64" s="204">
        <f t="shared" si="88"/>
        <v>657.73500474724642</v>
      </c>
      <c r="M64" s="204">
        <f t="shared" si="90"/>
        <v>657.73500474724642</v>
      </c>
      <c r="N64" s="204">
        <f t="shared" si="90"/>
        <v>657.73500474724642</v>
      </c>
      <c r="O64" s="204">
        <f t="shared" si="90"/>
        <v>657.73500474724642</v>
      </c>
      <c r="P64" s="204">
        <f t="shared" si="90"/>
        <v>657.73500474724642</v>
      </c>
      <c r="Q64" s="204">
        <f t="shared" si="90"/>
        <v>657.73500474724642</v>
      </c>
      <c r="R64" s="204">
        <f t="shared" si="90"/>
        <v>657.73500474724642</v>
      </c>
      <c r="S64" s="204">
        <f t="shared" si="90"/>
        <v>657.73500474724642</v>
      </c>
      <c r="T64" s="204">
        <f t="shared" si="90"/>
        <v>657.73500474724642</v>
      </c>
      <c r="U64" s="204">
        <f t="shared" si="90"/>
        <v>657.73500474724642</v>
      </c>
      <c r="V64" s="204">
        <f t="shared" si="90"/>
        <v>657.73500474724642</v>
      </c>
      <c r="W64" s="204">
        <f t="shared" si="90"/>
        <v>657.73500474724642</v>
      </c>
      <c r="X64" s="204">
        <f t="shared" si="90"/>
        <v>657.73500474724642</v>
      </c>
      <c r="Y64" s="204">
        <f t="shared" si="90"/>
        <v>669.30497018256585</v>
      </c>
      <c r="Z64" s="204">
        <f t="shared" si="90"/>
        <v>683.18892870494903</v>
      </c>
      <c r="AA64" s="204">
        <f t="shared" si="90"/>
        <v>697.07288722733233</v>
      </c>
      <c r="AB64" s="204">
        <f t="shared" si="90"/>
        <v>710.95684574971551</v>
      </c>
      <c r="AC64" s="204">
        <f t="shared" si="90"/>
        <v>724.84080427209881</v>
      </c>
      <c r="AD64" s="204">
        <f t="shared" si="90"/>
        <v>738.7247627944821</v>
      </c>
      <c r="AE64" s="204">
        <f t="shared" si="90"/>
        <v>752.60872131686529</v>
      </c>
      <c r="AF64" s="204">
        <f t="shared" si="90"/>
        <v>766.49267983924858</v>
      </c>
      <c r="AG64" s="204">
        <f t="shared" si="90"/>
        <v>780.37663836163176</v>
      </c>
      <c r="AH64" s="204">
        <f t="shared" si="90"/>
        <v>794.26059688401506</v>
      </c>
      <c r="AI64" s="204">
        <f t="shared" si="90"/>
        <v>808.14455540639824</v>
      </c>
      <c r="AJ64" s="204">
        <f t="shared" si="90"/>
        <v>822.02851392878154</v>
      </c>
      <c r="AK64" s="204">
        <f t="shared" si="90"/>
        <v>835.91247245116483</v>
      </c>
      <c r="AL64" s="204">
        <f t="shared" si="90"/>
        <v>849.79643097354801</v>
      </c>
      <c r="AM64" s="204">
        <f t="shared" si="90"/>
        <v>863.68038949593131</v>
      </c>
      <c r="AN64" s="204">
        <f t="shared" si="90"/>
        <v>877.5643480183146</v>
      </c>
      <c r="AO64" s="204">
        <f t="shared" si="90"/>
        <v>891.44830654069779</v>
      </c>
      <c r="AP64" s="204">
        <f t="shared" si="90"/>
        <v>905.33226506308097</v>
      </c>
      <c r="AQ64" s="204">
        <f t="shared" si="90"/>
        <v>919.21622358546426</v>
      </c>
      <c r="AR64" s="204">
        <f t="shared" si="90"/>
        <v>933.10018210784756</v>
      </c>
      <c r="AS64" s="204">
        <f t="shared" si="90"/>
        <v>946.98414063023074</v>
      </c>
      <c r="AT64" s="204">
        <f t="shared" si="90"/>
        <v>960.86809915261404</v>
      </c>
      <c r="AU64" s="204">
        <f t="shared" si="90"/>
        <v>974.75205767499733</v>
      </c>
      <c r="AV64" s="204">
        <f t="shared" si="90"/>
        <v>988.63601619738051</v>
      </c>
      <c r="AW64" s="204">
        <f t="shared" si="90"/>
        <v>1002.5199747197637</v>
      </c>
      <c r="AX64" s="204">
        <f t="shared" si="90"/>
        <v>1016.403933242147</v>
      </c>
      <c r="AY64" s="204">
        <f t="shared" si="90"/>
        <v>1030.2878917645303</v>
      </c>
      <c r="AZ64" s="204">
        <f t="shared" si="90"/>
        <v>1044.1718502869135</v>
      </c>
      <c r="BA64" s="204">
        <f t="shared" si="90"/>
        <v>1058.0558088092966</v>
      </c>
      <c r="BB64" s="204">
        <f t="shared" si="90"/>
        <v>1071.9397673316801</v>
      </c>
      <c r="BC64" s="204">
        <f t="shared" si="90"/>
        <v>1085.8237258540632</v>
      </c>
      <c r="BD64" s="204">
        <f t="shared" si="90"/>
        <v>1099.7076843764464</v>
      </c>
      <c r="BE64" s="204">
        <f t="shared" si="90"/>
        <v>1113.5916428988298</v>
      </c>
      <c r="BF64" s="204">
        <f t="shared" si="90"/>
        <v>1127.475601421213</v>
      </c>
      <c r="BG64" s="204">
        <f t="shared" si="90"/>
        <v>1141.3595599435962</v>
      </c>
      <c r="BH64" s="204">
        <f t="shared" si="90"/>
        <v>1108.3749865790965</v>
      </c>
      <c r="BI64" s="204">
        <f t="shared" si="90"/>
        <v>1066.01670683722</v>
      </c>
      <c r="BJ64" s="204">
        <f t="shared" si="90"/>
        <v>1023.6584270953438</v>
      </c>
      <c r="BK64" s="204">
        <f t="shared" si="90"/>
        <v>981.30014735346742</v>
      </c>
      <c r="BL64" s="204">
        <f t="shared" si="90"/>
        <v>938.94186761159108</v>
      </c>
      <c r="BM64" s="204">
        <f t="shared" si="90"/>
        <v>896.58358786971485</v>
      </c>
      <c r="BN64" s="204">
        <f t="shared" si="90"/>
        <v>854.2253081278385</v>
      </c>
      <c r="BO64" s="204">
        <f t="shared" si="90"/>
        <v>811.86702838596216</v>
      </c>
      <c r="BP64" s="204">
        <f t="shared" si="90"/>
        <v>769.50874864408593</v>
      </c>
      <c r="BQ64" s="204">
        <f t="shared" si="90"/>
        <v>727.15046890220958</v>
      </c>
      <c r="BR64" s="204">
        <f t="shared" ref="BR64:DA64" si="91">IF(BR$22&lt;=$E$24,IF(BR$22&lt;=$D$24,IF(BR$22&lt;=$C$24,IF(BR$22&lt;=$B$24,IF(BR8=0,0,IF($B30+($B$24-BR$22)*BR47&lt;0,0,$B30+($B$24-BR$22)*BR47)),$B30+(BR$22-$B$24)*BR47),$C30+(BR$22-$C$24)*BR47),$D30+(BR$22-$D$24)*BR47),IF($E30+(BR$22-$E$24)*BR47&lt;0,0,$E30+(BR$22-$E$24)*BR47))</f>
        <v>684.79218916033324</v>
      </c>
      <c r="BS64" s="204">
        <f t="shared" si="91"/>
        <v>642.43390941845701</v>
      </c>
      <c r="BT64" s="204">
        <f t="shared" si="91"/>
        <v>600.07562967658066</v>
      </c>
      <c r="BU64" s="204">
        <f t="shared" si="91"/>
        <v>557.71734993470432</v>
      </c>
      <c r="BV64" s="204">
        <f t="shared" si="91"/>
        <v>515.35907019282809</v>
      </c>
      <c r="BW64" s="204">
        <f t="shared" si="91"/>
        <v>473.00079045095174</v>
      </c>
      <c r="BX64" s="204">
        <f t="shared" si="91"/>
        <v>430.6425107090754</v>
      </c>
      <c r="BY64" s="204">
        <f t="shared" si="91"/>
        <v>388.28423096719916</v>
      </c>
      <c r="BZ64" s="204">
        <f t="shared" si="91"/>
        <v>345.92595122532282</v>
      </c>
      <c r="CA64" s="204">
        <f t="shared" si="91"/>
        <v>303.56767148344647</v>
      </c>
      <c r="CB64" s="204">
        <f t="shared" si="91"/>
        <v>261.20939174157013</v>
      </c>
      <c r="CC64" s="204">
        <f t="shared" si="91"/>
        <v>218.8511119996939</v>
      </c>
      <c r="CD64" s="204">
        <f t="shared" si="91"/>
        <v>176.49283225781755</v>
      </c>
      <c r="CE64" s="204">
        <f t="shared" si="91"/>
        <v>134.13455251594121</v>
      </c>
      <c r="CF64" s="204">
        <f t="shared" si="91"/>
        <v>91.776272774064864</v>
      </c>
      <c r="CG64" s="204">
        <f t="shared" si="91"/>
        <v>49.417993032188633</v>
      </c>
      <c r="CH64" s="204">
        <f t="shared" si="91"/>
        <v>7.059713290312402</v>
      </c>
      <c r="CI64" s="204">
        <f t="shared" si="91"/>
        <v>0</v>
      </c>
      <c r="CJ64" s="204">
        <f t="shared" si="91"/>
        <v>0</v>
      </c>
      <c r="CK64" s="204">
        <f t="shared" si="91"/>
        <v>0</v>
      </c>
      <c r="CL64" s="204">
        <f t="shared" si="91"/>
        <v>0</v>
      </c>
      <c r="CM64" s="204">
        <f t="shared" si="91"/>
        <v>0</v>
      </c>
      <c r="CN64" s="204">
        <f t="shared" si="91"/>
        <v>0</v>
      </c>
      <c r="CO64" s="204">
        <f t="shared" si="91"/>
        <v>0</v>
      </c>
      <c r="CP64" s="204">
        <f t="shared" si="91"/>
        <v>0</v>
      </c>
      <c r="CQ64" s="204">
        <f t="shared" si="91"/>
        <v>0</v>
      </c>
      <c r="CR64" s="204">
        <f t="shared" si="91"/>
        <v>0</v>
      </c>
      <c r="CS64" s="204">
        <f t="shared" si="91"/>
        <v>0</v>
      </c>
      <c r="CT64" s="204">
        <f t="shared" si="91"/>
        <v>0</v>
      </c>
      <c r="CU64" s="204">
        <f t="shared" si="91"/>
        <v>0</v>
      </c>
      <c r="CV64" s="204">
        <f t="shared" si="91"/>
        <v>0</v>
      </c>
      <c r="CW64" s="204">
        <f t="shared" si="91"/>
        <v>0</v>
      </c>
      <c r="CX64" s="204">
        <f t="shared" si="91"/>
        <v>43.491666666667065</v>
      </c>
      <c r="CY64" s="204">
        <f t="shared" si="91"/>
        <v>95.681666666666942</v>
      </c>
      <c r="CZ64" s="204">
        <f t="shared" si="91"/>
        <v>147.87166666666684</v>
      </c>
      <c r="DA64" s="204">
        <f t="shared" si="91"/>
        <v>200.06166666666672</v>
      </c>
    </row>
    <row r="65" spans="1:105" s="204" customFormat="1">
      <c r="A65" s="204" t="str">
        <f>Income!A78</f>
        <v>Labour - casual</v>
      </c>
      <c r="F65" s="204">
        <f t="shared" ref="F65:BQ65" si="92">IF(F$22&lt;=$E$24,IF(F$22&lt;=$D$24,IF(F$22&lt;=$C$24,IF(F$22&lt;=$B$24,IF(F9=0,0,IF($B31+($B$24-F$22)*F48&lt;0,0,$B31+($B$24-F$22)*F48)),$B31+(F$22-$B$24)*F48),$C31+(F$22-$C$24)*F48),$D31+(F$22-$D$24)*F48),IF($E31+(F$22-$E$24)*F48&lt;0,0,$E31+(F$22-$E$24)*F48))</f>
        <v>8001.6947213180993</v>
      </c>
      <c r="G65" s="204">
        <f t="shared" si="92"/>
        <v>8001.6947213180993</v>
      </c>
      <c r="H65" s="204">
        <f t="shared" si="92"/>
        <v>8001.6947213180993</v>
      </c>
      <c r="I65" s="204">
        <f t="shared" si="92"/>
        <v>8001.6947213180993</v>
      </c>
      <c r="J65" s="204">
        <f t="shared" si="92"/>
        <v>8001.6947213180993</v>
      </c>
      <c r="K65" s="204">
        <f t="shared" si="92"/>
        <v>8001.6947213180993</v>
      </c>
      <c r="L65" s="204">
        <f t="shared" si="88"/>
        <v>8001.6947213180993</v>
      </c>
      <c r="M65" s="204">
        <f t="shared" si="92"/>
        <v>8001.6947213180993</v>
      </c>
      <c r="N65" s="204">
        <f t="shared" si="92"/>
        <v>8001.6947213180993</v>
      </c>
      <c r="O65" s="204">
        <f t="shared" si="92"/>
        <v>8001.6947213180993</v>
      </c>
      <c r="P65" s="204">
        <f t="shared" si="92"/>
        <v>8001.6947213180993</v>
      </c>
      <c r="Q65" s="204">
        <f t="shared" si="92"/>
        <v>8001.6947213180993</v>
      </c>
      <c r="R65" s="204">
        <f t="shared" si="92"/>
        <v>8001.6947213180993</v>
      </c>
      <c r="S65" s="204">
        <f t="shared" si="92"/>
        <v>8001.6947213180993</v>
      </c>
      <c r="T65" s="204">
        <f t="shared" si="92"/>
        <v>8001.6947213180993</v>
      </c>
      <c r="U65" s="204">
        <f t="shared" si="92"/>
        <v>8001.6947213180993</v>
      </c>
      <c r="V65" s="204">
        <f t="shared" si="92"/>
        <v>8001.6947213180993</v>
      </c>
      <c r="W65" s="204">
        <f t="shared" si="92"/>
        <v>8001.6947213180993</v>
      </c>
      <c r="X65" s="204">
        <f t="shared" si="92"/>
        <v>8001.6947213180993</v>
      </c>
      <c r="Y65" s="204">
        <f t="shared" si="92"/>
        <v>8151.5480923979467</v>
      </c>
      <c r="Z65" s="204">
        <f t="shared" si="92"/>
        <v>8331.3721376937629</v>
      </c>
      <c r="AA65" s="204">
        <f t="shared" si="92"/>
        <v>8511.1961829895772</v>
      </c>
      <c r="AB65" s="204">
        <f t="shared" si="92"/>
        <v>8691.0202282853934</v>
      </c>
      <c r="AC65" s="204">
        <f t="shared" si="92"/>
        <v>8870.8442735812096</v>
      </c>
      <c r="AD65" s="204">
        <f t="shared" si="92"/>
        <v>9050.6683188770257</v>
      </c>
      <c r="AE65" s="204">
        <f t="shared" si="92"/>
        <v>9230.4923641728419</v>
      </c>
      <c r="AF65" s="204">
        <f t="shared" si="92"/>
        <v>9410.3164094686581</v>
      </c>
      <c r="AG65" s="204">
        <f t="shared" si="92"/>
        <v>9590.1404547644743</v>
      </c>
      <c r="AH65" s="204">
        <f t="shared" si="92"/>
        <v>9769.9645000602904</v>
      </c>
      <c r="AI65" s="204">
        <f t="shared" si="92"/>
        <v>9949.7885453561048</v>
      </c>
      <c r="AJ65" s="204">
        <f t="shared" si="92"/>
        <v>10129.612590651921</v>
      </c>
      <c r="AK65" s="204">
        <f t="shared" si="92"/>
        <v>10309.436635947737</v>
      </c>
      <c r="AL65" s="204">
        <f t="shared" si="92"/>
        <v>10489.260681243553</v>
      </c>
      <c r="AM65" s="204">
        <f t="shared" si="92"/>
        <v>10669.08472653937</v>
      </c>
      <c r="AN65" s="204">
        <f t="shared" si="92"/>
        <v>10848.908771835186</v>
      </c>
      <c r="AO65" s="204">
        <f t="shared" si="92"/>
        <v>11028.732817131</v>
      </c>
      <c r="AP65" s="204">
        <f t="shared" si="92"/>
        <v>11208.556862426816</v>
      </c>
      <c r="AQ65" s="204">
        <f t="shared" si="92"/>
        <v>11388.380907722632</v>
      </c>
      <c r="AR65" s="204">
        <f t="shared" si="92"/>
        <v>11568.204953018449</v>
      </c>
      <c r="AS65" s="204">
        <f t="shared" si="92"/>
        <v>11748.028998314265</v>
      </c>
      <c r="AT65" s="204">
        <f t="shared" si="92"/>
        <v>11927.853043610081</v>
      </c>
      <c r="AU65" s="204">
        <f t="shared" si="92"/>
        <v>12107.677088905897</v>
      </c>
      <c r="AV65" s="204">
        <f t="shared" si="92"/>
        <v>12287.501134201713</v>
      </c>
      <c r="AW65" s="204">
        <f t="shared" si="92"/>
        <v>12467.325179497529</v>
      </c>
      <c r="AX65" s="204">
        <f t="shared" si="92"/>
        <v>12647.149224793346</v>
      </c>
      <c r="AY65" s="204">
        <f t="shared" si="92"/>
        <v>12826.97327008916</v>
      </c>
      <c r="AZ65" s="204">
        <f t="shared" si="92"/>
        <v>13006.797315384976</v>
      </c>
      <c r="BA65" s="204">
        <f t="shared" si="92"/>
        <v>13186.621360680792</v>
      </c>
      <c r="BB65" s="204">
        <f t="shared" si="92"/>
        <v>13366.445405976607</v>
      </c>
      <c r="BC65" s="204">
        <f t="shared" si="92"/>
        <v>13546.269451272423</v>
      </c>
      <c r="BD65" s="204">
        <f t="shared" si="92"/>
        <v>13726.093496568239</v>
      </c>
      <c r="BE65" s="204">
        <f t="shared" si="92"/>
        <v>13905.917541864055</v>
      </c>
      <c r="BF65" s="204">
        <f t="shared" si="92"/>
        <v>14085.741587159871</v>
      </c>
      <c r="BG65" s="204">
        <f t="shared" si="92"/>
        <v>14265.565632455688</v>
      </c>
      <c r="BH65" s="204">
        <f t="shared" si="92"/>
        <v>13854.3160502929</v>
      </c>
      <c r="BI65" s="204">
        <f t="shared" si="92"/>
        <v>13324.851742638395</v>
      </c>
      <c r="BJ65" s="204">
        <f t="shared" si="92"/>
        <v>12795.387434983888</v>
      </c>
      <c r="BK65" s="204">
        <f t="shared" si="92"/>
        <v>12265.923127329383</v>
      </c>
      <c r="BL65" s="204">
        <f t="shared" si="92"/>
        <v>11736.458819674877</v>
      </c>
      <c r="BM65" s="204">
        <f t="shared" si="92"/>
        <v>11206.99451202037</v>
      </c>
      <c r="BN65" s="204">
        <f t="shared" si="92"/>
        <v>10677.530204365865</v>
      </c>
      <c r="BO65" s="204">
        <f t="shared" si="92"/>
        <v>10148.06589671136</v>
      </c>
      <c r="BP65" s="204">
        <f t="shared" si="92"/>
        <v>9618.6015890568524</v>
      </c>
      <c r="BQ65" s="204">
        <f t="shared" si="92"/>
        <v>9089.1372814023471</v>
      </c>
      <c r="BR65" s="204">
        <f t="shared" ref="BR65:DA65" si="93">IF(BR$22&lt;=$E$24,IF(BR$22&lt;=$D$24,IF(BR$22&lt;=$C$24,IF(BR$22&lt;=$B$24,IF(BR9=0,0,IF($B31+($B$24-BR$22)*BR48&lt;0,0,$B31+($B$24-BR$22)*BR48)),$B31+(BR$22-$B$24)*BR48),$C31+(BR$22-$C$24)*BR48),$D31+(BR$22-$D$24)*BR48),IF($E31+(BR$22-$E$24)*BR48&lt;0,0,$E31+(BR$22-$E$24)*BR48))</f>
        <v>8559.6729737478418</v>
      </c>
      <c r="BS65" s="204">
        <f t="shared" si="93"/>
        <v>8030.2086660933355</v>
      </c>
      <c r="BT65" s="204">
        <f t="shared" si="93"/>
        <v>7500.7443584388293</v>
      </c>
      <c r="BU65" s="204">
        <f t="shared" si="93"/>
        <v>6971.280050784324</v>
      </c>
      <c r="BV65" s="204">
        <f t="shared" si="93"/>
        <v>6441.8157431298177</v>
      </c>
      <c r="BW65" s="204">
        <f t="shared" si="93"/>
        <v>5912.3514354753115</v>
      </c>
      <c r="BX65" s="204">
        <f t="shared" si="93"/>
        <v>5382.8871278208062</v>
      </c>
      <c r="BY65" s="204">
        <f t="shared" si="93"/>
        <v>4853.4228201663009</v>
      </c>
      <c r="BZ65" s="204">
        <f t="shared" si="93"/>
        <v>4323.9585125117937</v>
      </c>
      <c r="CA65" s="204">
        <f t="shared" si="93"/>
        <v>3794.4942048572884</v>
      </c>
      <c r="CB65" s="204">
        <f t="shared" si="93"/>
        <v>3265.0298972027831</v>
      </c>
      <c r="CC65" s="204">
        <f t="shared" si="93"/>
        <v>2735.565589548276</v>
      </c>
      <c r="CD65" s="204">
        <f t="shared" si="93"/>
        <v>2206.1012818937706</v>
      </c>
      <c r="CE65" s="204">
        <f t="shared" si="93"/>
        <v>1676.6369742392653</v>
      </c>
      <c r="CF65" s="204">
        <f t="shared" si="93"/>
        <v>1147.1726665847582</v>
      </c>
      <c r="CG65" s="204">
        <f t="shared" si="93"/>
        <v>617.70835893025287</v>
      </c>
      <c r="CH65" s="204">
        <f t="shared" si="93"/>
        <v>88.244051275747552</v>
      </c>
      <c r="CI65" s="204">
        <f t="shared" si="93"/>
        <v>0</v>
      </c>
      <c r="CJ65" s="204">
        <f t="shared" si="93"/>
        <v>0</v>
      </c>
      <c r="CK65" s="204">
        <f t="shared" si="93"/>
        <v>0</v>
      </c>
      <c r="CL65" s="204">
        <f t="shared" si="93"/>
        <v>0</v>
      </c>
      <c r="CM65" s="204">
        <f t="shared" si="93"/>
        <v>0</v>
      </c>
      <c r="CN65" s="204">
        <f t="shared" si="93"/>
        <v>0</v>
      </c>
      <c r="CO65" s="204">
        <f t="shared" si="93"/>
        <v>0</v>
      </c>
      <c r="CP65" s="204">
        <f t="shared" si="93"/>
        <v>0</v>
      </c>
      <c r="CQ65" s="204">
        <f t="shared" si="93"/>
        <v>0</v>
      </c>
      <c r="CR65" s="204">
        <f t="shared" si="93"/>
        <v>0</v>
      </c>
      <c r="CS65" s="204">
        <f t="shared" si="93"/>
        <v>0</v>
      </c>
      <c r="CT65" s="204">
        <f t="shared" si="93"/>
        <v>0</v>
      </c>
      <c r="CU65" s="204">
        <f t="shared" si="93"/>
        <v>0</v>
      </c>
      <c r="CV65" s="204">
        <f t="shared" si="93"/>
        <v>0</v>
      </c>
      <c r="CW65" s="204">
        <f t="shared" si="93"/>
        <v>0</v>
      </c>
      <c r="CX65" s="204">
        <f t="shared" si="93"/>
        <v>0</v>
      </c>
      <c r="CY65" s="204">
        <f t="shared" si="93"/>
        <v>0</v>
      </c>
      <c r="CZ65" s="204">
        <f t="shared" si="93"/>
        <v>0</v>
      </c>
      <c r="DA65" s="204">
        <f t="shared" si="93"/>
        <v>0</v>
      </c>
    </row>
    <row r="66" spans="1:105" s="204" customFormat="1">
      <c r="A66" s="204" t="str">
        <f>Income!A79</f>
        <v>Labour - formal emp</v>
      </c>
      <c r="F66" s="204">
        <f t="shared" ref="F66:BQ66" si="94">IF(F$22&lt;=$E$24,IF(F$22&lt;=$D$24,IF(F$22&lt;=$C$24,IF(F$22&lt;=$B$24,IF(F10=0,0,IF($B32+($B$24-F$22)*F49&lt;0,0,$B32+($B$24-F$22)*F49)),$B32+(F$22-$B$24)*F49),$C32+(F$22-$C$24)*F49),$D32+(F$22-$D$24)*F49),IF($E32+(F$22-$E$24)*F49&lt;0,0,$E32+(F$22-$E$24)*F49))</f>
        <v>0</v>
      </c>
      <c r="G66" s="204">
        <f t="shared" si="94"/>
        <v>0</v>
      </c>
      <c r="H66" s="204">
        <f t="shared" si="94"/>
        <v>0</v>
      </c>
      <c r="I66" s="204">
        <f t="shared" si="94"/>
        <v>0</v>
      </c>
      <c r="J66" s="204">
        <f t="shared" si="94"/>
        <v>0</v>
      </c>
      <c r="K66" s="204">
        <f t="shared" si="94"/>
        <v>0</v>
      </c>
      <c r="L66" s="204">
        <f t="shared" si="88"/>
        <v>0</v>
      </c>
      <c r="M66" s="204">
        <f t="shared" si="94"/>
        <v>0</v>
      </c>
      <c r="N66" s="204">
        <f t="shared" si="94"/>
        <v>0</v>
      </c>
      <c r="O66" s="204">
        <f t="shared" si="94"/>
        <v>0</v>
      </c>
      <c r="P66" s="204">
        <f t="shared" si="94"/>
        <v>0</v>
      </c>
      <c r="Q66" s="204">
        <f t="shared" si="94"/>
        <v>0</v>
      </c>
      <c r="R66" s="204">
        <f t="shared" si="94"/>
        <v>0</v>
      </c>
      <c r="S66" s="204">
        <f t="shared" si="94"/>
        <v>0</v>
      </c>
      <c r="T66" s="204">
        <f t="shared" si="94"/>
        <v>0</v>
      </c>
      <c r="U66" s="204">
        <f t="shared" si="94"/>
        <v>0</v>
      </c>
      <c r="V66" s="204">
        <f t="shared" si="94"/>
        <v>0</v>
      </c>
      <c r="W66" s="204">
        <f t="shared" si="94"/>
        <v>0</v>
      </c>
      <c r="X66" s="204">
        <f t="shared" si="94"/>
        <v>0</v>
      </c>
      <c r="Y66" s="204">
        <f t="shared" si="94"/>
        <v>308.53241160851735</v>
      </c>
      <c r="Z66" s="204">
        <f t="shared" si="94"/>
        <v>678.77130553873712</v>
      </c>
      <c r="AA66" s="204">
        <f t="shared" si="94"/>
        <v>1049.0101994689569</v>
      </c>
      <c r="AB66" s="204">
        <f t="shared" si="94"/>
        <v>1419.2490933991767</v>
      </c>
      <c r="AC66" s="204">
        <f t="shared" si="94"/>
        <v>1789.4879873293964</v>
      </c>
      <c r="AD66" s="204">
        <f t="shared" si="94"/>
        <v>2159.7268812596162</v>
      </c>
      <c r="AE66" s="204">
        <f t="shared" si="94"/>
        <v>2529.9657751898362</v>
      </c>
      <c r="AF66" s="204">
        <f t="shared" si="94"/>
        <v>2900.2046691200558</v>
      </c>
      <c r="AG66" s="204">
        <f t="shared" si="94"/>
        <v>3270.4435630502758</v>
      </c>
      <c r="AH66" s="204">
        <f t="shared" si="94"/>
        <v>3640.6824569804953</v>
      </c>
      <c r="AI66" s="204">
        <f t="shared" si="94"/>
        <v>4010.9213509107153</v>
      </c>
      <c r="AJ66" s="204">
        <f t="shared" si="94"/>
        <v>4381.1602448409349</v>
      </c>
      <c r="AK66" s="204">
        <f t="shared" si="94"/>
        <v>4751.3991387711549</v>
      </c>
      <c r="AL66" s="204">
        <f t="shared" si="94"/>
        <v>5121.6380327013749</v>
      </c>
      <c r="AM66" s="204">
        <f t="shared" si="94"/>
        <v>5491.876926631594</v>
      </c>
      <c r="AN66" s="204">
        <f t="shared" si="94"/>
        <v>5862.115820561814</v>
      </c>
      <c r="AO66" s="204">
        <f t="shared" si="94"/>
        <v>6232.354714492034</v>
      </c>
      <c r="AP66" s="204">
        <f t="shared" si="94"/>
        <v>6602.593608422254</v>
      </c>
      <c r="AQ66" s="204">
        <f t="shared" si="94"/>
        <v>6972.8325023524731</v>
      </c>
      <c r="AR66" s="204">
        <f t="shared" si="94"/>
        <v>7343.0713962826931</v>
      </c>
      <c r="AS66" s="204">
        <f t="shared" si="94"/>
        <v>7713.3102902129131</v>
      </c>
      <c r="AT66" s="204">
        <f t="shared" si="94"/>
        <v>8083.5491841431331</v>
      </c>
      <c r="AU66" s="204">
        <f t="shared" si="94"/>
        <v>8453.7880780733522</v>
      </c>
      <c r="AV66" s="204">
        <f t="shared" si="94"/>
        <v>8824.0269720035722</v>
      </c>
      <c r="AW66" s="204">
        <f t="shared" si="94"/>
        <v>9194.2658659337922</v>
      </c>
      <c r="AX66" s="204">
        <f t="shared" si="94"/>
        <v>9564.5047598640122</v>
      </c>
      <c r="AY66" s="204">
        <f t="shared" si="94"/>
        <v>9934.7436537942322</v>
      </c>
      <c r="AZ66" s="204">
        <f t="shared" si="94"/>
        <v>10304.982547724452</v>
      </c>
      <c r="BA66" s="204">
        <f t="shared" si="94"/>
        <v>10675.22144165467</v>
      </c>
      <c r="BB66" s="204">
        <f t="shared" si="94"/>
        <v>11045.46033558489</v>
      </c>
      <c r="BC66" s="204">
        <f t="shared" si="94"/>
        <v>11415.69922951511</v>
      </c>
      <c r="BD66" s="204">
        <f t="shared" si="94"/>
        <v>11785.93812344533</v>
      </c>
      <c r="BE66" s="204">
        <f t="shared" si="94"/>
        <v>12156.17701737555</v>
      </c>
      <c r="BF66" s="204">
        <f t="shared" si="94"/>
        <v>12526.41591130577</v>
      </c>
      <c r="BG66" s="204">
        <f t="shared" si="94"/>
        <v>12896.65480523599</v>
      </c>
      <c r="BH66" s="204">
        <f t="shared" si="94"/>
        <v>13934.861176150307</v>
      </c>
      <c r="BI66" s="204">
        <f t="shared" si="94"/>
        <v>15106.661042461441</v>
      </c>
      <c r="BJ66" s="204">
        <f t="shared" si="94"/>
        <v>16278.460908772575</v>
      </c>
      <c r="BK66" s="204">
        <f t="shared" si="94"/>
        <v>17450.260775083709</v>
      </c>
      <c r="BL66" s="204">
        <f t="shared" si="94"/>
        <v>18622.060641394841</v>
      </c>
      <c r="BM66" s="204">
        <f t="shared" si="94"/>
        <v>19793.860507705976</v>
      </c>
      <c r="BN66" s="204">
        <f t="shared" si="94"/>
        <v>20965.660374017112</v>
      </c>
      <c r="BO66" s="204">
        <f t="shared" si="94"/>
        <v>22137.460240328244</v>
      </c>
      <c r="BP66" s="204">
        <f t="shared" si="94"/>
        <v>23309.260106639376</v>
      </c>
      <c r="BQ66" s="204">
        <f t="shared" si="94"/>
        <v>24481.059972950512</v>
      </c>
      <c r="BR66" s="204">
        <f t="shared" ref="BR66:DA66" si="95">IF(BR$22&lt;=$E$24,IF(BR$22&lt;=$D$24,IF(BR$22&lt;=$C$24,IF(BR$22&lt;=$B$24,IF(BR10=0,0,IF($B32+($B$24-BR$22)*BR49&lt;0,0,$B32+($B$24-BR$22)*BR49)),$B32+(BR$22-$B$24)*BR49),$C32+(BR$22-$C$24)*BR49),$D32+(BR$22-$D$24)*BR49),IF($E32+(BR$22-$E$24)*BR49&lt;0,0,$E32+(BR$22-$E$24)*BR49))</f>
        <v>25652.859839261648</v>
      </c>
      <c r="BS66" s="204">
        <f t="shared" si="95"/>
        <v>26824.65970557278</v>
      </c>
      <c r="BT66" s="204">
        <f t="shared" si="95"/>
        <v>27996.459571883912</v>
      </c>
      <c r="BU66" s="204">
        <f t="shared" si="95"/>
        <v>29168.259438195048</v>
      </c>
      <c r="BV66" s="204">
        <f t="shared" si="95"/>
        <v>30340.059304506183</v>
      </c>
      <c r="BW66" s="204">
        <f t="shared" si="95"/>
        <v>31511.859170817319</v>
      </c>
      <c r="BX66" s="204">
        <f t="shared" si="95"/>
        <v>32683.659037128447</v>
      </c>
      <c r="BY66" s="204">
        <f t="shared" si="95"/>
        <v>33855.458903439583</v>
      </c>
      <c r="BZ66" s="204">
        <f t="shared" si="95"/>
        <v>35027.258769750719</v>
      </c>
      <c r="CA66" s="204">
        <f t="shared" si="95"/>
        <v>36199.058636061854</v>
      </c>
      <c r="CB66" s="204">
        <f t="shared" si="95"/>
        <v>37370.858502372983</v>
      </c>
      <c r="CC66" s="204">
        <f t="shared" si="95"/>
        <v>38542.658368684119</v>
      </c>
      <c r="CD66" s="204">
        <f t="shared" si="95"/>
        <v>39714.458234995254</v>
      </c>
      <c r="CE66" s="204">
        <f t="shared" si="95"/>
        <v>40886.25810130639</v>
      </c>
      <c r="CF66" s="204">
        <f t="shared" si="95"/>
        <v>42058.057967617518</v>
      </c>
      <c r="CG66" s="204">
        <f t="shared" si="95"/>
        <v>43229.857833928654</v>
      </c>
      <c r="CH66" s="204">
        <f t="shared" si="95"/>
        <v>44401.65770023979</v>
      </c>
      <c r="CI66" s="204">
        <f t="shared" si="95"/>
        <v>53899.677361306101</v>
      </c>
      <c r="CJ66" s="204">
        <f t="shared" si="95"/>
        <v>65062.940981323336</v>
      </c>
      <c r="CK66" s="204">
        <f t="shared" si="95"/>
        <v>76226.204601340578</v>
      </c>
      <c r="CL66" s="204">
        <f t="shared" si="95"/>
        <v>87389.468221357805</v>
      </c>
      <c r="CM66" s="204">
        <f t="shared" si="95"/>
        <v>98552.731841375033</v>
      </c>
      <c r="CN66" s="204">
        <f t="shared" si="95"/>
        <v>109715.99546139227</v>
      </c>
      <c r="CO66" s="204">
        <f t="shared" si="95"/>
        <v>120879.25908140952</v>
      </c>
      <c r="CP66" s="204">
        <f t="shared" si="95"/>
        <v>132042.52270142676</v>
      </c>
      <c r="CQ66" s="204">
        <f t="shared" si="95"/>
        <v>143205.78632144397</v>
      </c>
      <c r="CR66" s="204">
        <f t="shared" si="95"/>
        <v>154369.04994146121</v>
      </c>
      <c r="CS66" s="204">
        <f t="shared" si="95"/>
        <v>165532.31356147846</v>
      </c>
      <c r="CT66" s="204">
        <f t="shared" si="95"/>
        <v>176695.5771814957</v>
      </c>
      <c r="CU66" s="204">
        <f t="shared" si="95"/>
        <v>187858.84080151291</v>
      </c>
      <c r="CV66" s="204">
        <f t="shared" si="95"/>
        <v>199022.10442153015</v>
      </c>
      <c r="CW66" s="204">
        <f t="shared" si="95"/>
        <v>210185.36804154739</v>
      </c>
      <c r="CX66" s="204">
        <f t="shared" si="95"/>
        <v>214272.3286448835</v>
      </c>
      <c r="CY66" s="204">
        <f t="shared" si="95"/>
        <v>216944.02864488351</v>
      </c>
      <c r="CZ66" s="204">
        <f t="shared" si="95"/>
        <v>219615.72864488349</v>
      </c>
      <c r="DA66" s="204">
        <f t="shared" si="95"/>
        <v>222287.4286448835</v>
      </c>
    </row>
    <row r="67" spans="1:105" s="204" customFormat="1">
      <c r="A67" s="204" t="str">
        <f>Income!A81</f>
        <v>Self - employment</v>
      </c>
      <c r="F67" s="204">
        <f t="shared" ref="F67:BQ67" si="96">IF(F$22&lt;=$E$24,IF(F$22&lt;=$D$24,IF(F$22&lt;=$C$24,IF(F$22&lt;=$B$24,IF(F11=0,0,IF($B33+($B$24-F$22)*F50&lt;0,0,$B33+($B$24-F$22)*F50)),$B33+(F$22-$B$24)*F50),$C33+(F$22-$C$24)*F50),$D33+(F$22-$D$24)*F50),IF($E33+(F$22-$E$24)*F50&lt;0,0,$E33+(F$22-$E$24)*F50))</f>
        <v>1125.0213663288723</v>
      </c>
      <c r="G67" s="204">
        <f t="shared" si="96"/>
        <v>1125.0213663288723</v>
      </c>
      <c r="H67" s="204">
        <f t="shared" si="96"/>
        <v>1125.0213663288723</v>
      </c>
      <c r="I67" s="204">
        <f t="shared" si="96"/>
        <v>1125.0213663288723</v>
      </c>
      <c r="J67" s="204">
        <f t="shared" si="96"/>
        <v>1125.0213663288723</v>
      </c>
      <c r="K67" s="204">
        <f t="shared" si="96"/>
        <v>1125.0213663288723</v>
      </c>
      <c r="L67" s="204">
        <f t="shared" si="88"/>
        <v>1125.0213663288723</v>
      </c>
      <c r="M67" s="204">
        <f t="shared" si="96"/>
        <v>1125.0213663288723</v>
      </c>
      <c r="N67" s="204">
        <f t="shared" si="96"/>
        <v>1125.0213663288723</v>
      </c>
      <c r="O67" s="204">
        <f t="shared" si="96"/>
        <v>1125.0213663288723</v>
      </c>
      <c r="P67" s="204">
        <f t="shared" si="96"/>
        <v>1125.0213663288723</v>
      </c>
      <c r="Q67" s="204">
        <f t="shared" si="96"/>
        <v>1125.0213663288723</v>
      </c>
      <c r="R67" s="204">
        <f t="shared" si="96"/>
        <v>1125.0213663288723</v>
      </c>
      <c r="S67" s="204">
        <f t="shared" si="96"/>
        <v>1125.0213663288723</v>
      </c>
      <c r="T67" s="204">
        <f t="shared" si="96"/>
        <v>1125.0213663288723</v>
      </c>
      <c r="U67" s="204">
        <f t="shared" si="96"/>
        <v>1125.0213663288723</v>
      </c>
      <c r="V67" s="204">
        <f t="shared" si="96"/>
        <v>1125.0213663288723</v>
      </c>
      <c r="W67" s="204">
        <f t="shared" si="96"/>
        <v>1125.0213663288723</v>
      </c>
      <c r="X67" s="204">
        <f t="shared" si="96"/>
        <v>1125.0213663288723</v>
      </c>
      <c r="Y67" s="204">
        <f t="shared" si="96"/>
        <v>1246.7748005765061</v>
      </c>
      <c r="Z67" s="204">
        <f t="shared" si="96"/>
        <v>1392.8789216736664</v>
      </c>
      <c r="AA67" s="204">
        <f t="shared" si="96"/>
        <v>1538.9830427708266</v>
      </c>
      <c r="AB67" s="204">
        <f t="shared" si="96"/>
        <v>1685.0871638679869</v>
      </c>
      <c r="AC67" s="204">
        <f t="shared" si="96"/>
        <v>1831.1912849651471</v>
      </c>
      <c r="AD67" s="204">
        <f t="shared" si="96"/>
        <v>1977.2954060623074</v>
      </c>
      <c r="AE67" s="204">
        <f t="shared" si="96"/>
        <v>2123.3995271594677</v>
      </c>
      <c r="AF67" s="204">
        <f t="shared" si="96"/>
        <v>2269.5036482566284</v>
      </c>
      <c r="AG67" s="204">
        <f t="shared" si="96"/>
        <v>2415.6077693537882</v>
      </c>
      <c r="AH67" s="204">
        <f t="shared" si="96"/>
        <v>2561.7118904509489</v>
      </c>
      <c r="AI67" s="204">
        <f t="shared" si="96"/>
        <v>2707.8160115481087</v>
      </c>
      <c r="AJ67" s="204">
        <f t="shared" si="96"/>
        <v>2853.9201326452694</v>
      </c>
      <c r="AK67" s="204">
        <f t="shared" si="96"/>
        <v>3000.0242537424292</v>
      </c>
      <c r="AL67" s="204">
        <f t="shared" si="96"/>
        <v>3146.1283748395899</v>
      </c>
      <c r="AM67" s="204">
        <f t="shared" si="96"/>
        <v>3292.2324959367497</v>
      </c>
      <c r="AN67" s="204">
        <f t="shared" si="96"/>
        <v>3438.33661703391</v>
      </c>
      <c r="AO67" s="204">
        <f t="shared" si="96"/>
        <v>3584.4407381310702</v>
      </c>
      <c r="AP67" s="204">
        <f t="shared" si="96"/>
        <v>3730.5448592282305</v>
      </c>
      <c r="AQ67" s="204">
        <f t="shared" si="96"/>
        <v>3876.6489803253908</v>
      </c>
      <c r="AR67" s="204">
        <f t="shared" si="96"/>
        <v>4022.753101422551</v>
      </c>
      <c r="AS67" s="204">
        <f t="shared" si="96"/>
        <v>4168.8572225197113</v>
      </c>
      <c r="AT67" s="204">
        <f t="shared" si="96"/>
        <v>4314.9613436168711</v>
      </c>
      <c r="AU67" s="204">
        <f t="shared" si="96"/>
        <v>4461.0654647140318</v>
      </c>
      <c r="AV67" s="204">
        <f t="shared" si="96"/>
        <v>4607.1695858111925</v>
      </c>
      <c r="AW67" s="204">
        <f t="shared" si="96"/>
        <v>4753.2737069083523</v>
      </c>
      <c r="AX67" s="204">
        <f t="shared" si="96"/>
        <v>4899.3778280055121</v>
      </c>
      <c r="AY67" s="204">
        <f t="shared" si="96"/>
        <v>5045.4819491026728</v>
      </c>
      <c r="AZ67" s="204">
        <f t="shared" si="96"/>
        <v>5191.5860701998336</v>
      </c>
      <c r="BA67" s="204">
        <f t="shared" si="96"/>
        <v>5337.6901912969934</v>
      </c>
      <c r="BB67" s="204">
        <f t="shared" si="96"/>
        <v>5483.7943123941541</v>
      </c>
      <c r="BC67" s="204">
        <f t="shared" si="96"/>
        <v>5629.8984334913139</v>
      </c>
      <c r="BD67" s="204">
        <f t="shared" si="96"/>
        <v>5776.0025545884746</v>
      </c>
      <c r="BE67" s="204">
        <f t="shared" si="96"/>
        <v>5922.1066756856344</v>
      </c>
      <c r="BF67" s="204">
        <f t="shared" si="96"/>
        <v>6068.2107967827951</v>
      </c>
      <c r="BG67" s="204">
        <f t="shared" si="96"/>
        <v>6214.3149178799549</v>
      </c>
      <c r="BH67" s="204">
        <f t="shared" si="96"/>
        <v>6066.890790550412</v>
      </c>
      <c r="BI67" s="204">
        <f t="shared" si="96"/>
        <v>5860.7610135355308</v>
      </c>
      <c r="BJ67" s="204">
        <f t="shared" si="96"/>
        <v>5654.6312365206486</v>
      </c>
      <c r="BK67" s="204">
        <f t="shared" si="96"/>
        <v>5448.5014595057664</v>
      </c>
      <c r="BL67" s="204">
        <f t="shared" si="96"/>
        <v>5242.3716824908852</v>
      </c>
      <c r="BM67" s="204">
        <f t="shared" si="96"/>
        <v>5036.241905476003</v>
      </c>
      <c r="BN67" s="204">
        <f t="shared" si="96"/>
        <v>4830.1121284611208</v>
      </c>
      <c r="BO67" s="204">
        <f t="shared" si="96"/>
        <v>4623.9823514462396</v>
      </c>
      <c r="BP67" s="204">
        <f t="shared" si="96"/>
        <v>4417.8525744313574</v>
      </c>
      <c r="BQ67" s="204">
        <f t="shared" si="96"/>
        <v>4211.7227974164753</v>
      </c>
      <c r="BR67" s="204">
        <f t="shared" ref="BR67:DA67" si="97">IF(BR$22&lt;=$E$24,IF(BR$22&lt;=$D$24,IF(BR$22&lt;=$C$24,IF(BR$22&lt;=$B$24,IF(BR11=0,0,IF($B33+($B$24-BR$22)*BR50&lt;0,0,$B33+($B$24-BR$22)*BR50)),$B33+(BR$22-$B$24)*BR50),$C33+(BR$22-$C$24)*BR50),$D33+(BR$22-$D$24)*BR50),IF($E33+(BR$22-$E$24)*BR50&lt;0,0,$E33+(BR$22-$E$24)*BR50))</f>
        <v>4005.5930204015935</v>
      </c>
      <c r="BS67" s="204">
        <f t="shared" si="97"/>
        <v>3799.4632433867118</v>
      </c>
      <c r="BT67" s="204">
        <f t="shared" si="97"/>
        <v>3593.3334663718301</v>
      </c>
      <c r="BU67" s="204">
        <f t="shared" si="97"/>
        <v>3387.203689356948</v>
      </c>
      <c r="BV67" s="204">
        <f t="shared" si="97"/>
        <v>3181.0739123420663</v>
      </c>
      <c r="BW67" s="204">
        <f t="shared" si="97"/>
        <v>2974.9441353271845</v>
      </c>
      <c r="BX67" s="204">
        <f t="shared" si="97"/>
        <v>2768.8143583123024</v>
      </c>
      <c r="BY67" s="204">
        <f t="shared" si="97"/>
        <v>2562.6845812974207</v>
      </c>
      <c r="BZ67" s="204">
        <f t="shared" si="97"/>
        <v>2356.554804282539</v>
      </c>
      <c r="CA67" s="204">
        <f t="shared" si="97"/>
        <v>2150.4250272676572</v>
      </c>
      <c r="CB67" s="204">
        <f t="shared" si="97"/>
        <v>1944.2952502527751</v>
      </c>
      <c r="CC67" s="204">
        <f t="shared" si="97"/>
        <v>1738.1654732378929</v>
      </c>
      <c r="CD67" s="204">
        <f t="shared" si="97"/>
        <v>1532.0356962230117</v>
      </c>
      <c r="CE67" s="204">
        <f t="shared" si="97"/>
        <v>1325.9059192081295</v>
      </c>
      <c r="CF67" s="204">
        <f t="shared" si="97"/>
        <v>1119.7761421932473</v>
      </c>
      <c r="CG67" s="204">
        <f t="shared" si="97"/>
        <v>913.64636517836607</v>
      </c>
      <c r="CH67" s="204">
        <f t="shared" si="97"/>
        <v>707.5165881634839</v>
      </c>
      <c r="CI67" s="204">
        <f t="shared" si="97"/>
        <v>635.76375725391244</v>
      </c>
      <c r="CJ67" s="204">
        <f t="shared" si="97"/>
        <v>590.88631556540099</v>
      </c>
      <c r="CK67" s="204">
        <f t="shared" si="97"/>
        <v>546.00887387688954</v>
      </c>
      <c r="CL67" s="204">
        <f t="shared" si="97"/>
        <v>501.13143218837797</v>
      </c>
      <c r="CM67" s="204">
        <f t="shared" si="97"/>
        <v>456.25399049986652</v>
      </c>
      <c r="CN67" s="204">
        <f t="shared" si="97"/>
        <v>411.37654881135501</v>
      </c>
      <c r="CO67" s="204">
        <f t="shared" si="97"/>
        <v>366.4991071228435</v>
      </c>
      <c r="CP67" s="204">
        <f t="shared" si="97"/>
        <v>321.62166543433199</v>
      </c>
      <c r="CQ67" s="204">
        <f t="shared" si="97"/>
        <v>276.74422374582053</v>
      </c>
      <c r="CR67" s="204">
        <f t="shared" si="97"/>
        <v>231.86678205730902</v>
      </c>
      <c r="CS67" s="204">
        <f t="shared" si="97"/>
        <v>186.98934036879751</v>
      </c>
      <c r="CT67" s="204">
        <f t="shared" si="97"/>
        <v>142.111898680286</v>
      </c>
      <c r="CU67" s="204">
        <f t="shared" si="97"/>
        <v>97.23445699177455</v>
      </c>
      <c r="CV67" s="204">
        <f t="shared" si="97"/>
        <v>52.357015303262983</v>
      </c>
      <c r="CW67" s="204">
        <f t="shared" si="97"/>
        <v>7.4795736147515299</v>
      </c>
      <c r="CX67" s="204">
        <f t="shared" si="97"/>
        <v>691.27500000000782</v>
      </c>
      <c r="CY67" s="204">
        <f t="shared" si="97"/>
        <v>1520.8050000000078</v>
      </c>
      <c r="CZ67" s="204">
        <f t="shared" si="97"/>
        <v>2350.3350000000078</v>
      </c>
      <c r="DA67" s="204">
        <f t="shared" si="97"/>
        <v>3179.865000000008</v>
      </c>
    </row>
    <row r="68" spans="1:105" s="204" customFormat="1">
      <c r="A68" s="204" t="str">
        <f>Income!A82</f>
        <v>Small business/petty trading</v>
      </c>
      <c r="F68" s="204">
        <f t="shared" ref="F68:BQ68" si="98">IF(F$22&lt;=$E$24,IF(F$22&lt;=$D$24,IF(F$22&lt;=$C$24,IF(F$22&lt;=$B$24,IF(F12=0,0,IF($B34+($B$24-F$22)*F51&lt;0,0,$B34+($B$24-F$22)*F51)),$B34+(F$22-$B$24)*F51),$C34+(F$22-$C$24)*F51),$D34+(F$22-$D$24)*F51),IF($E34+(F$22-$E$24)*F51&lt;0,0,$E34+(F$22-$E$24)*F51))</f>
        <v>0</v>
      </c>
      <c r="G68" s="204">
        <f t="shared" si="98"/>
        <v>0</v>
      </c>
      <c r="H68" s="204">
        <f t="shared" si="98"/>
        <v>0</v>
      </c>
      <c r="I68" s="204">
        <f t="shared" si="98"/>
        <v>0</v>
      </c>
      <c r="J68" s="204">
        <f t="shared" si="98"/>
        <v>0</v>
      </c>
      <c r="K68" s="204">
        <f t="shared" si="98"/>
        <v>0</v>
      </c>
      <c r="L68" s="204">
        <f t="shared" si="88"/>
        <v>0</v>
      </c>
      <c r="M68" s="204">
        <f t="shared" si="98"/>
        <v>0</v>
      </c>
      <c r="N68" s="204">
        <f t="shared" si="98"/>
        <v>0</v>
      </c>
      <c r="O68" s="204">
        <f t="shared" si="98"/>
        <v>0</v>
      </c>
      <c r="P68" s="204">
        <f t="shared" si="98"/>
        <v>0</v>
      </c>
      <c r="Q68" s="204">
        <f t="shared" si="98"/>
        <v>0</v>
      </c>
      <c r="R68" s="204">
        <f t="shared" si="98"/>
        <v>0</v>
      </c>
      <c r="S68" s="204">
        <f t="shared" si="98"/>
        <v>0</v>
      </c>
      <c r="T68" s="204">
        <f t="shared" si="98"/>
        <v>0</v>
      </c>
      <c r="U68" s="204">
        <f t="shared" si="98"/>
        <v>0</v>
      </c>
      <c r="V68" s="204">
        <f t="shared" si="98"/>
        <v>0</v>
      </c>
      <c r="W68" s="204">
        <f t="shared" si="98"/>
        <v>0</v>
      </c>
      <c r="X68" s="204">
        <f t="shared" si="98"/>
        <v>0</v>
      </c>
      <c r="Y68" s="204">
        <f t="shared" si="98"/>
        <v>33.658081266383718</v>
      </c>
      <c r="Z68" s="204">
        <f t="shared" si="98"/>
        <v>74.047778786044063</v>
      </c>
      <c r="AA68" s="204">
        <f t="shared" si="98"/>
        <v>114.43747630570441</v>
      </c>
      <c r="AB68" s="204">
        <f t="shared" si="98"/>
        <v>154.82717382536475</v>
      </c>
      <c r="AC68" s="204">
        <f t="shared" si="98"/>
        <v>195.21687134502508</v>
      </c>
      <c r="AD68" s="204">
        <f t="shared" si="98"/>
        <v>235.60656886468544</v>
      </c>
      <c r="AE68" s="204">
        <f t="shared" si="98"/>
        <v>275.9962663843458</v>
      </c>
      <c r="AF68" s="204">
        <f t="shared" si="98"/>
        <v>316.38596390400613</v>
      </c>
      <c r="AG68" s="204">
        <f t="shared" si="98"/>
        <v>356.77566142366646</v>
      </c>
      <c r="AH68" s="204">
        <f t="shared" si="98"/>
        <v>397.16535894332679</v>
      </c>
      <c r="AI68" s="204">
        <f t="shared" si="98"/>
        <v>437.55505646298718</v>
      </c>
      <c r="AJ68" s="204">
        <f t="shared" si="98"/>
        <v>477.94475398264751</v>
      </c>
      <c r="AK68" s="204">
        <f t="shared" si="98"/>
        <v>518.33445150230784</v>
      </c>
      <c r="AL68" s="204">
        <f t="shared" si="98"/>
        <v>558.72414902196817</v>
      </c>
      <c r="AM68" s="204">
        <f t="shared" si="98"/>
        <v>599.1138465416285</v>
      </c>
      <c r="AN68" s="204">
        <f t="shared" si="98"/>
        <v>639.50354406128884</v>
      </c>
      <c r="AO68" s="204">
        <f t="shared" si="98"/>
        <v>679.89324158094928</v>
      </c>
      <c r="AP68" s="204">
        <f t="shared" si="98"/>
        <v>720.28293910060961</v>
      </c>
      <c r="AQ68" s="204">
        <f t="shared" si="98"/>
        <v>760.67263662026994</v>
      </c>
      <c r="AR68" s="204">
        <f t="shared" si="98"/>
        <v>801.06233413993027</v>
      </c>
      <c r="AS68" s="204">
        <f t="shared" si="98"/>
        <v>841.4520316595906</v>
      </c>
      <c r="AT68" s="204">
        <f t="shared" si="98"/>
        <v>881.84172917925093</v>
      </c>
      <c r="AU68" s="204">
        <f t="shared" si="98"/>
        <v>922.23142669891126</v>
      </c>
      <c r="AV68" s="204">
        <f t="shared" si="98"/>
        <v>962.62112421857159</v>
      </c>
      <c r="AW68" s="204">
        <f t="shared" si="98"/>
        <v>1003.010821738232</v>
      </c>
      <c r="AX68" s="204">
        <f t="shared" si="98"/>
        <v>1043.4005192578923</v>
      </c>
      <c r="AY68" s="204">
        <f t="shared" si="98"/>
        <v>1083.7902167775526</v>
      </c>
      <c r="AZ68" s="204">
        <f t="shared" si="98"/>
        <v>1124.1799142972129</v>
      </c>
      <c r="BA68" s="204">
        <f t="shared" si="98"/>
        <v>1164.5696118168735</v>
      </c>
      <c r="BB68" s="204">
        <f t="shared" si="98"/>
        <v>1204.9593093365338</v>
      </c>
      <c r="BC68" s="204">
        <f t="shared" si="98"/>
        <v>1245.3490068561941</v>
      </c>
      <c r="BD68" s="204">
        <f t="shared" si="98"/>
        <v>1285.7387043758545</v>
      </c>
      <c r="BE68" s="204">
        <f t="shared" si="98"/>
        <v>1326.1284018955148</v>
      </c>
      <c r="BF68" s="204">
        <f t="shared" si="98"/>
        <v>1366.5180994151751</v>
      </c>
      <c r="BG68" s="204">
        <f t="shared" si="98"/>
        <v>1406.9077969348355</v>
      </c>
      <c r="BH68" s="204">
        <f t="shared" si="98"/>
        <v>3232.9764396652736</v>
      </c>
      <c r="BI68" s="204">
        <f t="shared" si="98"/>
        <v>5416.1808714378612</v>
      </c>
      <c r="BJ68" s="204">
        <f t="shared" si="98"/>
        <v>7599.3853032104489</v>
      </c>
      <c r="BK68" s="204">
        <f t="shared" si="98"/>
        <v>9782.5897349830357</v>
      </c>
      <c r="BL68" s="204">
        <f t="shared" si="98"/>
        <v>11965.794166755624</v>
      </c>
      <c r="BM68" s="204">
        <f t="shared" si="98"/>
        <v>14148.998598528211</v>
      </c>
      <c r="BN68" s="204">
        <f t="shared" si="98"/>
        <v>16332.2030303008</v>
      </c>
      <c r="BO68" s="204">
        <f t="shared" si="98"/>
        <v>18515.407462073388</v>
      </c>
      <c r="BP68" s="204">
        <f t="shared" si="98"/>
        <v>20698.611893845977</v>
      </c>
      <c r="BQ68" s="204">
        <f t="shared" si="98"/>
        <v>22881.816325618565</v>
      </c>
      <c r="BR68" s="204">
        <f t="shared" ref="BR68:DA68" si="99">IF(BR$22&lt;=$E$24,IF(BR$22&lt;=$D$24,IF(BR$22&lt;=$C$24,IF(BR$22&lt;=$B$24,IF(BR12=0,0,IF($B34+($B$24-BR$22)*BR51&lt;0,0,$B34+($B$24-BR$22)*BR51)),$B34+(BR$22-$B$24)*BR51),$C34+(BR$22-$C$24)*BR51),$D34+(BR$22-$D$24)*BR51),IF($E34+(BR$22-$E$24)*BR51&lt;0,0,$E34+(BR$22-$E$24)*BR51))</f>
        <v>25065.02075739115</v>
      </c>
      <c r="BS68" s="204">
        <f t="shared" si="99"/>
        <v>27248.225189163739</v>
      </c>
      <c r="BT68" s="204">
        <f t="shared" si="99"/>
        <v>29431.429620936327</v>
      </c>
      <c r="BU68" s="204">
        <f t="shared" si="99"/>
        <v>31614.634052708916</v>
      </c>
      <c r="BV68" s="204">
        <f t="shared" si="99"/>
        <v>33797.838484481501</v>
      </c>
      <c r="BW68" s="204">
        <f t="shared" si="99"/>
        <v>35981.04291625409</v>
      </c>
      <c r="BX68" s="204">
        <f t="shared" si="99"/>
        <v>38164.247348026671</v>
      </c>
      <c r="BY68" s="204">
        <f t="shared" si="99"/>
        <v>40347.451779799259</v>
      </c>
      <c r="BZ68" s="204">
        <f t="shared" si="99"/>
        <v>42530.656211571848</v>
      </c>
      <c r="CA68" s="204">
        <f t="shared" si="99"/>
        <v>44713.860643344437</v>
      </c>
      <c r="CB68" s="204">
        <f t="shared" si="99"/>
        <v>46897.065075117025</v>
      </c>
      <c r="CC68" s="204">
        <f t="shared" si="99"/>
        <v>49080.269506889614</v>
      </c>
      <c r="CD68" s="204">
        <f t="shared" si="99"/>
        <v>51263.473938662202</v>
      </c>
      <c r="CE68" s="204">
        <f t="shared" si="99"/>
        <v>53446.678370434791</v>
      </c>
      <c r="CF68" s="204">
        <f t="shared" si="99"/>
        <v>55629.882802207372</v>
      </c>
      <c r="CG68" s="204">
        <f t="shared" si="99"/>
        <v>57813.087233979961</v>
      </c>
      <c r="CH68" s="204">
        <f t="shared" si="99"/>
        <v>59996.291665752549</v>
      </c>
      <c r="CI68" s="204">
        <f t="shared" si="99"/>
        <v>60152.3515841181</v>
      </c>
      <c r="CJ68" s="204">
        <f t="shared" si="99"/>
        <v>59902.982599802272</v>
      </c>
      <c r="CK68" s="204">
        <f t="shared" si="99"/>
        <v>59653.613615486443</v>
      </c>
      <c r="CL68" s="204">
        <f t="shared" si="99"/>
        <v>59404.244631170615</v>
      </c>
      <c r="CM68" s="204">
        <f t="shared" si="99"/>
        <v>59154.875646854787</v>
      </c>
      <c r="CN68" s="204">
        <f t="shared" si="99"/>
        <v>58905.506662538959</v>
      </c>
      <c r="CO68" s="204">
        <f t="shared" si="99"/>
        <v>58656.137678223131</v>
      </c>
      <c r="CP68" s="204">
        <f t="shared" si="99"/>
        <v>58406.768693907303</v>
      </c>
      <c r="CQ68" s="204">
        <f t="shared" si="99"/>
        <v>58157.399709591475</v>
      </c>
      <c r="CR68" s="204">
        <f t="shared" si="99"/>
        <v>57908.030725275647</v>
      </c>
      <c r="CS68" s="204">
        <f t="shared" si="99"/>
        <v>57658.661740959818</v>
      </c>
      <c r="CT68" s="204">
        <f t="shared" si="99"/>
        <v>57409.29275664399</v>
      </c>
      <c r="CU68" s="204">
        <f t="shared" si="99"/>
        <v>57159.923772328162</v>
      </c>
      <c r="CV68" s="204">
        <f t="shared" si="99"/>
        <v>56910.554788012334</v>
      </c>
      <c r="CW68" s="204">
        <f t="shared" si="99"/>
        <v>56661.185803696506</v>
      </c>
      <c r="CX68" s="204">
        <f t="shared" si="99"/>
        <v>61789.20763964393</v>
      </c>
      <c r="CY68" s="204">
        <f t="shared" si="99"/>
        <v>67992.707639643922</v>
      </c>
      <c r="CZ68" s="204">
        <f t="shared" si="99"/>
        <v>74196.207639643922</v>
      </c>
      <c r="DA68" s="204">
        <f t="shared" si="99"/>
        <v>80399.707639643922</v>
      </c>
    </row>
    <row r="69" spans="1:105" s="204" customFormat="1">
      <c r="A69" s="204" t="str">
        <f>Income!A83</f>
        <v>Food transfer - official</v>
      </c>
      <c r="F69" s="204">
        <f t="shared" ref="F69:BQ70" si="100">IF(F$22&lt;=$E$24,IF(F$22&lt;=$D$24,IF(F$22&lt;=$C$24,IF(F$22&lt;=$B$24,IF(F13=0,0,IF($B35+($B$24-F$22)*F52&lt;0,0,$B35+($B$24-F$22)*F52)),$B35+(F$22-$B$24)*F52),$C35+(F$22-$C$24)*F52),$D35+(F$22-$D$24)*F52),IF($E35+(F$22-$E$24)*F52&lt;0,0,$E35+(F$22-$E$24)*F52))</f>
        <v>1674.9399602351389</v>
      </c>
      <c r="G69" s="204">
        <f t="shared" si="100"/>
        <v>1674.9399602351389</v>
      </c>
      <c r="H69" s="204">
        <f t="shared" si="100"/>
        <v>1674.9399602351389</v>
      </c>
      <c r="I69" s="204">
        <f t="shared" si="100"/>
        <v>1674.9399602351389</v>
      </c>
      <c r="J69" s="204">
        <f t="shared" si="100"/>
        <v>1674.9399602351389</v>
      </c>
      <c r="K69" s="204">
        <f t="shared" si="100"/>
        <v>1674.9399602351389</v>
      </c>
      <c r="L69" s="204">
        <f t="shared" si="88"/>
        <v>1674.9399602351389</v>
      </c>
      <c r="M69" s="204">
        <f t="shared" si="100"/>
        <v>1674.9399602351389</v>
      </c>
      <c r="N69" s="204">
        <f t="shared" si="100"/>
        <v>1674.9399602351389</v>
      </c>
      <c r="O69" s="204">
        <f t="shared" si="100"/>
        <v>1674.9399602351389</v>
      </c>
      <c r="P69" s="204">
        <f t="shared" si="100"/>
        <v>1674.9399602351389</v>
      </c>
      <c r="Q69" s="204">
        <f t="shared" si="100"/>
        <v>1674.9399602351389</v>
      </c>
      <c r="R69" s="204">
        <f t="shared" si="100"/>
        <v>1674.9399602351389</v>
      </c>
      <c r="S69" s="204">
        <f t="shared" si="100"/>
        <v>1674.9399602351389</v>
      </c>
      <c r="T69" s="204">
        <f t="shared" si="100"/>
        <v>1674.9399602351389</v>
      </c>
      <c r="U69" s="204">
        <f t="shared" si="100"/>
        <v>1674.9399602351389</v>
      </c>
      <c r="V69" s="204">
        <f t="shared" si="100"/>
        <v>1674.9399602351389</v>
      </c>
      <c r="W69" s="204">
        <f t="shared" si="100"/>
        <v>1674.9399602351389</v>
      </c>
      <c r="X69" s="204">
        <f t="shared" si="100"/>
        <v>1674.9399602351389</v>
      </c>
      <c r="Y69" s="204">
        <f t="shared" si="100"/>
        <v>1672.6235167492882</v>
      </c>
      <c r="Z69" s="204">
        <f t="shared" si="100"/>
        <v>1669.8437845662675</v>
      </c>
      <c r="AA69" s="204">
        <f t="shared" si="100"/>
        <v>1667.0640523832467</v>
      </c>
      <c r="AB69" s="204">
        <f t="shared" si="100"/>
        <v>1664.2843202002257</v>
      </c>
      <c r="AC69" s="204">
        <f t="shared" si="100"/>
        <v>1661.5045880172049</v>
      </c>
      <c r="AD69" s="204">
        <f t="shared" si="100"/>
        <v>1658.7248558341842</v>
      </c>
      <c r="AE69" s="204">
        <f t="shared" si="100"/>
        <v>1655.9451236511634</v>
      </c>
      <c r="AF69" s="204">
        <f t="shared" si="100"/>
        <v>1653.1653914681426</v>
      </c>
      <c r="AG69" s="204">
        <f t="shared" si="100"/>
        <v>1650.3856592851218</v>
      </c>
      <c r="AH69" s="204">
        <f t="shared" si="100"/>
        <v>1647.6059271021011</v>
      </c>
      <c r="AI69" s="204">
        <f t="shared" si="100"/>
        <v>1644.8261949190801</v>
      </c>
      <c r="AJ69" s="204">
        <f t="shared" si="100"/>
        <v>1642.0464627360593</v>
      </c>
      <c r="AK69" s="204">
        <f t="shared" si="100"/>
        <v>1639.2667305530385</v>
      </c>
      <c r="AL69" s="204">
        <f t="shared" si="100"/>
        <v>1636.4869983700178</v>
      </c>
      <c r="AM69" s="204">
        <f t="shared" si="100"/>
        <v>1633.707266186997</v>
      </c>
      <c r="AN69" s="204">
        <f t="shared" si="100"/>
        <v>1630.9275340039762</v>
      </c>
      <c r="AO69" s="204">
        <f t="shared" si="100"/>
        <v>1628.1478018209555</v>
      </c>
      <c r="AP69" s="204">
        <f t="shared" si="100"/>
        <v>1625.3680696379345</v>
      </c>
      <c r="AQ69" s="204">
        <f t="shared" si="100"/>
        <v>1622.5883374549137</v>
      </c>
      <c r="AR69" s="204">
        <f t="shared" si="100"/>
        <v>1619.8086052718929</v>
      </c>
      <c r="AS69" s="204">
        <f t="shared" si="100"/>
        <v>1617.0288730888722</v>
      </c>
      <c r="AT69" s="204">
        <f t="shared" si="100"/>
        <v>1614.2491409058514</v>
      </c>
      <c r="AU69" s="204">
        <f t="shared" si="100"/>
        <v>1611.4694087228306</v>
      </c>
      <c r="AV69" s="204">
        <f t="shared" si="100"/>
        <v>1608.6896765398099</v>
      </c>
      <c r="AW69" s="204">
        <f t="shared" si="100"/>
        <v>1605.9099443567889</v>
      </c>
      <c r="AX69" s="204">
        <f t="shared" si="100"/>
        <v>1603.1302121737681</v>
      </c>
      <c r="AY69" s="204">
        <f t="shared" si="100"/>
        <v>1600.3504799907473</v>
      </c>
      <c r="AZ69" s="204">
        <f t="shared" si="100"/>
        <v>1597.5707478077265</v>
      </c>
      <c r="BA69" s="204">
        <f t="shared" si="100"/>
        <v>1594.7910156247058</v>
      </c>
      <c r="BB69" s="204">
        <f t="shared" si="100"/>
        <v>1592.011283441685</v>
      </c>
      <c r="BC69" s="204">
        <f t="shared" si="100"/>
        <v>1589.2315512586642</v>
      </c>
      <c r="BD69" s="204">
        <f t="shared" si="100"/>
        <v>1586.4518190756432</v>
      </c>
      <c r="BE69" s="204">
        <f t="shared" si="100"/>
        <v>1583.6720868926225</v>
      </c>
      <c r="BF69" s="204">
        <f t="shared" si="100"/>
        <v>1580.8923547096017</v>
      </c>
      <c r="BG69" s="204">
        <f t="shared" si="100"/>
        <v>1578.1126225265809</v>
      </c>
      <c r="BH69" s="204">
        <f t="shared" si="100"/>
        <v>1549.5692508264813</v>
      </c>
      <c r="BI69" s="204">
        <f t="shared" si="100"/>
        <v>1515.8731512229656</v>
      </c>
      <c r="BJ69" s="204">
        <f t="shared" si="100"/>
        <v>1482.1770516194501</v>
      </c>
      <c r="BK69" s="204">
        <f t="shared" si="100"/>
        <v>1448.4809520159347</v>
      </c>
      <c r="BL69" s="204">
        <f t="shared" si="100"/>
        <v>1414.7848524124192</v>
      </c>
      <c r="BM69" s="204">
        <f t="shared" si="100"/>
        <v>1381.0887528089038</v>
      </c>
      <c r="BN69" s="204">
        <f t="shared" si="100"/>
        <v>1347.3926532053883</v>
      </c>
      <c r="BO69" s="204">
        <f t="shared" si="100"/>
        <v>1313.6965536018729</v>
      </c>
      <c r="BP69" s="204">
        <f t="shared" si="100"/>
        <v>1280.0004539983572</v>
      </c>
      <c r="BQ69" s="204">
        <f t="shared" si="100"/>
        <v>1246.3043543948418</v>
      </c>
      <c r="BR69" s="204">
        <f t="shared" ref="BR69:DA69" si="101">IF(BR$22&lt;=$E$24,IF(BR$22&lt;=$D$24,IF(BR$22&lt;=$C$24,IF(BR$22&lt;=$B$24,IF(BR13=0,0,IF($B35+($B$24-BR$22)*BR52&lt;0,0,$B35+($B$24-BR$22)*BR52)),$B35+(BR$22-$B$24)*BR52),$C35+(BR$22-$C$24)*BR52),$D35+(BR$22-$D$24)*BR52),IF($E35+(BR$22-$E$24)*BR52&lt;0,0,$E35+(BR$22-$E$24)*BR52))</f>
        <v>1212.6082547913263</v>
      </c>
      <c r="BS69" s="204">
        <f t="shared" si="101"/>
        <v>1178.9121551878109</v>
      </c>
      <c r="BT69" s="204">
        <f t="shared" si="101"/>
        <v>1145.2160555842954</v>
      </c>
      <c r="BU69" s="204">
        <f t="shared" si="101"/>
        <v>1111.5199559807797</v>
      </c>
      <c r="BV69" s="204">
        <f t="shared" si="101"/>
        <v>1077.8238563772643</v>
      </c>
      <c r="BW69" s="204">
        <f t="shared" si="101"/>
        <v>1044.1277567737488</v>
      </c>
      <c r="BX69" s="204">
        <f t="shared" si="101"/>
        <v>1010.4316571702334</v>
      </c>
      <c r="BY69" s="204">
        <f t="shared" si="101"/>
        <v>976.73555756671794</v>
      </c>
      <c r="BZ69" s="204">
        <f t="shared" si="101"/>
        <v>943.03945796320238</v>
      </c>
      <c r="CA69" s="204">
        <f t="shared" si="101"/>
        <v>909.34335835968693</v>
      </c>
      <c r="CB69" s="204">
        <f t="shared" si="101"/>
        <v>875.64725875617148</v>
      </c>
      <c r="CC69" s="204">
        <f t="shared" si="101"/>
        <v>841.95115915265592</v>
      </c>
      <c r="CD69" s="204">
        <f t="shared" si="101"/>
        <v>808.25505954914047</v>
      </c>
      <c r="CE69" s="204">
        <f t="shared" si="101"/>
        <v>774.55895994562502</v>
      </c>
      <c r="CF69" s="204">
        <f t="shared" si="101"/>
        <v>740.86286034210957</v>
      </c>
      <c r="CG69" s="204">
        <f t="shared" si="101"/>
        <v>707.16676073859401</v>
      </c>
      <c r="CH69" s="204">
        <f t="shared" si="101"/>
        <v>673.47066113507856</v>
      </c>
      <c r="CI69" s="204">
        <f t="shared" si="101"/>
        <v>667.85464453449299</v>
      </c>
      <c r="CJ69" s="204">
        <f t="shared" si="101"/>
        <v>667.85464453449299</v>
      </c>
      <c r="CK69" s="204">
        <f t="shared" si="101"/>
        <v>667.85464453449299</v>
      </c>
      <c r="CL69" s="204">
        <f t="shared" si="101"/>
        <v>667.85464453449299</v>
      </c>
      <c r="CM69" s="204">
        <f t="shared" si="101"/>
        <v>667.85464453449299</v>
      </c>
      <c r="CN69" s="204">
        <f t="shared" si="101"/>
        <v>667.85464453449299</v>
      </c>
      <c r="CO69" s="204">
        <f t="shared" si="101"/>
        <v>667.85464453449299</v>
      </c>
      <c r="CP69" s="204">
        <f t="shared" si="101"/>
        <v>667.85464453449299</v>
      </c>
      <c r="CQ69" s="204">
        <f t="shared" si="101"/>
        <v>667.85464453449299</v>
      </c>
      <c r="CR69" s="204">
        <f t="shared" si="101"/>
        <v>667.85464453449299</v>
      </c>
      <c r="CS69" s="204">
        <f t="shared" si="101"/>
        <v>667.85464453449299</v>
      </c>
      <c r="CT69" s="204">
        <f t="shared" si="101"/>
        <v>667.85464453449299</v>
      </c>
      <c r="CU69" s="204">
        <f t="shared" si="101"/>
        <v>667.85464453449299</v>
      </c>
      <c r="CV69" s="204">
        <f t="shared" si="101"/>
        <v>667.85464453449299</v>
      </c>
      <c r="CW69" s="204">
        <f t="shared" si="101"/>
        <v>667.85464453449299</v>
      </c>
      <c r="CX69" s="204">
        <f t="shared" si="101"/>
        <v>680.12964453449308</v>
      </c>
      <c r="CY69" s="204">
        <f t="shared" si="101"/>
        <v>694.8596445344931</v>
      </c>
      <c r="CZ69" s="204">
        <f t="shared" si="101"/>
        <v>709.58964453449312</v>
      </c>
      <c r="DA69" s="204">
        <f t="shared" si="101"/>
        <v>724.31964453449314</v>
      </c>
    </row>
    <row r="70" spans="1:105" s="204" customFormat="1">
      <c r="A70" s="204" t="str">
        <f>Income!A85</f>
        <v>Cash transfer - official</v>
      </c>
      <c r="F70" s="204">
        <f t="shared" si="100"/>
        <v>31983.591723381032</v>
      </c>
      <c r="G70" s="204">
        <f t="shared" si="100"/>
        <v>31983.591723381032</v>
      </c>
      <c r="H70" s="204">
        <f t="shared" si="100"/>
        <v>31983.591723381032</v>
      </c>
      <c r="I70" s="204">
        <f t="shared" si="100"/>
        <v>31983.591723381032</v>
      </c>
      <c r="J70" s="204">
        <f t="shared" si="100"/>
        <v>31983.591723381032</v>
      </c>
      <c r="K70" s="204">
        <f t="shared" si="100"/>
        <v>31983.591723381032</v>
      </c>
      <c r="L70" s="204">
        <f t="shared" si="100"/>
        <v>31983.591723381032</v>
      </c>
      <c r="M70" s="204">
        <f t="shared" si="100"/>
        <v>31983.591723381032</v>
      </c>
      <c r="N70" s="204">
        <f t="shared" si="100"/>
        <v>31983.591723381032</v>
      </c>
      <c r="O70" s="204">
        <f t="shared" si="100"/>
        <v>31983.591723381032</v>
      </c>
      <c r="P70" s="204">
        <f t="shared" si="100"/>
        <v>31983.591723381032</v>
      </c>
      <c r="Q70" s="204">
        <f t="shared" si="100"/>
        <v>31983.591723381032</v>
      </c>
      <c r="R70" s="204">
        <f t="shared" si="100"/>
        <v>31983.591723381032</v>
      </c>
      <c r="S70" s="204">
        <f t="shared" si="100"/>
        <v>31983.591723381032</v>
      </c>
      <c r="T70" s="204">
        <f t="shared" si="100"/>
        <v>31983.591723381032</v>
      </c>
      <c r="U70" s="204">
        <f t="shared" si="100"/>
        <v>31983.591723381032</v>
      </c>
      <c r="V70" s="204">
        <f t="shared" si="100"/>
        <v>31983.591723381032</v>
      </c>
      <c r="W70" s="204">
        <f t="shared" si="100"/>
        <v>31983.591723381032</v>
      </c>
      <c r="X70" s="204">
        <f t="shared" si="100"/>
        <v>31983.591723381032</v>
      </c>
      <c r="Y70" s="204">
        <f t="shared" si="100"/>
        <v>31983.591723381032</v>
      </c>
      <c r="Z70" s="204">
        <f t="shared" si="100"/>
        <v>31983.591723381032</v>
      </c>
      <c r="AA70" s="204">
        <f t="shared" si="100"/>
        <v>31983.591723381032</v>
      </c>
      <c r="AB70" s="204">
        <f t="shared" si="100"/>
        <v>31983.591723381032</v>
      </c>
      <c r="AC70" s="204">
        <f t="shared" si="100"/>
        <v>31983.591723381032</v>
      </c>
      <c r="AD70" s="204">
        <f t="shared" si="100"/>
        <v>31983.591723381032</v>
      </c>
      <c r="AE70" s="204">
        <f t="shared" si="100"/>
        <v>31983.591723381032</v>
      </c>
      <c r="AF70" s="204">
        <f t="shared" si="100"/>
        <v>31983.591723381032</v>
      </c>
      <c r="AG70" s="204">
        <f t="shared" si="100"/>
        <v>31983.591723381032</v>
      </c>
      <c r="AH70" s="204">
        <f t="shared" si="100"/>
        <v>31983.591723381032</v>
      </c>
      <c r="AI70" s="204">
        <f t="shared" si="100"/>
        <v>31983.591723381032</v>
      </c>
      <c r="AJ70" s="204">
        <f t="shared" si="100"/>
        <v>31983.591723381032</v>
      </c>
      <c r="AK70" s="204">
        <f t="shared" si="100"/>
        <v>31983.591723381032</v>
      </c>
      <c r="AL70" s="204">
        <f t="shared" si="100"/>
        <v>31983.591723381032</v>
      </c>
      <c r="AM70" s="204">
        <f t="shared" si="100"/>
        <v>31983.591723381032</v>
      </c>
      <c r="AN70" s="204">
        <f t="shared" si="100"/>
        <v>31983.591723381032</v>
      </c>
      <c r="AO70" s="204">
        <f t="shared" si="100"/>
        <v>31983.591723381032</v>
      </c>
      <c r="AP70" s="204">
        <f t="shared" si="100"/>
        <v>31983.591723381032</v>
      </c>
      <c r="AQ70" s="204">
        <f t="shared" si="100"/>
        <v>31983.591723381032</v>
      </c>
      <c r="AR70" s="204">
        <f t="shared" si="100"/>
        <v>31983.591723381032</v>
      </c>
      <c r="AS70" s="204">
        <f t="shared" si="100"/>
        <v>31983.591723381032</v>
      </c>
      <c r="AT70" s="204">
        <f t="shared" si="100"/>
        <v>31983.591723381032</v>
      </c>
      <c r="AU70" s="204">
        <f t="shared" si="100"/>
        <v>31983.591723381032</v>
      </c>
      <c r="AV70" s="204">
        <f t="shared" si="100"/>
        <v>31983.591723381032</v>
      </c>
      <c r="AW70" s="204">
        <f t="shared" si="100"/>
        <v>31983.591723381032</v>
      </c>
      <c r="AX70" s="204">
        <f t="shared" si="100"/>
        <v>31983.591723381032</v>
      </c>
      <c r="AY70" s="204">
        <f t="shared" si="100"/>
        <v>31983.591723381032</v>
      </c>
      <c r="AZ70" s="204">
        <f t="shared" si="100"/>
        <v>31983.591723381032</v>
      </c>
      <c r="BA70" s="204">
        <f t="shared" si="100"/>
        <v>31983.591723381032</v>
      </c>
      <c r="BB70" s="204">
        <f t="shared" si="100"/>
        <v>31983.591723381032</v>
      </c>
      <c r="BC70" s="204">
        <f t="shared" si="100"/>
        <v>31983.591723381032</v>
      </c>
      <c r="BD70" s="204">
        <f t="shared" si="100"/>
        <v>31983.591723381032</v>
      </c>
      <c r="BE70" s="204">
        <f t="shared" si="100"/>
        <v>31983.591723381032</v>
      </c>
      <c r="BF70" s="204">
        <f t="shared" si="100"/>
        <v>31983.591723381032</v>
      </c>
      <c r="BG70" s="204">
        <f t="shared" si="100"/>
        <v>31983.591723381032</v>
      </c>
      <c r="BH70" s="204">
        <f t="shared" si="100"/>
        <v>31407.820379495439</v>
      </c>
      <c r="BI70" s="204">
        <f t="shared" si="100"/>
        <v>30716.894766832731</v>
      </c>
      <c r="BJ70" s="204">
        <f t="shared" si="100"/>
        <v>30025.969154170023</v>
      </c>
      <c r="BK70" s="204">
        <f t="shared" si="100"/>
        <v>29335.043541507315</v>
      </c>
      <c r="BL70" s="204">
        <f t="shared" si="100"/>
        <v>28644.117928844607</v>
      </c>
      <c r="BM70" s="204">
        <f t="shared" si="100"/>
        <v>27953.1923161819</v>
      </c>
      <c r="BN70" s="204">
        <f t="shared" si="100"/>
        <v>27262.266703519192</v>
      </c>
      <c r="BO70" s="204">
        <f t="shared" si="100"/>
        <v>26571.341090856484</v>
      </c>
      <c r="BP70" s="204">
        <f t="shared" si="100"/>
        <v>25880.415478193776</v>
      </c>
      <c r="BQ70" s="204">
        <f t="shared" si="100"/>
        <v>25189.489865531064</v>
      </c>
      <c r="BR70" s="204">
        <f t="shared" ref="BR70:DA70" si="102">IF(BR$22&lt;=$E$24,IF(BR$22&lt;=$D$24,IF(BR$22&lt;=$C$24,IF(BR$22&lt;=$B$24,IF(BR14=0,0,IF($B36+($B$24-BR$22)*BR53&lt;0,0,$B36+($B$24-BR$22)*BR53)),$B36+(BR$22-$B$24)*BR53),$C36+(BR$22-$C$24)*BR53),$D36+(BR$22-$D$24)*BR53),IF($E36+(BR$22-$E$24)*BR53&lt;0,0,$E36+(BR$22-$E$24)*BR53))</f>
        <v>24498.564252868357</v>
      </c>
      <c r="BS70" s="204">
        <f t="shared" si="102"/>
        <v>23807.638640205649</v>
      </c>
      <c r="BT70" s="204">
        <f t="shared" si="102"/>
        <v>23116.713027542941</v>
      </c>
      <c r="BU70" s="204">
        <f t="shared" si="102"/>
        <v>22425.787414880233</v>
      </c>
      <c r="BV70" s="204">
        <f t="shared" si="102"/>
        <v>21734.861802217521</v>
      </c>
      <c r="BW70" s="204">
        <f t="shared" si="102"/>
        <v>21043.936189554814</v>
      </c>
      <c r="BX70" s="204">
        <f t="shared" si="102"/>
        <v>20353.010576892106</v>
      </c>
      <c r="BY70" s="204">
        <f t="shared" si="102"/>
        <v>19662.084964229398</v>
      </c>
      <c r="BZ70" s="204">
        <f t="shared" si="102"/>
        <v>18971.15935156669</v>
      </c>
      <c r="CA70" s="204">
        <f t="shared" si="102"/>
        <v>18280.233738903982</v>
      </c>
      <c r="CB70" s="204">
        <f t="shared" si="102"/>
        <v>17589.308126241274</v>
      </c>
      <c r="CC70" s="204">
        <f t="shared" si="102"/>
        <v>16898.382513578566</v>
      </c>
      <c r="CD70" s="204">
        <f t="shared" si="102"/>
        <v>16207.456900915857</v>
      </c>
      <c r="CE70" s="204">
        <f t="shared" si="102"/>
        <v>15516.531288253151</v>
      </c>
      <c r="CF70" s="204">
        <f t="shared" si="102"/>
        <v>14825.605675590439</v>
      </c>
      <c r="CG70" s="204">
        <f t="shared" si="102"/>
        <v>14134.680062927731</v>
      </c>
      <c r="CH70" s="204">
        <f t="shared" si="102"/>
        <v>13443.754450265023</v>
      </c>
      <c r="CI70" s="204">
        <f t="shared" si="102"/>
        <v>13328.600181487915</v>
      </c>
      <c r="CJ70" s="204">
        <f t="shared" si="102"/>
        <v>13328.600181487915</v>
      </c>
      <c r="CK70" s="204">
        <f t="shared" si="102"/>
        <v>13328.600181487915</v>
      </c>
      <c r="CL70" s="204">
        <f t="shared" si="102"/>
        <v>13328.600181487915</v>
      </c>
      <c r="CM70" s="204">
        <f t="shared" si="102"/>
        <v>13328.600181487915</v>
      </c>
      <c r="CN70" s="204">
        <f t="shared" si="102"/>
        <v>13328.600181487915</v>
      </c>
      <c r="CO70" s="204">
        <f t="shared" si="102"/>
        <v>13328.600181487915</v>
      </c>
      <c r="CP70" s="204">
        <f t="shared" si="102"/>
        <v>13328.600181487915</v>
      </c>
      <c r="CQ70" s="204">
        <f t="shared" si="102"/>
        <v>13328.600181487915</v>
      </c>
      <c r="CR70" s="204">
        <f t="shared" si="102"/>
        <v>13328.600181487915</v>
      </c>
      <c r="CS70" s="204">
        <f t="shared" si="102"/>
        <v>13328.600181487915</v>
      </c>
      <c r="CT70" s="204">
        <f t="shared" si="102"/>
        <v>13328.600181487915</v>
      </c>
      <c r="CU70" s="204">
        <f t="shared" si="102"/>
        <v>13328.600181487915</v>
      </c>
      <c r="CV70" s="204">
        <f t="shared" si="102"/>
        <v>13328.600181487915</v>
      </c>
      <c r="CW70" s="204">
        <f t="shared" si="102"/>
        <v>13328.600181487915</v>
      </c>
      <c r="CX70" s="204">
        <f t="shared" si="102"/>
        <v>12388.74184815457</v>
      </c>
      <c r="CY70" s="204">
        <f t="shared" si="102"/>
        <v>11260.91184815457</v>
      </c>
      <c r="CZ70" s="204">
        <f t="shared" si="102"/>
        <v>10133.08184815457</v>
      </c>
      <c r="DA70" s="204">
        <f t="shared" si="102"/>
        <v>9005.2518481545703</v>
      </c>
    </row>
    <row r="71" spans="1:105" s="204" customFormat="1">
      <c r="A71" s="204" t="str">
        <f>Income!A86</f>
        <v>Cash transfer - gifts</v>
      </c>
      <c r="F71" s="204">
        <f t="shared" ref="F71:BQ71" si="103">IF(F$22&lt;=$E$24,IF(F$22&lt;=$D$24,IF(F$22&lt;=$C$24,IF(F$22&lt;=$B$24,IF(F15=0,0,IF($B37+($B$24-F$22)*F54&lt;0,0,$B37+($B$24-F$22)*F54)),$B37+(F$22-$B$24)*F54),$C37+(F$22-$C$24)*F54),$D37+(F$22-$D$24)*F54),IF($E37+(F$22-$E$24)*F54&lt;0,0,$E37+(F$22-$E$24)*F54))</f>
        <v>0</v>
      </c>
      <c r="G71" s="204">
        <f t="shared" si="103"/>
        <v>0</v>
      </c>
      <c r="H71" s="204">
        <f t="shared" si="103"/>
        <v>0</v>
      </c>
      <c r="I71" s="204">
        <f t="shared" si="103"/>
        <v>0</v>
      </c>
      <c r="J71" s="204">
        <f t="shared" si="103"/>
        <v>0</v>
      </c>
      <c r="K71" s="204">
        <f t="shared" si="103"/>
        <v>0</v>
      </c>
      <c r="L71" s="204">
        <f>IF(L$22&lt;=$E$24,IF(L$22&lt;=$D$24,IF(L$22&lt;=$C$24,IF(L$22&lt;=$B$24,IF(L15=0,0,IF($B37+($B$24-L$22)*L54&lt;0,0,$B37+($B$24-L$22)*L54)),$B37+(L$22-$B$24)*L54),$C37+(L$22-$C$24)*L54),$D37+(L$22-$D$24)*L54),IF($E37+(L$22-$E$24)*L54&lt;0,0,$E37+(L$22-$E$24)*L54))</f>
        <v>0</v>
      </c>
      <c r="M71" s="204">
        <f t="shared" si="103"/>
        <v>0</v>
      </c>
      <c r="N71" s="204">
        <f t="shared" si="103"/>
        <v>0</v>
      </c>
      <c r="O71" s="204">
        <f t="shared" si="103"/>
        <v>0</v>
      </c>
      <c r="P71" s="204">
        <f t="shared" si="103"/>
        <v>0</v>
      </c>
      <c r="Q71" s="204">
        <f t="shared" si="103"/>
        <v>0</v>
      </c>
      <c r="R71" s="204">
        <f t="shared" si="103"/>
        <v>0</v>
      </c>
      <c r="S71" s="204">
        <f t="shared" si="103"/>
        <v>0</v>
      </c>
      <c r="T71" s="204">
        <f t="shared" si="103"/>
        <v>0</v>
      </c>
      <c r="U71" s="204">
        <f t="shared" si="103"/>
        <v>0</v>
      </c>
      <c r="V71" s="204">
        <f t="shared" si="103"/>
        <v>0</v>
      </c>
      <c r="W71" s="204">
        <f t="shared" si="103"/>
        <v>0</v>
      </c>
      <c r="X71" s="204">
        <f t="shared" si="103"/>
        <v>0</v>
      </c>
      <c r="Y71" s="204">
        <f t="shared" si="103"/>
        <v>73.627052770214362</v>
      </c>
      <c r="Z71" s="204">
        <f t="shared" si="103"/>
        <v>161.97951609447136</v>
      </c>
      <c r="AA71" s="204">
        <f t="shared" si="103"/>
        <v>250.33197941872834</v>
      </c>
      <c r="AB71" s="204">
        <f t="shared" si="103"/>
        <v>338.68444274298531</v>
      </c>
      <c r="AC71" s="204">
        <f t="shared" si="103"/>
        <v>427.03690606724234</v>
      </c>
      <c r="AD71" s="204">
        <f t="shared" si="103"/>
        <v>515.38936939149926</v>
      </c>
      <c r="AE71" s="204">
        <f t="shared" si="103"/>
        <v>603.74183271575635</v>
      </c>
      <c r="AF71" s="204">
        <f t="shared" si="103"/>
        <v>692.09429604001332</v>
      </c>
      <c r="AG71" s="204">
        <f t="shared" si="103"/>
        <v>780.44675936427029</v>
      </c>
      <c r="AH71" s="204">
        <f t="shared" si="103"/>
        <v>868.79922268852727</v>
      </c>
      <c r="AI71" s="204">
        <f t="shared" si="103"/>
        <v>957.15168601278424</v>
      </c>
      <c r="AJ71" s="204">
        <f t="shared" si="103"/>
        <v>1045.5041493370413</v>
      </c>
      <c r="AK71" s="204">
        <f t="shared" si="103"/>
        <v>1133.8566126612982</v>
      </c>
      <c r="AL71" s="204">
        <f t="shared" si="103"/>
        <v>1222.2090759855553</v>
      </c>
      <c r="AM71" s="204">
        <f t="shared" si="103"/>
        <v>1310.5615393098121</v>
      </c>
      <c r="AN71" s="204">
        <f t="shared" si="103"/>
        <v>1398.9140026340692</v>
      </c>
      <c r="AO71" s="204">
        <f t="shared" si="103"/>
        <v>1487.2664659583261</v>
      </c>
      <c r="AP71" s="204">
        <f t="shared" si="103"/>
        <v>1575.6189292825832</v>
      </c>
      <c r="AQ71" s="204">
        <f t="shared" si="103"/>
        <v>1663.9713926068403</v>
      </c>
      <c r="AR71" s="204">
        <f t="shared" si="103"/>
        <v>1752.3238559310971</v>
      </c>
      <c r="AS71" s="204">
        <f t="shared" si="103"/>
        <v>1840.6763192553542</v>
      </c>
      <c r="AT71" s="204">
        <f t="shared" si="103"/>
        <v>1929.0287825796111</v>
      </c>
      <c r="AU71" s="204">
        <f t="shared" si="103"/>
        <v>2017.3812459038681</v>
      </c>
      <c r="AV71" s="204">
        <f t="shared" si="103"/>
        <v>2105.733709228125</v>
      </c>
      <c r="AW71" s="204">
        <f t="shared" si="103"/>
        <v>2194.0861725523819</v>
      </c>
      <c r="AX71" s="204">
        <f t="shared" si="103"/>
        <v>2282.4386358766392</v>
      </c>
      <c r="AY71" s="204">
        <f t="shared" si="103"/>
        <v>2370.791099200896</v>
      </c>
      <c r="AZ71" s="204">
        <f t="shared" si="103"/>
        <v>2459.1435625251529</v>
      </c>
      <c r="BA71" s="204">
        <f t="shared" si="103"/>
        <v>2547.4960258494102</v>
      </c>
      <c r="BB71" s="204">
        <f t="shared" si="103"/>
        <v>2635.8484891736671</v>
      </c>
      <c r="BC71" s="204">
        <f t="shared" si="103"/>
        <v>2724.2009524979239</v>
      </c>
      <c r="BD71" s="204">
        <f t="shared" si="103"/>
        <v>2812.5534158221808</v>
      </c>
      <c r="BE71" s="204">
        <f t="shared" si="103"/>
        <v>2900.9058791464381</v>
      </c>
      <c r="BF71" s="204">
        <f t="shared" si="103"/>
        <v>2989.258342470695</v>
      </c>
      <c r="BG71" s="204">
        <f t="shared" si="103"/>
        <v>3077.6108057949518</v>
      </c>
      <c r="BH71" s="204">
        <f t="shared" si="103"/>
        <v>3073.0745829082271</v>
      </c>
      <c r="BI71" s="204">
        <f t="shared" si="103"/>
        <v>3049.9606227793065</v>
      </c>
      <c r="BJ71" s="204">
        <f t="shared" si="103"/>
        <v>3026.8466626503855</v>
      </c>
      <c r="BK71" s="204">
        <f t="shared" si="103"/>
        <v>3003.7327025214649</v>
      </c>
      <c r="BL71" s="204">
        <f t="shared" si="103"/>
        <v>2980.6187423925439</v>
      </c>
      <c r="BM71" s="204">
        <f t="shared" si="103"/>
        <v>2957.5047822636229</v>
      </c>
      <c r="BN71" s="204">
        <f t="shared" si="103"/>
        <v>2934.3908221347024</v>
      </c>
      <c r="BO71" s="204">
        <f t="shared" si="103"/>
        <v>2911.2768620057814</v>
      </c>
      <c r="BP71" s="204">
        <f t="shared" si="103"/>
        <v>2888.1629018768608</v>
      </c>
      <c r="BQ71" s="204">
        <f t="shared" si="103"/>
        <v>2865.0489417479398</v>
      </c>
      <c r="BR71" s="204">
        <f>IF(BR$22&lt;=$E$24,IF(BR$22&lt;=$D$24,IF(BR$22&lt;=$C$24,IF(BR$22&lt;=$B$24,IF(BR15=0,0,IF($B37+($B$24-BR$22)*BR54&lt;0,0,$B37+($B$24-BR$22)*BR54)),$B37+(BR$22-$B$24)*BR54),$C37+(BR$22-$C$24)*BR54),$D37+(BR$22-$D$24)*BR54),IF($E37+(BR$22-$E$24)*BR54&lt;0,0,$E37+(BR$22-$E$24)*BR54))</f>
        <v>2841.9349816190188</v>
      </c>
      <c r="BS71" s="204">
        <f>IF(BS$22&lt;=$E$24,IF(BS$22&lt;=$D$24,IF(BS$22&lt;=$C$24,IF(BS$22&lt;=$B$24,IF(BS15=0,0,IF($B37+($B$24-BS$22)*BS54&lt;0,0,$B37+($B$24-BS$22)*BS54)),$B37+(BS$22-$B$24)*BS54),$C37+(BS$22-$C$24)*BS54),$D37+(BS$22-$D$24)*BS54),IF($E37+(BS$22-$E$24)*BS54&lt;0,0,$E37+(BS$22-$E$24)*BS54))</f>
        <v>2818.8210214900982</v>
      </c>
      <c r="BT71" s="204">
        <f>IF(BT$22&lt;=$E$24,IF(BT$22&lt;=$D$24,IF(BT$22&lt;=$C$24,IF(BT$22&lt;=$B$24,IF(BT15=0,0,IF($B37+($B$24-BT$22)*BT54&lt;0,0,$B37+($B$24-BT$22)*BT54)),$B37+(BT$22-$B$24)*BT54),$C37+(BT$22-$C$24)*BT54),$D37+(BT$22-$D$24)*BT54),IF($E37+(BT$22-$E$24)*BT54&lt;0,0,$E37+(BT$22-$E$24)*BT54))</f>
        <v>2795.7070613611772</v>
      </c>
      <c r="BU71" s="204">
        <f t="shared" ref="BU71:DA71" si="104">IF(BU$22&lt;=$E$24,IF(BU$22&lt;=$D$24,IF(BU$22&lt;=$C$24,IF(BU$22&lt;=$B$24,IF(BU15=0,0,IF($B37+($B$24-BU$22)*BU54&lt;0,0,$B37+($B$24-BU$22)*BU54)),$B37+(BU$22-$B$24)*BU54),$C37+(BU$22-$C$24)*BU54),$D37+(BU$22-$D$24)*BU54),IF($E37+(BU$22-$E$24)*BU54&lt;0,0,$E37+(BU$22-$E$24)*BU54))</f>
        <v>2772.5931012322562</v>
      </c>
      <c r="BV71" s="204">
        <f t="shared" si="104"/>
        <v>2749.4791411033357</v>
      </c>
      <c r="BW71" s="204">
        <f t="shared" si="104"/>
        <v>2726.3651809744147</v>
      </c>
      <c r="BX71" s="204">
        <f t="shared" si="104"/>
        <v>2703.2512208454941</v>
      </c>
      <c r="BY71" s="204">
        <f t="shared" si="104"/>
        <v>2680.1372607165731</v>
      </c>
      <c r="BZ71" s="204">
        <f t="shared" si="104"/>
        <v>2657.0233005876521</v>
      </c>
      <c r="CA71" s="204">
        <f t="shared" si="104"/>
        <v>2633.9093404587315</v>
      </c>
      <c r="CB71" s="204">
        <f t="shared" si="104"/>
        <v>2610.7953803298105</v>
      </c>
      <c r="CC71" s="204">
        <f t="shared" si="104"/>
        <v>2587.68142020089</v>
      </c>
      <c r="CD71" s="204">
        <f t="shared" si="104"/>
        <v>2564.567460071969</v>
      </c>
      <c r="CE71" s="204">
        <f t="shared" si="104"/>
        <v>2541.453499943048</v>
      </c>
      <c r="CF71" s="204">
        <f t="shared" si="104"/>
        <v>2518.3395398141274</v>
      </c>
      <c r="CG71" s="204">
        <f t="shared" si="104"/>
        <v>2495.2255796852064</v>
      </c>
      <c r="CH71" s="204">
        <f t="shared" si="104"/>
        <v>2472.1116195562854</v>
      </c>
      <c r="CI71" s="204">
        <f t="shared" si="104"/>
        <v>2705.112457335279</v>
      </c>
      <c r="CJ71" s="204">
        <f t="shared" si="104"/>
        <v>2989.3362546958519</v>
      </c>
      <c r="CK71" s="204">
        <f t="shared" si="104"/>
        <v>3273.5600520564249</v>
      </c>
      <c r="CL71" s="204">
        <f t="shared" si="104"/>
        <v>3557.7838494169973</v>
      </c>
      <c r="CM71" s="204">
        <f t="shared" si="104"/>
        <v>3842.0076467775702</v>
      </c>
      <c r="CN71" s="204">
        <f t="shared" si="104"/>
        <v>4126.2314441381432</v>
      </c>
      <c r="CO71" s="204">
        <f t="shared" si="104"/>
        <v>4410.4552414987156</v>
      </c>
      <c r="CP71" s="204">
        <f t="shared" si="104"/>
        <v>4694.679038859289</v>
      </c>
      <c r="CQ71" s="204">
        <f t="shared" si="104"/>
        <v>4978.9028362198615</v>
      </c>
      <c r="CR71" s="204">
        <f t="shared" si="104"/>
        <v>5263.1266335804339</v>
      </c>
      <c r="CS71" s="204">
        <f t="shared" si="104"/>
        <v>5547.3504309410073</v>
      </c>
      <c r="CT71" s="204">
        <f t="shared" si="104"/>
        <v>5831.5742283015798</v>
      </c>
      <c r="CU71" s="204">
        <f t="shared" si="104"/>
        <v>6115.7980256621522</v>
      </c>
      <c r="CV71" s="204">
        <f t="shared" si="104"/>
        <v>6400.0218230227256</v>
      </c>
      <c r="CW71" s="204">
        <f t="shared" si="104"/>
        <v>6684.245620383298</v>
      </c>
      <c r="CX71" s="204">
        <f t="shared" si="104"/>
        <v>6978.5579199433942</v>
      </c>
      <c r="CY71" s="204">
        <f t="shared" si="104"/>
        <v>7274.8879199433941</v>
      </c>
      <c r="CZ71" s="204">
        <f t="shared" si="104"/>
        <v>7571.217919943394</v>
      </c>
      <c r="DA71" s="204">
        <f t="shared" si="104"/>
        <v>7867.5479199433939</v>
      </c>
    </row>
    <row r="72" spans="1:105" s="204" customFormat="1">
      <c r="A72" s="204" t="str">
        <f>Income!A88</f>
        <v>TOTAL</v>
      </c>
      <c r="F72" s="204">
        <f>SUM(F59:F71)</f>
        <v>54826.063045047929</v>
      </c>
      <c r="G72" s="204">
        <f t="shared" ref="G72:BR72" si="105">SUM(G59:G71)</f>
        <v>54485.803045047927</v>
      </c>
      <c r="H72" s="204">
        <f t="shared" si="105"/>
        <v>54145.543045047933</v>
      </c>
      <c r="I72" s="204">
        <f t="shared" si="105"/>
        <v>53805.283045047931</v>
      </c>
      <c r="J72" s="204">
        <f t="shared" si="105"/>
        <v>53465.023045047928</v>
      </c>
      <c r="K72" s="204">
        <f t="shared" si="105"/>
        <v>53124.763045047926</v>
      </c>
      <c r="L72" s="204">
        <f t="shared" si="105"/>
        <v>52784.503045047932</v>
      </c>
      <c r="M72" s="204">
        <f t="shared" si="105"/>
        <v>52444.24304504793</v>
      </c>
      <c r="N72" s="204">
        <f t="shared" si="105"/>
        <v>52103.983045047928</v>
      </c>
      <c r="O72" s="204">
        <f t="shared" si="105"/>
        <v>51763.723045047933</v>
      </c>
      <c r="P72" s="204">
        <f t="shared" si="105"/>
        <v>51423.463045047931</v>
      </c>
      <c r="Q72" s="204">
        <f t="shared" si="105"/>
        <v>51083.203045047929</v>
      </c>
      <c r="R72" s="204">
        <f t="shared" si="105"/>
        <v>50742.943045047927</v>
      </c>
      <c r="S72" s="204">
        <f t="shared" si="105"/>
        <v>50402.683045047932</v>
      </c>
      <c r="T72" s="204">
        <f t="shared" si="105"/>
        <v>50062.42304504793</v>
      </c>
      <c r="U72" s="204">
        <f t="shared" si="105"/>
        <v>49722.163045047928</v>
      </c>
      <c r="V72" s="204">
        <f t="shared" si="105"/>
        <v>49381.903045047926</v>
      </c>
      <c r="W72" s="204">
        <f t="shared" si="105"/>
        <v>49041.643045047924</v>
      </c>
      <c r="X72" s="204">
        <f t="shared" si="105"/>
        <v>48701.383045047929</v>
      </c>
      <c r="Y72" s="204">
        <f t="shared" si="105"/>
        <v>49567.049326589826</v>
      </c>
      <c r="Z72" s="204">
        <f t="shared" si="105"/>
        <v>50673.900864440089</v>
      </c>
      <c r="AA72" s="204">
        <f t="shared" si="105"/>
        <v>51780.75240229036</v>
      </c>
      <c r="AB72" s="204">
        <f t="shared" si="105"/>
        <v>52887.603940140623</v>
      </c>
      <c r="AC72" s="204">
        <f t="shared" si="105"/>
        <v>53994.455477990901</v>
      </c>
      <c r="AD72" s="204">
        <f t="shared" si="105"/>
        <v>55101.307015841172</v>
      </c>
      <c r="AE72" s="204">
        <f t="shared" si="105"/>
        <v>56208.158553691443</v>
      </c>
      <c r="AF72" s="204">
        <f t="shared" si="105"/>
        <v>57315.010091541713</v>
      </c>
      <c r="AG72" s="204">
        <f t="shared" si="105"/>
        <v>58421.861629391984</v>
      </c>
      <c r="AH72" s="204">
        <f t="shared" si="105"/>
        <v>59528.713167242247</v>
      </c>
      <c r="AI72" s="204">
        <f t="shared" si="105"/>
        <v>60635.564705092511</v>
      </c>
      <c r="AJ72" s="204">
        <f t="shared" si="105"/>
        <v>61742.416242942789</v>
      </c>
      <c r="AK72" s="204">
        <f t="shared" si="105"/>
        <v>62849.26778079306</v>
      </c>
      <c r="AL72" s="204">
        <f t="shared" si="105"/>
        <v>63956.11931864333</v>
      </c>
      <c r="AM72" s="204">
        <f t="shared" si="105"/>
        <v>65062.970856493601</v>
      </c>
      <c r="AN72" s="204">
        <f t="shared" si="105"/>
        <v>66169.822394343864</v>
      </c>
      <c r="AO72" s="204">
        <f t="shared" si="105"/>
        <v>67276.673932194128</v>
      </c>
      <c r="AP72" s="204">
        <f t="shared" si="105"/>
        <v>68383.52547004442</v>
      </c>
      <c r="AQ72" s="204">
        <f t="shared" si="105"/>
        <v>69490.377007894669</v>
      </c>
      <c r="AR72" s="204">
        <f t="shared" si="105"/>
        <v>70597.228545744947</v>
      </c>
      <c r="AS72" s="204">
        <f t="shared" si="105"/>
        <v>71704.08008359521</v>
      </c>
      <c r="AT72" s="204">
        <f t="shared" si="105"/>
        <v>72810.931621445488</v>
      </c>
      <c r="AU72" s="204">
        <f t="shared" si="105"/>
        <v>73917.783159295766</v>
      </c>
      <c r="AV72" s="204">
        <f t="shared" si="105"/>
        <v>75024.63469714603</v>
      </c>
      <c r="AW72" s="204">
        <f t="shared" si="105"/>
        <v>76131.486234996293</v>
      </c>
      <c r="AX72" s="204">
        <f t="shared" si="105"/>
        <v>77238.337772846557</v>
      </c>
      <c r="AY72" s="204">
        <f t="shared" si="105"/>
        <v>78345.189310696835</v>
      </c>
      <c r="AZ72" s="204">
        <f t="shared" si="105"/>
        <v>79452.040848547098</v>
      </c>
      <c r="BA72" s="204">
        <f t="shared" si="105"/>
        <v>80558.892386397361</v>
      </c>
      <c r="BB72" s="204">
        <f t="shared" si="105"/>
        <v>81665.743924247639</v>
      </c>
      <c r="BC72" s="204">
        <f t="shared" si="105"/>
        <v>82772.595462097903</v>
      </c>
      <c r="BD72" s="204">
        <f t="shared" si="105"/>
        <v>83879.446999948195</v>
      </c>
      <c r="BE72" s="204">
        <f t="shared" si="105"/>
        <v>84986.298537798444</v>
      </c>
      <c r="BF72" s="204">
        <f t="shared" si="105"/>
        <v>86093.150075648722</v>
      </c>
      <c r="BG72" s="204">
        <f t="shared" si="105"/>
        <v>87200.001613498986</v>
      </c>
      <c r="BH72" s="204">
        <f t="shared" si="105"/>
        <v>89924.553301192747</v>
      </c>
      <c r="BI72" s="204">
        <f t="shared" si="105"/>
        <v>92972.645018855183</v>
      </c>
      <c r="BJ72" s="204">
        <f t="shared" si="105"/>
        <v>96020.736736517603</v>
      </c>
      <c r="BK72" s="204">
        <f t="shared" si="105"/>
        <v>99068.828454180053</v>
      </c>
      <c r="BL72" s="204">
        <f t="shared" si="105"/>
        <v>102116.9201718425</v>
      </c>
      <c r="BM72" s="204">
        <f t="shared" si="105"/>
        <v>105165.01188950495</v>
      </c>
      <c r="BN72" s="204">
        <f t="shared" si="105"/>
        <v>108213.1036071674</v>
      </c>
      <c r="BO72" s="204">
        <f t="shared" si="105"/>
        <v>111261.19532482982</v>
      </c>
      <c r="BP72" s="204">
        <f t="shared" si="105"/>
        <v>114309.28704249229</v>
      </c>
      <c r="BQ72" s="204">
        <f t="shared" si="105"/>
        <v>117357.37876015472</v>
      </c>
      <c r="BR72" s="204">
        <f t="shared" si="105"/>
        <v>120405.47047781714</v>
      </c>
      <c r="BS72" s="204">
        <f t="shared" ref="BS72:DA72" si="106">SUM(BS59:BS71)</f>
        <v>123453.56219547959</v>
      </c>
      <c r="BT72" s="204">
        <f t="shared" si="106"/>
        <v>126501.65391314201</v>
      </c>
      <c r="BU72" s="204">
        <f t="shared" si="106"/>
        <v>129549.74563080448</v>
      </c>
      <c r="BV72" s="204">
        <f t="shared" si="106"/>
        <v>132597.83734846688</v>
      </c>
      <c r="BW72" s="204">
        <f t="shared" si="106"/>
        <v>135645.92906612935</v>
      </c>
      <c r="BX72" s="204">
        <f t="shared" si="106"/>
        <v>138694.02078379178</v>
      </c>
      <c r="BY72" s="204">
        <f t="shared" si="106"/>
        <v>141742.11250145422</v>
      </c>
      <c r="BZ72" s="204">
        <f t="shared" si="106"/>
        <v>144790.20421911668</v>
      </c>
      <c r="CA72" s="204">
        <f t="shared" si="106"/>
        <v>147838.29593677912</v>
      </c>
      <c r="CB72" s="204">
        <f t="shared" si="106"/>
        <v>150886.38765444155</v>
      </c>
      <c r="CC72" s="204">
        <f t="shared" si="106"/>
        <v>153934.47937210402</v>
      </c>
      <c r="CD72" s="204">
        <f t="shared" si="106"/>
        <v>156982.57108976645</v>
      </c>
      <c r="CE72" s="204">
        <f t="shared" si="106"/>
        <v>160030.66280742886</v>
      </c>
      <c r="CF72" s="204">
        <f t="shared" si="106"/>
        <v>163078.7545250913</v>
      </c>
      <c r="CG72" s="204">
        <f t="shared" si="106"/>
        <v>166126.84624275376</v>
      </c>
      <c r="CH72" s="204">
        <f t="shared" si="106"/>
        <v>169174.93796041619</v>
      </c>
      <c r="CI72" s="204">
        <f t="shared" si="106"/>
        <v>180527.35938627805</v>
      </c>
      <c r="CJ72" s="204">
        <f t="shared" si="106"/>
        <v>193540.6467537797</v>
      </c>
      <c r="CK72" s="204">
        <f t="shared" si="106"/>
        <v>206553.93412128135</v>
      </c>
      <c r="CL72" s="204">
        <f t="shared" si="106"/>
        <v>219567.22148878299</v>
      </c>
      <c r="CM72" s="204">
        <f t="shared" si="106"/>
        <v>232580.50885628461</v>
      </c>
      <c r="CN72" s="204">
        <f t="shared" si="106"/>
        <v>245593.79622378625</v>
      </c>
      <c r="CO72" s="204">
        <f t="shared" si="106"/>
        <v>258607.08359128793</v>
      </c>
      <c r="CP72" s="204">
        <f t="shared" si="106"/>
        <v>271620.37095878954</v>
      </c>
      <c r="CQ72" s="204">
        <f t="shared" si="106"/>
        <v>284633.65832629119</v>
      </c>
      <c r="CR72" s="204">
        <f t="shared" si="106"/>
        <v>297646.94569379278</v>
      </c>
      <c r="CS72" s="204">
        <f t="shared" si="106"/>
        <v>310660.23306129448</v>
      </c>
      <c r="CT72" s="204">
        <f t="shared" si="106"/>
        <v>323673.52042879607</v>
      </c>
      <c r="CU72" s="204">
        <f t="shared" si="106"/>
        <v>336686.80779629771</v>
      </c>
      <c r="CV72" s="204">
        <f t="shared" si="106"/>
        <v>349700.09516379936</v>
      </c>
      <c r="CW72" s="204">
        <f t="shared" si="106"/>
        <v>362713.382531301</v>
      </c>
      <c r="CX72" s="204">
        <f t="shared" si="106"/>
        <v>373032.09792588459</v>
      </c>
      <c r="CY72" s="204">
        <f t="shared" si="106"/>
        <v>382811.89892588451</v>
      </c>
      <c r="CZ72" s="204">
        <f t="shared" si="106"/>
        <v>392591.69992588455</v>
      </c>
      <c r="DA72" s="204">
        <f t="shared" si="106"/>
        <v>402371.50092588458</v>
      </c>
    </row>
    <row r="73" spans="1:105">
      <c r="A73" s="201" t="str">
        <f>Income!A89</f>
        <v>Food Poverty line</v>
      </c>
    </row>
    <row r="74" spans="1:105">
      <c r="A74" s="201" t="str">
        <f>Income!A90</f>
        <v>Lower Bound Poverty line</v>
      </c>
    </row>
    <row r="77" spans="1:105">
      <c r="A77" s="202"/>
    </row>
    <row r="78" spans="1:105">
      <c r="A78" s="202"/>
    </row>
    <row r="79" spans="1:105">
      <c r="A79" s="202"/>
    </row>
    <row r="80" spans="1:105">
      <c r="A80" s="202"/>
    </row>
    <row r="96" spans="4:15">
      <c r="D96" s="211"/>
      <c r="E96" s="211"/>
      <c r="F96" s="211"/>
      <c r="G96" s="211"/>
      <c r="H96" s="211"/>
      <c r="I96" s="211"/>
      <c r="J96" s="211"/>
      <c r="K96" s="211"/>
      <c r="L96" s="211"/>
      <c r="M96" s="211"/>
      <c r="N96" s="211"/>
      <c r="O96" s="211"/>
    </row>
    <row r="97" spans="1:31">
      <c r="C97" s="210"/>
      <c r="D97" s="212"/>
      <c r="E97" s="212"/>
      <c r="F97" s="212"/>
      <c r="G97" s="212"/>
      <c r="H97" s="212"/>
      <c r="I97" s="212"/>
      <c r="J97" s="212"/>
      <c r="K97" s="212"/>
      <c r="L97" s="212"/>
      <c r="M97" s="212"/>
      <c r="N97" s="212"/>
      <c r="O97" s="212"/>
    </row>
    <row r="98" spans="1:31">
      <c r="C98" s="210"/>
      <c r="D98" s="212"/>
      <c r="E98" s="212"/>
      <c r="F98" s="212"/>
      <c r="G98" s="212"/>
      <c r="H98" s="212"/>
      <c r="I98" s="212"/>
      <c r="J98" s="212"/>
      <c r="K98" s="212"/>
      <c r="L98" s="212"/>
      <c r="M98" s="212"/>
      <c r="N98" s="212"/>
      <c r="O98" s="212"/>
    </row>
    <row r="99" spans="1:31">
      <c r="C99" s="210"/>
      <c r="D99" s="212"/>
      <c r="E99" s="212"/>
      <c r="F99" s="212"/>
      <c r="G99" s="212"/>
      <c r="H99" s="212"/>
      <c r="I99" s="212"/>
      <c r="J99" s="212"/>
      <c r="K99" s="212"/>
      <c r="L99" s="212"/>
      <c r="M99" s="212"/>
      <c r="N99" s="212"/>
      <c r="O99" s="212"/>
    </row>
    <row r="100" spans="1:31">
      <c r="C100" s="210"/>
      <c r="D100" s="212"/>
      <c r="E100" s="212"/>
      <c r="F100" s="212"/>
      <c r="G100" s="212"/>
      <c r="H100" s="212"/>
      <c r="I100" s="212"/>
      <c r="J100" s="212"/>
      <c r="K100" s="212"/>
      <c r="L100" s="212"/>
      <c r="M100" s="212"/>
      <c r="N100" s="212"/>
      <c r="O100" s="212"/>
    </row>
    <row r="101" spans="1:31">
      <c r="C101" s="210"/>
      <c r="D101" s="212"/>
      <c r="E101" s="212"/>
      <c r="F101" s="212"/>
      <c r="G101" s="212"/>
      <c r="H101" s="212"/>
      <c r="I101" s="212"/>
      <c r="J101" s="212"/>
      <c r="K101" s="212"/>
      <c r="L101" s="212"/>
      <c r="M101" s="212"/>
      <c r="N101" s="212"/>
      <c r="O101" s="212"/>
    </row>
    <row r="107" spans="1:31">
      <c r="B107" s="214">
        <f>A23</f>
        <v>0</v>
      </c>
      <c r="C107" s="214">
        <f>B23</f>
        <v>36.333333333333329</v>
      </c>
      <c r="D107" s="214">
        <f>C23</f>
        <v>70</v>
      </c>
      <c r="E107" s="214">
        <f>D23</f>
        <v>90.333333333333329</v>
      </c>
      <c r="F107" s="214">
        <f>E23</f>
        <v>100</v>
      </c>
      <c r="AD107" s="201" t="s">
        <v>117</v>
      </c>
    </row>
    <row r="108" spans="1:31">
      <c r="A108" s="213" t="str">
        <f t="shared" ref="A108:A120" si="107">A42</f>
        <v>Own crops Consumed</v>
      </c>
      <c r="B108" s="212">
        <v>0</v>
      </c>
      <c r="C108" s="212">
        <f>AD42</f>
        <v>58.942893250033542</v>
      </c>
      <c r="D108" s="212">
        <f>BU42</f>
        <v>11.395157904371617</v>
      </c>
      <c r="E108" s="212">
        <f>CR42</f>
        <v>1.7739782097118828</v>
      </c>
      <c r="F108" s="212">
        <f xml:space="preserve"> 0.0529*F107^2 - 5.8907*F107 + 166.43</f>
        <v>106.36000000000007</v>
      </c>
    </row>
    <row r="109" spans="1:31">
      <c r="A109" s="213" t="str">
        <f t="shared" si="107"/>
        <v>Own crops sold</v>
      </c>
      <c r="B109" s="212">
        <f xml:space="preserve"> 0.2249*B107^2 + 18.644*B107 + 340.26</f>
        <v>340.26</v>
      </c>
      <c r="C109" s="212">
        <f>AD43</f>
        <v>30.670926553992057</v>
      </c>
      <c r="D109" s="212">
        <f t="shared" ref="D109:D120" si="108">BU43</f>
        <v>749.42990253059634</v>
      </c>
      <c r="E109" s="212">
        <f t="shared" ref="E109:E120" si="109">CR43</f>
        <v>910.67548546411899</v>
      </c>
      <c r="F109" s="212">
        <f xml:space="preserve"> 0.2249*F107^2 - 18.644*F107 + 340.26</f>
        <v>724.86000000000013</v>
      </c>
      <c r="AD109" s="217" t="s">
        <v>120</v>
      </c>
      <c r="AE109" s="201">
        <f>(0.0000001/7+0.00002/6+0.0039/5+0.2271/4+1.2857/3+16.311/2+13342)</f>
        <v>13350.641625014287</v>
      </c>
    </row>
    <row r="110" spans="1:31">
      <c r="A110" s="213" t="str">
        <f t="shared" si="107"/>
        <v>Animal products consumed</v>
      </c>
      <c r="B110" s="212">
        <v>0</v>
      </c>
      <c r="C110" s="212">
        <f t="shared" ref="C110:C120" si="110">AD44</f>
        <v>15.885958418922584</v>
      </c>
      <c r="D110" s="212">
        <f t="shared" si="108"/>
        <v>12.205466086436255</v>
      </c>
      <c r="E110" s="212">
        <f t="shared" si="109"/>
        <v>62.950343169558288</v>
      </c>
      <c r="F110" s="212">
        <f xml:space="preserve"> -0.005*F107^2 + 0.7378*F107 - 15.349</f>
        <v>8.4310000000000009</v>
      </c>
      <c r="AD110" s="217" t="s">
        <v>118</v>
      </c>
      <c r="AE110" s="201">
        <f>(0.5*(DA72-F72))</f>
        <v>173772.71894041833</v>
      </c>
    </row>
    <row r="111" spans="1:31">
      <c r="A111" s="213" t="str">
        <f t="shared" si="107"/>
        <v>Animal products sold</v>
      </c>
      <c r="B111" s="212">
        <v>0</v>
      </c>
      <c r="C111" s="212">
        <f t="shared" si="110"/>
        <v>0</v>
      </c>
      <c r="D111" s="212">
        <f t="shared" si="108"/>
        <v>0</v>
      </c>
      <c r="E111" s="212">
        <f t="shared" si="109"/>
        <v>0</v>
      </c>
      <c r="F111" s="212">
        <v>0</v>
      </c>
      <c r="AD111" s="217" t="s">
        <v>119</v>
      </c>
      <c r="AE111" s="212">
        <f>AE109/AE110</f>
        <v>7.6828179396743149E-2</v>
      </c>
    </row>
    <row r="112" spans="1:31">
      <c r="A112" s="213" t="str">
        <f t="shared" si="107"/>
        <v>Animals sold</v>
      </c>
      <c r="B112" s="212">
        <v>0</v>
      </c>
      <c r="C112" s="212">
        <f t="shared" si="110"/>
        <v>165.33831212084573</v>
      </c>
      <c r="D112" s="212">
        <f t="shared" si="108"/>
        <v>445.74492986372337</v>
      </c>
      <c r="E112" s="212">
        <f t="shared" si="109"/>
        <v>884.64656928478246</v>
      </c>
      <c r="F112" s="212">
        <v>0</v>
      </c>
    </row>
    <row r="113" spans="1:31">
      <c r="A113" s="213" t="str">
        <f t="shared" si="107"/>
        <v>Wild foods consumed and sold</v>
      </c>
      <c r="B113" s="212">
        <v>0</v>
      </c>
      <c r="C113" s="212">
        <f t="shared" si="110"/>
        <v>13.883958522383248</v>
      </c>
      <c r="D113" s="212">
        <f t="shared" si="108"/>
        <v>-42.358279741876309</v>
      </c>
      <c r="E113" s="212">
        <f t="shared" si="109"/>
        <v>0</v>
      </c>
      <c r="F113" s="212">
        <f xml:space="preserve"> 0.0898*F107^2 - 11.826*F107 + 336.79</f>
        <v>52.189999999999884</v>
      </c>
      <c r="AD113" s="217" t="s">
        <v>121</v>
      </c>
      <c r="AE113" s="201">
        <v>0.57299999999999995</v>
      </c>
    </row>
    <row r="114" spans="1:31">
      <c r="A114" s="213" t="str">
        <f t="shared" si="107"/>
        <v>Labour - casual</v>
      </c>
      <c r="B114" s="212">
        <v>0</v>
      </c>
      <c r="C114" s="212">
        <f t="shared" si="110"/>
        <v>179.82404529581592</v>
      </c>
      <c r="D114" s="212">
        <f t="shared" si="108"/>
        <v>-529.46430765450589</v>
      </c>
      <c r="E114" s="212">
        <f t="shared" si="109"/>
        <v>0</v>
      </c>
      <c r="F114" s="212">
        <v>0</v>
      </c>
      <c r="AD114" s="217" t="s">
        <v>122</v>
      </c>
      <c r="AE114" s="201">
        <v>0.51500000000000001</v>
      </c>
    </row>
    <row r="115" spans="1:31">
      <c r="A115" s="213" t="str">
        <f t="shared" si="107"/>
        <v>Labour - formal emp</v>
      </c>
      <c r="B115" s="212">
        <v>0</v>
      </c>
      <c r="C115" s="212">
        <f t="shared" si="110"/>
        <v>370.23889393021977</v>
      </c>
      <c r="D115" s="212">
        <f t="shared" si="108"/>
        <v>1171.7998663111339</v>
      </c>
      <c r="E115" s="212">
        <f t="shared" si="109"/>
        <v>11163.263620017235</v>
      </c>
      <c r="F115" s="212">
        <f xml:space="preserve"> -2.582*F107^2 + 352.49*F107 - 6757.3</f>
        <v>2671.7</v>
      </c>
    </row>
    <row r="116" spans="1:31">
      <c r="A116" s="213" t="str">
        <f t="shared" si="107"/>
        <v>Self - employment</v>
      </c>
      <c r="B116" s="212">
        <v>0</v>
      </c>
      <c r="C116" s="212">
        <f t="shared" si="110"/>
        <v>146.10412109716026</v>
      </c>
      <c r="D116" s="212">
        <f t="shared" si="108"/>
        <v>-206.12977701488185</v>
      </c>
      <c r="E116" s="212">
        <f t="shared" si="109"/>
        <v>-44.877441688511496</v>
      </c>
      <c r="F116" s="212">
        <f xml:space="preserve"> 0.025*F107^2 - 2.8902*F107 + 868.55</f>
        <v>829.53</v>
      </c>
    </row>
    <row r="117" spans="1:31">
      <c r="A117" s="213" t="str">
        <f t="shared" si="107"/>
        <v>Small business/petty trading</v>
      </c>
      <c r="B117" s="212">
        <v>0</v>
      </c>
      <c r="C117" s="212">
        <f t="shared" si="110"/>
        <v>40.389697519660345</v>
      </c>
      <c r="D117" s="212">
        <f t="shared" si="108"/>
        <v>2183.2044317725877</v>
      </c>
      <c r="E117" s="212">
        <f t="shared" si="109"/>
        <v>-249.36898431582813</v>
      </c>
      <c r="F117" s="212">
        <f xml:space="preserve"> 1.6289*F107^2 - 121.84*F107 + 2098.5</f>
        <v>6203.5</v>
      </c>
    </row>
    <row r="118" spans="1:31">
      <c r="A118" s="213" t="str">
        <f t="shared" si="107"/>
        <v>Food transfer - official</v>
      </c>
      <c r="B118" s="212">
        <f xml:space="preserve"> 0</f>
        <v>0</v>
      </c>
      <c r="C118" s="212">
        <f t="shared" si="110"/>
        <v>-2.7797321830208017</v>
      </c>
      <c r="D118" s="212">
        <f t="shared" si="108"/>
        <v>-33.696099603515485</v>
      </c>
      <c r="E118" s="212">
        <f t="shared" si="109"/>
        <v>0</v>
      </c>
      <c r="F118" s="212">
        <f>0.0411*F107^2 - 5.0851*F107 + 112.24</f>
        <v>14.730000000000004</v>
      </c>
    </row>
    <row r="119" spans="1:31">
      <c r="A119" s="213" t="str">
        <f t="shared" si="107"/>
        <v>Cash transfer - official</v>
      </c>
      <c r="B119" s="212">
        <v>0</v>
      </c>
      <c r="C119" s="212">
        <f t="shared" si="110"/>
        <v>0</v>
      </c>
      <c r="D119" s="212">
        <f t="shared" si="108"/>
        <v>-690.92561266270832</v>
      </c>
      <c r="E119" s="212">
        <f t="shared" si="109"/>
        <v>0</v>
      </c>
      <c r="F119" s="212">
        <f xml:space="preserve"> -0.4727*F107^2 + 44.988*F107 - 899.63</f>
        <v>-1127.83</v>
      </c>
    </row>
    <row r="120" spans="1:31">
      <c r="A120" s="213" t="str">
        <f t="shared" si="107"/>
        <v>Cash transfer - gifts</v>
      </c>
      <c r="B120" s="212">
        <v>0</v>
      </c>
      <c r="C120" s="212">
        <f t="shared" si="110"/>
        <v>88.352463324256988</v>
      </c>
      <c r="D120" s="212">
        <f t="shared" si="108"/>
        <v>-23.11396012892083</v>
      </c>
      <c r="E120" s="212">
        <f t="shared" si="109"/>
        <v>284.2237973605728</v>
      </c>
      <c r="F120" s="212">
        <f xml:space="preserve"> 0.1467*F107^2 - 15.6*F107 + 389.33</f>
        <v>296.33</v>
      </c>
    </row>
  </sheetData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V.Poor</vt:lpstr>
      <vt:lpstr>Poor</vt:lpstr>
      <vt:lpstr>Middle</vt:lpstr>
      <vt:lpstr>Rich</vt:lpstr>
      <vt:lpstr>Food</vt:lpstr>
      <vt:lpstr>Income</vt:lpstr>
      <vt:lpstr>Expenditure</vt:lpstr>
      <vt:lpstr>Percentiles</vt:lpstr>
    </vt:vector>
  </TitlesOfParts>
  <Manager/>
  <Company>SAVAC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HEA Outcome Forecast Analysis Spreadsheet</dc:title>
  <dc:subject>Spreadsheet for analysing and forecasting food insecurity and living standards risks</dc:subject>
  <dc:creator>Mark Lawrence; Charles Rethman (total income, FPL, LBPL, UBPLs); SAVAC</dc:creator>
  <cp:keywords/>
  <dc:description/>
  <cp:lastModifiedBy>Charles Rethman</cp:lastModifiedBy>
  <cp:lastPrinted>2011-04-19T10:12:05Z</cp:lastPrinted>
  <dcterms:created xsi:type="dcterms:W3CDTF">2006-01-21T10:30:34Z</dcterms:created>
  <dcterms:modified xsi:type="dcterms:W3CDTF">2016-08-10T10:35:08Z</dcterms:modified>
  <cp:category/>
</cp:coreProperties>
</file>