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20" windowHeight="168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E61" i="7"/>
  <c r="E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E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<sst xmlns="http://schemas.openxmlformats.org/spreadsheetml/2006/main" count="849" uniqueCount="191">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</sst>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0.00411597135740971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0.0164470562214612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0.00188356164383562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316312"/>
        <c:axId val="1768319608"/>
      </c:barChart>
      <c:catAx>
        <c:axId val="17683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31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31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31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0.0542076884117973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0.0117003500691756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0.00134998887470497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0.000204259838066133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0.000563519389337229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8.99492864878384E-5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0.000374788693699326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0.000112436608109798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2.18626737991274E-5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6.24647822832211E-5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0.0847610939661594</c:v>
                </c:pt>
                <c:pt idx="2">
                  <c:v>0.0847610939661594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0.00374534390964429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273624"/>
        <c:axId val="1768618872"/>
      </c:barChart>
      <c:catAx>
        <c:axId val="176827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61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61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27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0.0351746408661974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0.00909399947909786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0.00911888864969735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0.000662639241878007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0.00237044939528961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0.00145902218395157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0.00263434560991257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0.000486340727983858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7.0924689497646E-5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0.000506604924983186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0.344599717326394</c:v>
                </c:pt>
                <c:pt idx="2">
                  <c:v>0.344599717326394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030680"/>
        <c:axId val="-2013025160"/>
      </c:barChart>
      <c:catAx>
        <c:axId val="-201303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02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02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03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326904"/>
        <c:axId val="-2000056760"/>
      </c:barChart>
      <c:catAx>
        <c:axId val="176832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05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05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2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ZA3XX - Affected Area without grants</a:t>
            </a:r>
          </a:p>
        </c:rich>
      </c:tx>
      <c:layout>
        <c:manualLayout>
          <c:xMode val="edge"/>
          <c:yMode val="edge"/>
          <c:x val="0.311536453021093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2463.77247561161</c:v>
                </c:pt>
                <c:pt idx="6">
                  <c:v>4355.964259380095</c:v>
                </c:pt>
                <c:pt idx="7">
                  <c:v>2485.63619554588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3142.376247668351</c:v>
                </c:pt>
                <c:pt idx="7">
                  <c:v>7512.223957716777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8651.356496526663</c:v>
                </c:pt>
                <c:pt idx="7">
                  <c:v>13024.25614149403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5214.53834252966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17531.42857142857</c:v>
                </c:pt>
                <c:pt idx="7">
                  <c:v>96018.2857142857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429.0437695259723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235960"/>
        <c:axId val="-203023988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235960"/>
        <c:axId val="-2030239880"/>
      </c:lineChart>
      <c:catAx>
        <c:axId val="-203023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2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23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23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711160"/>
        <c:axId val="-20307271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11160"/>
        <c:axId val="-2030727112"/>
      </c:lineChart>
      <c:catAx>
        <c:axId val="-203071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72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72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71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998216"/>
        <c:axId val="-2031010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998216"/>
        <c:axId val="-2031010888"/>
      </c:lineChart>
      <c:catAx>
        <c:axId val="-2030998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01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01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99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0.412567993522577</c:v>
                </c:pt>
                <c:pt idx="2">
                  <c:v>0.416039151361962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-0.422080329228549</c:v>
                </c:pt>
                <c:pt idx="2">
                  <c:v>-0.422080329228549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082152"/>
        <c:axId val="-2014075576"/>
      </c:barChart>
      <c:catAx>
        <c:axId val="-201408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7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07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8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0.0282559564656278</c:v>
                </c:pt>
                <c:pt idx="2">
                  <c:v>0.0666101063677554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0.223812623036169</c:v>
                </c:pt>
                <c:pt idx="2">
                  <c:v>0.182658072569092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0.0282559564656278</c:v>
                </c:pt>
                <c:pt idx="2">
                  <c:v>0.0666101063677554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206792"/>
        <c:axId val="-2014211768"/>
      </c:barChart>
      <c:catAx>
        <c:axId val="-201420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1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21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0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0.0163443059129698</c:v>
                </c:pt>
                <c:pt idx="2">
                  <c:v>0.0344884146676177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0.0479567604006795</c:v>
                </c:pt>
                <c:pt idx="2">
                  <c:v>0.0286184028689668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0.0163443059129698</c:v>
                </c:pt>
                <c:pt idx="2">
                  <c:v>0.0344884146676177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251512"/>
        <c:axId val="-2032160168"/>
      </c:barChart>
      <c:catAx>
        <c:axId val="-203225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16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16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5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0.254481096800997</c:v>
                </c:pt>
                <c:pt idx="2">
                  <c:v>0.261578936435397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-1.195210782473642</c:v>
                </c:pt>
                <c:pt idx="2">
                  <c:v>-1.195210782473642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867880"/>
        <c:axId val="-2014234168"/>
      </c:barChart>
      <c:catAx>
        <c:axId val="-203286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3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23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86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0.195154076022841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0.031002336502913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0.00767673905332277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0.000791239324675432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0.010704157762319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0.00570640248823356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0.00153995780544164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0.00231199841204688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0.000461696950300645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0.224488817162559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0.19071215659636</c:v>
                </c:pt>
                <c:pt idx="2" formatCode="0.0%">
                  <c:v>0.449581561748252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7654328"/>
        <c:axId val="-1997584184"/>
      </c:barChart>
      <c:catAx>
        <c:axId val="-199765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58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58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65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653816"/>
        <c:axId val="-20147191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653816"/>
        <c:axId val="-20147191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653816"/>
        <c:axId val="-2014719160"/>
      </c:scatterChart>
      <c:catAx>
        <c:axId val="-2014653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719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719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653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070552"/>
        <c:axId val="-20304029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070552"/>
        <c:axId val="-2030402968"/>
      </c:lineChart>
      <c:catAx>
        <c:axId val="-2030070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40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040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070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742712"/>
        <c:axId val="-20147518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761944"/>
        <c:axId val="-2014766456"/>
      </c:scatterChart>
      <c:valAx>
        <c:axId val="-20147427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751896"/>
        <c:crosses val="autoZero"/>
        <c:crossBetween val="midCat"/>
      </c:valAx>
      <c:valAx>
        <c:axId val="-201475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742712"/>
        <c:crosses val="autoZero"/>
        <c:crossBetween val="midCat"/>
      </c:valAx>
      <c:valAx>
        <c:axId val="-2014761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4766456"/>
        <c:crosses val="autoZero"/>
        <c:crossBetween val="midCat"/>
      </c:valAx>
      <c:valAx>
        <c:axId val="-20147664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761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262216"/>
        <c:axId val="-2032407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62216"/>
        <c:axId val="-2032407048"/>
      </c:lineChart>
      <c:catAx>
        <c:axId val="-203226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407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407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622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0.101042594777181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0.0198373902181277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0.00694788256698539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0.000933143587265016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0.00699859553734804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0.00368130906402235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0.00159439682931051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0.0106600380133345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0.00638579392544249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0.26445349387913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0.235162775032936</c:v>
                </c:pt>
                <c:pt idx="2" formatCode="0.0%">
                  <c:v>0.496221212629635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846968"/>
        <c:axId val="-2004228952"/>
      </c:barChart>
      <c:catAx>
        <c:axId val="-200284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22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22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84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348040"/>
        <c:axId val="-2002309064"/>
      </c:barChart>
      <c:catAx>
        <c:axId val="-20133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30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30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34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0.00194089638340861</c:v>
                </c:pt>
                <c:pt idx="1">
                  <c:v>0.00407705877258654</c:v>
                </c:pt>
                <c:pt idx="2">
                  <c:v>0.0</c:v>
                </c:pt>
                <c:pt idx="3">
                  <c:v>0.0117963661391481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0.00154953193095661</c:v>
                </c:pt>
                <c:pt idx="1">
                  <c:v>0.00325495621843281</c:v>
                </c:pt>
                <c:pt idx="2">
                  <c:v>0.0</c:v>
                </c:pt>
                <c:pt idx="3">
                  <c:v>0.00941773407283281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0.000823188838320696</c:v>
                </c:pt>
                <c:pt idx="1">
                  <c:v>0.00172919549104243</c:v>
                </c:pt>
                <c:pt idx="2">
                  <c:v>0.0</c:v>
                </c:pt>
                <c:pt idx="3">
                  <c:v>0.00500317122619243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0.0356711902329007</c:v>
                </c:pt>
                <c:pt idx="1">
                  <c:v>0.0749311196161026</c:v>
                </c:pt>
                <c:pt idx="2">
                  <c:v>0.0</c:v>
                </c:pt>
                <c:pt idx="3">
                  <c:v>0.216802104534558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-0.156016162602232</c:v>
                </c:pt>
                <c:pt idx="2">
                  <c:v>-0.27291200638599</c:v>
                </c:pt>
                <c:pt idx="3">
                  <c:v>-0.22997360289531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839192"/>
        <c:axId val="-2017619288"/>
      </c:barChart>
      <c:catAx>
        <c:axId val="-2017839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9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61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3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-0.210854930300149</c:v>
                </c:pt>
                <c:pt idx="1">
                  <c:v>-0.210854930300149</c:v>
                </c:pt>
                <c:pt idx="2">
                  <c:v>-0.210854930300149</c:v>
                </c:pt>
                <c:pt idx="3">
                  <c:v>-0.210854930300149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54616"/>
        <c:axId val="-2017737448"/>
      </c:barChart>
      <c:catAx>
        <c:axId val="-2017554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7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73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5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0.0173810842211376</c:v>
                </c:pt>
                <c:pt idx="1">
                  <c:v>0.00312831698268139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0.00263657060028989</c:v>
                </c:pt>
                <c:pt idx="1">
                  <c:v>0.000474540510821222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0.00640310002927544</c:v>
                </c:pt>
                <c:pt idx="1">
                  <c:v>0.00115245552628011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0.661548213473864</c:v>
                </c:pt>
                <c:pt idx="1">
                  <c:v>0.119068090617501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0.0830862618278068</c:v>
                </c:pt>
                <c:pt idx="3">
                  <c:v>0.0409230841838451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0.0307069562132911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0.000791239324675432</c:v>
                </c:pt>
                <c:pt idx="1">
                  <c:v>0.000791239324675432</c:v>
                </c:pt>
                <c:pt idx="2">
                  <c:v>0.000791239324675432</c:v>
                </c:pt>
                <c:pt idx="3">
                  <c:v>0.000791239324675432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0.0428166310492761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0.000923393900601291</c:v>
                </c:pt>
                <c:pt idx="3">
                  <c:v>0.000923393900601291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0.224488817162559</c:v>
                </c:pt>
                <c:pt idx="1">
                  <c:v>0.224488817162559</c:v>
                </c:pt>
                <c:pt idx="2">
                  <c:v>0.224488817162559</c:v>
                </c:pt>
                <c:pt idx="3">
                  <c:v>0.224488817162559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0.592543637363838</c:v>
                </c:pt>
                <c:pt idx="2">
                  <c:v>0.626592501332489</c:v>
                </c:pt>
                <c:pt idx="3">
                  <c:v>0.620758543244734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969576"/>
        <c:axId val="-2018405992"/>
      </c:barChart>
      <c:catAx>
        <c:axId val="-2013969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05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40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6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0.404170379108724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0.0531642057845822</c:v>
                </c:pt>
                <c:pt idx="3">
                  <c:v>0.0261853550879285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0.0277915302679416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0.000933143587265016</c:v>
                </c:pt>
                <c:pt idx="1">
                  <c:v>0.000933143587265016</c:v>
                </c:pt>
                <c:pt idx="2">
                  <c:v>0.000933143587265016</c:v>
                </c:pt>
                <c:pt idx="3">
                  <c:v>0.000933143587265016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0.0279943821493922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0.012771587850885</c:v>
                </c:pt>
                <c:pt idx="3">
                  <c:v>0.012771587850885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0.26445349387913</c:v>
                </c:pt>
                <c:pt idx="1">
                  <c:v>0.26445349387913</c:v>
                </c:pt>
                <c:pt idx="2">
                  <c:v>0.26445349387913</c:v>
                </c:pt>
                <c:pt idx="3">
                  <c:v>0.26445349387913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0.184376582211949</c:v>
                </c:pt>
                <c:pt idx="1">
                  <c:v>0.659799208927166</c:v>
                </c:pt>
                <c:pt idx="2">
                  <c:v>0.590094441065049</c:v>
                </c:pt>
                <c:pt idx="3">
                  <c:v>0.571717441887707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290488"/>
        <c:axId val="-2017545480"/>
      </c:barChart>
      <c:catAx>
        <c:axId val="-2013290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45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54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29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7919672"/>
        <c:axId val="1767922408"/>
      </c:barChart>
      <c:catAx>
        <c:axId val="176791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922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792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91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11816.897266104159</v>
      </c>
      <c r="T23" s="179">
        <f>SUM(T7:T22)</f>
        <v>12084.186939912626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0.6111905354919055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28658.054421767029</v>
      </c>
      <c r="T30" s="234">
        <f t="shared" si="24"/>
        <v>28390.764747958561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-0.21085493030014918</v>
      </c>
      <c r="AB30" s="122">
        <f>IF($Y30=0,0,AC30/($Y$30))</f>
        <v>0</v>
      </c>
      <c r="AC30" s="187">
        <f>IF(AC79*4/$I$83+SUM(AC6:AC29)&lt;1,AC79*4/$I$83,1-SUM(AC6:AC29))</f>
        <v>-0.21085493030014918</v>
      </c>
      <c r="AD30" s="122">
        <f>IF($Y30=0,0,AE30/($Y$30))</f>
        <v>0</v>
      </c>
      <c r="AE30" s="187">
        <f>IF(AE79*4/$I$83+SUM(AE6:AE29)&lt;1,AE79*4/$I$83,1-SUM(AE6:AE29))</f>
        <v>-0.21085493030014918</v>
      </c>
      <c r="AF30" s="122">
        <f>IF($Y30=0,0,AG30/($Y$30))</f>
        <v>0</v>
      </c>
      <c r="AG30" s="187">
        <f>IF(AG79*4/$I$83+SUM(AG6:AG29)&lt;1,AG79*4/$I$83,1-SUM(AG6:AG29))</f>
        <v>-0.21085493030014918</v>
      </c>
      <c r="AH30" s="123">
        <f t="shared" si="12"/>
        <v>0</v>
      </c>
      <c r="AI30" s="183">
        <f t="shared" si="13"/>
        <v>-0.21085493030014918</v>
      </c>
      <c r="AJ30" s="120">
        <f t="shared" si="14"/>
        <v>-0.21085493030014918</v>
      </c>
      <c r="AK30" s="119">
        <f t="shared" si="15"/>
        <v>-0.21085493030014918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0.55799493411531009</v>
      </c>
      <c r="K31" s="22" t="str">
        <f t="shared" si="4"/>
        <v/>
      </c>
      <c r="L31" s="22">
        <f>(1-SUM(L6:L30))</f>
        <v>0.66849294565589568</v>
      </c>
      <c r="M31" s="241">
        <f t="shared" si="6"/>
        <v>0.55799493411531009</v>
      </c>
      <c r="N31" s="167">
        <f>M31*I83</f>
        <v>9470.4755913267236</v>
      </c>
      <c r="P31" s="22"/>
      <c r="Q31" s="238" t="s">
        <v>142</v>
      </c>
      <c r="R31" s="234">
        <f t="shared" si="24"/>
        <v>6021.8931138272528</v>
      </c>
      <c r="S31" s="234">
        <f t="shared" si="24"/>
        <v>48096.063310655954</v>
      </c>
      <c r="T31" s="234">
        <f>IF(T25&gt;T$23,T25-T$23,0)</f>
        <v>47828.773636847487</v>
      </c>
      <c r="V31" s="56"/>
      <c r="W31" s="129" t="s">
        <v>84</v>
      </c>
      <c r="X31" s="130"/>
      <c r="Y31" s="121">
        <f>M31*4</f>
        <v>2.2319797364612404</v>
      </c>
      <c r="Z31" s="131"/>
      <c r="AA31" s="132">
        <f>1-AA32+IF($Y32&lt;0,$Y32/4,0)</f>
        <v>0.65214563040964779</v>
      </c>
      <c r="AB31" s="131"/>
      <c r="AC31" s="133">
        <f>1-AC32+IF($Y32&lt;0,$Y32/4,0)</f>
        <v>0.87077009582544951</v>
      </c>
      <c r="AD31" s="134"/>
      <c r="AE31" s="133">
        <f>1-AE32+IF($Y32&lt;0,$Y32/4,0)</f>
        <v>0.86813496665982059</v>
      </c>
      <c r="AF31" s="134"/>
      <c r="AG31" s="133">
        <f>1-AG32+IF($Y32&lt;0,$Y32/4,0)</f>
        <v>0.83469583450539964</v>
      </c>
      <c r="AH31" s="123"/>
      <c r="AI31" s="182">
        <f>SUM(AA31,AC31,AE31,AG31)/4</f>
        <v>0.8064366318500793</v>
      </c>
      <c r="AJ31" s="135">
        <f t="shared" si="14"/>
        <v>0.76145786311754859</v>
      </c>
      <c r="AK31" s="136">
        <f t="shared" si="15"/>
        <v>0.85141540058261012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0.44200506588468996</v>
      </c>
      <c r="J32" s="17"/>
      <c r="L32" s="22">
        <f>SUM(L6:L30)</f>
        <v>0.33150705434410427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82392.931882084522</v>
      </c>
      <c r="T32" s="234">
        <f t="shared" si="24"/>
        <v>82125.642208276055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0.34785436959035226</v>
      </c>
      <c r="AB32" s="137"/>
      <c r="AC32" s="139">
        <f>SUM(AC6:AC30)</f>
        <v>0.12922990417455049</v>
      </c>
      <c r="AD32" s="137"/>
      <c r="AE32" s="139">
        <f>SUM(AE6:AE30)</f>
        <v>0.13186503334017935</v>
      </c>
      <c r="AF32" s="137"/>
      <c r="AG32" s="139">
        <f>SUM(AG6:AG30)</f>
        <v>0.16530416549460031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7.4596374766319924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38358.298045520743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0.67677606979642702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8394.94</v>
      </c>
      <c r="J65" s="39">
        <f>SUM(J37:J64)</f>
        <v>8394.94</v>
      </c>
      <c r="K65" s="40">
        <f>SUM(K37:K64)</f>
        <v>0.99999999999999989</v>
      </c>
      <c r="L65" s="22">
        <f>SUM(L37:L64)</f>
        <v>0.25448109680099706</v>
      </c>
      <c r="M65" s="24">
        <f>SUM(M37:M64)</f>
        <v>0.26157893643539676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1204.06</v>
      </c>
      <c r="AB65" s="137"/>
      <c r="AC65" s="153">
        <f>SUM(AC37:AC64)</f>
        <v>1204.06</v>
      </c>
      <c r="AD65" s="137"/>
      <c r="AE65" s="153">
        <f>SUM(AE37:AE64)</f>
        <v>1204.06</v>
      </c>
      <c r="AF65" s="137"/>
      <c r="AG65" s="153">
        <f>SUM(AG37:AG64)</f>
        <v>1204.06</v>
      </c>
      <c r="AH65" s="137"/>
      <c r="AI65" s="153">
        <f>SUM(AI37:AI64)</f>
        <v>4816.24</v>
      </c>
      <c r="AJ65" s="153">
        <f>SUM(AJ37:AJ64)</f>
        <v>2408.12</v>
      </c>
      <c r="AK65" s="153">
        <f>SUM(AK37:AK64)</f>
        <v>2408.12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8394.94</v>
      </c>
      <c r="J70" s="51">
        <f t="shared" ref="J70:J77" si="44">J124*I$83</f>
        <v>8394.94</v>
      </c>
      <c r="K70" s="40">
        <f>B70/B$76</f>
        <v>0.60794177302729779</v>
      </c>
      <c r="L70" s="22">
        <f t="shared" ref="L70:L74" si="45">(L124*G$37*F$9/F$7)/B$130</f>
        <v>0.25448109680099706</v>
      </c>
      <c r="M70" s="24">
        <f>J70/B$76</f>
        <v>0.26157893643539676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2098.7350000000001</v>
      </c>
      <c r="AB70" s="156">
        <f>Poor!AB70</f>
        <v>0.25</v>
      </c>
      <c r="AC70" s="147">
        <f>$J70*AB70</f>
        <v>2098.7350000000001</v>
      </c>
      <c r="AD70" s="156">
        <f>Poor!AD70</f>
        <v>0.25</v>
      </c>
      <c r="AE70" s="147">
        <f>$J70*AD70</f>
        <v>2098.7350000000001</v>
      </c>
      <c r="AF70" s="156">
        <f>Poor!AF70</f>
        <v>0.25</v>
      </c>
      <c r="AG70" s="147">
        <f>$J70*AF70</f>
        <v>2098.7350000000001</v>
      </c>
      <c r="AH70" s="155">
        <f>SUM(Z70,AB70,AD70,AF70)</f>
        <v>1</v>
      </c>
      <c r="AI70" s="147">
        <f>SUM(AA70,AC70,AE70,AG70)</f>
        <v>8394.94</v>
      </c>
      <c r="AJ70" s="148">
        <f>(AA70+AC70)</f>
        <v>4197.47</v>
      </c>
      <c r="AK70" s="147">
        <f>(AE70+AG70)</f>
        <v>4197.47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0.51328070904306955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0.19589320974580604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-894.67500000000018</v>
      </c>
      <c r="AB74" s="156"/>
      <c r="AC74" s="147">
        <f>AC30*$I$83/4</f>
        <v>-894.67500000000018</v>
      </c>
      <c r="AD74" s="156"/>
      <c r="AE74" s="147">
        <f>AE30*$I$83/4</f>
        <v>-894.67500000000018</v>
      </c>
      <c r="AF74" s="156"/>
      <c r="AG74" s="147">
        <f>AG30*$I$83/4</f>
        <v>-894.67500000000018</v>
      </c>
      <c r="AH74" s="155"/>
      <c r="AI74" s="147">
        <f>SUM(AA74,AC74,AE74,AG74)</f>
        <v>-3578.7000000000007</v>
      </c>
      <c r="AJ74" s="148">
        <f>(AA74+AC74)</f>
        <v>-1789.3500000000004</v>
      </c>
      <c r="AK74" s="147">
        <f>(AE74+AG74)</f>
        <v>-1789.3500000000004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8394.94</v>
      </c>
      <c r="J76" s="51">
        <f t="shared" si="44"/>
        <v>8394.94</v>
      </c>
      <c r="K76" s="40">
        <f>SUM(K70:K75)</f>
        <v>2.292577143534376</v>
      </c>
      <c r="L76" s="22">
        <f>SUM(L70:L75)</f>
        <v>0.25448109680099706</v>
      </c>
      <c r="M76" s="24">
        <f>SUM(M70:M75)</f>
        <v>0.26157893643539676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1204.06</v>
      </c>
      <c r="AB76" s="137"/>
      <c r="AC76" s="153">
        <f>AC65</f>
        <v>1204.06</v>
      </c>
      <c r="AD76" s="137"/>
      <c r="AE76" s="153">
        <f>AE65</f>
        <v>1204.06</v>
      </c>
      <c r="AF76" s="137"/>
      <c r="AG76" s="153">
        <f>AG65</f>
        <v>1204.06</v>
      </c>
      <c r="AH76" s="137"/>
      <c r="AI76" s="153">
        <f>SUM(AA76,AC76,AE76,AG76)</f>
        <v>4816.24</v>
      </c>
      <c r="AJ76" s="154">
        <f>SUM(AA76,AC76)</f>
        <v>2408.12</v>
      </c>
      <c r="AK76" s="154">
        <f>SUM(AE76,AG76)</f>
        <v>2408.12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38358.298045520743</v>
      </c>
      <c r="J77" s="100">
        <f t="shared" si="44"/>
        <v>38358.298045520743</v>
      </c>
      <c r="K77" s="40"/>
      <c r="L77" s="22">
        <f>-(L131*G$37*F$9/F$7)/B$130</f>
        <v>-1.1952107824736418</v>
      </c>
      <c r="M77" s="24">
        <f>-J77/B$76</f>
        <v>-1.1952107824736418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2767.108130012452</v>
      </c>
      <c r="AB77" s="112"/>
      <c r="AC77" s="111">
        <f>AC31*$I$83/4</f>
        <v>3694.7499134768063</v>
      </c>
      <c r="AD77" s="112"/>
      <c r="AE77" s="111">
        <f>AE31*$I$83/4</f>
        <v>3683.5688413391849</v>
      </c>
      <c r="AF77" s="112"/>
      <c r="AG77" s="111">
        <f>AG31*$I$83/4</f>
        <v>3541.6838234376833</v>
      </c>
      <c r="AH77" s="110"/>
      <c r="AI77" s="154">
        <f>SUM(AA77,AC77,AE77,AG77)</f>
        <v>13687.110708266126</v>
      </c>
      <c r="AJ77" s="153">
        <f>SUM(AA77,AC77)</f>
        <v>6461.8580434892583</v>
      </c>
      <c r="AK77" s="160">
        <f>SUM(AE77,AG77)</f>
        <v>7225.2526647768682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-894.67500000000018</v>
      </c>
      <c r="AB79" s="112"/>
      <c r="AC79" s="112">
        <f>AA79-AA74+AC65-AC70</f>
        <v>-894.67500000000018</v>
      </c>
      <c r="AD79" s="112"/>
      <c r="AE79" s="112">
        <f>AC79-AC74+AE65-AE70</f>
        <v>-894.67500000000018</v>
      </c>
      <c r="AF79" s="112"/>
      <c r="AG79" s="112">
        <f>AE79-AE74+AG65-AG70</f>
        <v>-894.67500000000018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2.1115541934492259</v>
      </c>
      <c r="L115" s="22">
        <f t="shared" si="64"/>
        <v>0</v>
      </c>
      <c r="M115" s="228">
        <f t="shared" si="65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0.4946250003000906</v>
      </c>
      <c r="J119" s="24">
        <f>SUM(J91:J118)</f>
        <v>0.4946250003000906</v>
      </c>
      <c r="K119" s="22">
        <f>SUM(K91:K118)</f>
        <v>3.1200189954771558</v>
      </c>
      <c r="L119" s="22">
        <f>SUM(L91:L118)</f>
        <v>0.48120354909634655</v>
      </c>
      <c r="M119" s="57">
        <f t="shared" si="49"/>
        <v>0.4946250003000906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0.4946250003000906</v>
      </c>
      <c r="J124" s="237">
        <f>IF(SUMPRODUCT($B$124:$B124,$H$124:$H124)&lt;J$119,($B124*$H124),J$119)</f>
        <v>0.4946250003000906</v>
      </c>
      <c r="K124" s="29">
        <f>(B124)</f>
        <v>1.8967898799892307</v>
      </c>
      <c r="L124" s="29">
        <f>IF(SUMPRODUCT($B$124:$B124,$H$124:$H124)&lt;L$119,($B124*$H124),L$119)</f>
        <v>0.48120354909634655</v>
      </c>
      <c r="M124" s="240">
        <f t="shared" si="66"/>
        <v>0.4946250003000906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0.6111905354919055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0.4946250003000906</v>
      </c>
      <c r="J130" s="228">
        <f>(J119)</f>
        <v>0.4946250003000906</v>
      </c>
      <c r="K130" s="29">
        <f>(B130)</f>
        <v>3.1200189954771558</v>
      </c>
      <c r="L130" s="29">
        <f>(L119)</f>
        <v>0.48120354909634655</v>
      </c>
      <c r="M130" s="240">
        <f t="shared" si="66"/>
        <v>0.4946250003000906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2.2600486938890167</v>
      </c>
      <c r="J131" s="237">
        <f>IF(SUMPRODUCT($B124:$B125,$H124:$H125)&gt;(J119-J128),SUMPRODUCT($B124:$B125,$H124:$H125)+J128-J119,0)</f>
        <v>2.2600486938890167</v>
      </c>
      <c r="K131" s="29"/>
      <c r="L131" s="29">
        <f>IF(I131&lt;SUM(L126:L127),0,I131-(SUM(L126:L127)))</f>
        <v>2.2600486938890167</v>
      </c>
      <c r="M131" s="237">
        <f>IF(I131&lt;SUM(M126:M127),0,I131-(SUM(M126:M127)))</f>
        <v>2.2600486938890167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2463.7724756116104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0.10895146389538633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1.9408963834086077E-3</v>
      </c>
      <c r="AB8" s="125">
        <f>IF($Y8=0,0,AC8/$Y8)</f>
        <v>0.22886410910855695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4.0770587725865457E-3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0.66218442699605673</v>
      </c>
      <c r="AG8" s="121">
        <f t="shared" si="11"/>
        <v>1.179636613914806E-2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3.0089775779975768E-3</v>
      </c>
      <c r="AK8" s="119">
        <f t="shared" si="15"/>
        <v>5.8981830695740301E-3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0.10895146389538633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1.5495319309566057E-3</v>
      </c>
      <c r="AB9" s="125">
        <f>IF($Y9=0,0,AC9/$Y9)</f>
        <v>0.22886410910855695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3.2549562184328103E-3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0.66218442699605673</v>
      </c>
      <c r="AG9" s="121">
        <f t="shared" si="11"/>
        <v>9.417734072832808E-3</v>
      </c>
      <c r="AH9" s="123">
        <f t="shared" si="12"/>
        <v>1</v>
      </c>
      <c r="AI9" s="183">
        <f t="shared" si="13"/>
        <v>3.5555555555555557E-3</v>
      </c>
      <c r="AJ9" s="120">
        <f t="shared" si="14"/>
        <v>2.4022440746947079E-3</v>
      </c>
      <c r="AK9" s="119">
        <f t="shared" si="15"/>
        <v>4.708867036416404E-3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0.10895146389538632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8.2318883832069669E-4</v>
      </c>
      <c r="AB10" s="125">
        <f>IF($Y10=0,0,AC10/$Y10)</f>
        <v>0.22886410910855695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1.7291954910424305E-3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0.66218442699605673</v>
      </c>
      <c r="AG10" s="121">
        <f t="shared" si="11"/>
        <v>5.0031712261924292E-3</v>
      </c>
      <c r="AH10" s="123">
        <f t="shared" si="12"/>
        <v>1</v>
      </c>
      <c r="AI10" s="183">
        <f t="shared" si="13"/>
        <v>1.8888888888888892E-3</v>
      </c>
      <c r="AJ10" s="120">
        <f t="shared" si="14"/>
        <v>1.2761921646815635E-3</v>
      </c>
      <c r="AK10" s="119">
        <f t="shared" si="15"/>
        <v>2.5015856130962146E-3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0.10895146389538633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3.5671190232900718E-2</v>
      </c>
      <c r="AB11" s="125">
        <f>IF($Y11=0,0,AC11/$Y11)</f>
        <v>0.22886410910855698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7.4931119616102645E-2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0.66218442699605662</v>
      </c>
      <c r="AG11" s="121">
        <f t="shared" si="11"/>
        <v>0.21680210453455823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5.5301154924501682E-2</v>
      </c>
      <c r="AK11" s="119">
        <f t="shared" si="15"/>
        <v>0.10840105226727911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5214.5383425296604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4.1159713574097133E-3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4.1159713574097133E-3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1.6463885429638853E-2</v>
      </c>
      <c r="Z18" s="116">
        <v>1.2941</v>
      </c>
      <c r="AA18" s="121">
        <f t="shared" ref="AA18:AA20" si="25">$M18*Z18*4</f>
        <v>2.1305914134495639E-2</v>
      </c>
      <c r="AB18" s="116">
        <v>1.1765000000000001</v>
      </c>
      <c r="AC18" s="121">
        <f t="shared" ref="AC18:AC20" si="26">$M18*AB18*4</f>
        <v>1.9369761207970113E-2</v>
      </c>
      <c r="AD18" s="116">
        <v>1.2353000000000001</v>
      </c>
      <c r="AE18" s="121">
        <f t="shared" ref="AE18:AE20" si="27">$M18*AD18*4</f>
        <v>2.0337837671232876E-2</v>
      </c>
      <c r="AF18" s="122">
        <f t="shared" ref="AF18:AF20" si="28">1-SUM(Z18,AB18,AD18)</f>
        <v>-2.7059000000000002</v>
      </c>
      <c r="AG18" s="121">
        <f t="shared" ref="AG18:AG20" si="29">$M18*AF18*4</f>
        <v>-4.4549627584059774E-2</v>
      </c>
      <c r="AH18" s="123">
        <f t="shared" ref="AH18:AH20" si="30">SUM(Z18,AB18,AD18,AF18)</f>
        <v>1</v>
      </c>
      <c r="AI18" s="183">
        <f t="shared" ref="AI18:AI20" si="31">SUM(AA18,AC18,AE18,AG18)/4</f>
        <v>4.1159713574097142E-3</v>
      </c>
      <c r="AJ18" s="120">
        <f t="shared" ref="AJ18:AJ20" si="32">(AA18+AC18)/2</f>
        <v>2.0337837671232876E-2</v>
      </c>
      <c r="AK18" s="119">
        <f t="shared" ref="AK18:AK20" si="33">(AE18+AG18)/2</f>
        <v>-1.2105894956413449E-2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6.2577833125778337E-3</v>
      </c>
      <c r="Z19" s="116">
        <v>2.2940999999999998</v>
      </c>
      <c r="AA19" s="121">
        <f t="shared" si="25"/>
        <v>1.4355980697384807E-2</v>
      </c>
      <c r="AB19" s="116">
        <v>2.1764999999999999</v>
      </c>
      <c r="AC19" s="121">
        <f t="shared" si="26"/>
        <v>1.3620065379825654E-2</v>
      </c>
      <c r="AD19" s="116">
        <v>2.2353000000000001</v>
      </c>
      <c r="AE19" s="121">
        <f t="shared" si="27"/>
        <v>1.3988023038605232E-2</v>
      </c>
      <c r="AF19" s="122">
        <f t="shared" si="28"/>
        <v>-5.7058999999999997</v>
      </c>
      <c r="AG19" s="121">
        <f t="shared" si="29"/>
        <v>-3.5706285803237862E-2</v>
      </c>
      <c r="AH19" s="123">
        <f t="shared" si="30"/>
        <v>1</v>
      </c>
      <c r="AI19" s="183">
        <f t="shared" si="31"/>
        <v>1.5644458281444586E-3</v>
      </c>
      <c r="AJ19" s="120">
        <f t="shared" si="32"/>
        <v>1.3988023038605231E-2</v>
      </c>
      <c r="AK19" s="119">
        <f t="shared" si="33"/>
        <v>-1.0859131382316315E-2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1.6447056221461191E-2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1.6447056221461191E-2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6.5788224885844765E-2</v>
      </c>
      <c r="Z22" s="116">
        <v>5.2941000000000003</v>
      </c>
      <c r="AA22" s="121">
        <f t="shared" si="41"/>
        <v>0.34828944136815077</v>
      </c>
      <c r="AB22" s="116">
        <v>5.1764999999999999</v>
      </c>
      <c r="AC22" s="121">
        <f t="shared" si="42"/>
        <v>0.34055274612157543</v>
      </c>
      <c r="AD22" s="116">
        <v>5.2352999999999996</v>
      </c>
      <c r="AE22" s="121">
        <f t="shared" si="43"/>
        <v>0.34442109374486307</v>
      </c>
      <c r="AF22" s="122">
        <f t="shared" si="44"/>
        <v>-14.7059</v>
      </c>
      <c r="AG22" s="121">
        <f t="shared" si="45"/>
        <v>-0.96747505634874453</v>
      </c>
      <c r="AH22" s="123">
        <f t="shared" si="46"/>
        <v>1</v>
      </c>
      <c r="AI22" s="183">
        <f t="shared" si="47"/>
        <v>1.644705622146117E-2</v>
      </c>
      <c r="AJ22" s="120">
        <f t="shared" si="48"/>
        <v>0.34442109374486307</v>
      </c>
      <c r="AK22" s="119">
        <f t="shared" si="49"/>
        <v>-0.31152698130194073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1.8835616438356165E-3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1.8835616438356165E-3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27578.34867776182</v>
      </c>
      <c r="T23" s="179">
        <f>SUM(T7:T22)</f>
        <v>28097.377923483218</v>
      </c>
      <c r="U23" s="56"/>
      <c r="V23" s="56"/>
      <c r="W23" s="110"/>
      <c r="X23" s="118"/>
      <c r="Y23" s="183">
        <f t="shared" si="40"/>
        <v>7.534246575342466E-3</v>
      </c>
      <c r="Z23" s="116">
        <v>6.2941000000000003</v>
      </c>
      <c r="AA23" s="121">
        <f t="shared" si="41"/>
        <v>4.7421301369863014E-2</v>
      </c>
      <c r="AB23" s="116">
        <v>6.1764999999999999</v>
      </c>
      <c r="AC23" s="121">
        <f t="shared" si="42"/>
        <v>4.6535273972602743E-2</v>
      </c>
      <c r="AD23" s="116">
        <v>6.2352999999999996</v>
      </c>
      <c r="AE23" s="121">
        <f t="shared" si="43"/>
        <v>4.6978287671232875E-2</v>
      </c>
      <c r="AF23" s="122">
        <f t="shared" si="44"/>
        <v>-17.7059</v>
      </c>
      <c r="AG23" s="121">
        <f t="shared" si="45"/>
        <v>-0.13340061643835616</v>
      </c>
      <c r="AH23" s="123">
        <f t="shared" si="46"/>
        <v>1</v>
      </c>
      <c r="AI23" s="183">
        <f t="shared" si="47"/>
        <v>1.8835616438356226E-3</v>
      </c>
      <c r="AJ23" s="120">
        <f t="shared" si="48"/>
        <v>4.6978287671232882E-2</v>
      </c>
      <c r="AK23" s="119">
        <f t="shared" si="49"/>
        <v>-4.3211164383561637E-2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0.4958710473225405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12896.603010109367</v>
      </c>
      <c r="T30" s="234">
        <f t="shared" si="50"/>
        <v>12377.573764387969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-0.15601616260223175</v>
      </c>
      <c r="AD30" s="122">
        <f>IF($Y30=0,0,AE30/($Y$30))</f>
        <v>0</v>
      </c>
      <c r="AE30" s="187">
        <f>IF(AE79*4/$I$83+SUM(AE6:AE29)&lt;1,AE79*4/$I$83,1-SUM(AE6:AE29))</f>
        <v>-0.27291200638599017</v>
      </c>
      <c r="AF30" s="122">
        <f>IF($Y30=0,0,AG30/($Y$30))</f>
        <v>0</v>
      </c>
      <c r="AG30" s="187">
        <f>IF(AG79*4/$I$83+SUM(AG6:AG29)&lt;1,AG79*4/$I$83,1-SUM(AG6:AG29))</f>
        <v>-0.2299736028953101</v>
      </c>
      <c r="AH30" s="123">
        <f t="shared" si="12"/>
        <v>0</v>
      </c>
      <c r="AI30" s="183">
        <f t="shared" si="13"/>
        <v>-0.16472544297088301</v>
      </c>
      <c r="AJ30" s="120">
        <f t="shared" si="14"/>
        <v>-7.8008081301115875E-2</v>
      </c>
      <c r="AK30" s="119">
        <f t="shared" si="15"/>
        <v>-0.25144280464065016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0.48729098231711776</v>
      </c>
      <c r="K31" s="22" t="str">
        <f t="shared" si="4"/>
        <v/>
      </c>
      <c r="L31" s="22">
        <f>(1-SUM(L6:L30))</f>
        <v>0.58722018974811452</v>
      </c>
      <c r="M31" s="178">
        <f t="shared" si="6"/>
        <v>0.48729098231711776</v>
      </c>
      <c r="N31" s="167">
        <f>M31*I83</f>
        <v>8270.4646077561301</v>
      </c>
      <c r="P31" s="22"/>
      <c r="Q31" s="238" t="s">
        <v>142</v>
      </c>
      <c r="R31" s="234">
        <f t="shared" si="50"/>
        <v>0</v>
      </c>
      <c r="S31" s="234">
        <f t="shared" si="50"/>
        <v>32334.61189899829</v>
      </c>
      <c r="T31" s="234">
        <f>IF(T25&gt;T$23,T25-T$23,0)</f>
        <v>31815.582653276892</v>
      </c>
      <c r="V31" s="56"/>
      <c r="W31" s="129" t="s">
        <v>84</v>
      </c>
      <c r="X31" s="130"/>
      <c r="Y31" s="121">
        <f>M31*4</f>
        <v>1.949163929268471</v>
      </c>
      <c r="Z31" s="131"/>
      <c r="AA31" s="132">
        <f>1-AA32+IF($Y32&lt;0,$Y32/4,0)</f>
        <v>0</v>
      </c>
      <c r="AB31" s="131"/>
      <c r="AC31" s="133">
        <f>1-AC32+IF($Y32&lt;0,$Y32/4,0)</f>
        <v>0.15601616260223172</v>
      </c>
      <c r="AD31" s="134"/>
      <c r="AE31" s="133">
        <f>1-AE32+IF($Y32&lt;0,$Y32/4,0)</f>
        <v>0.25450103203602259</v>
      </c>
      <c r="AF31" s="134"/>
      <c r="AG31" s="133">
        <f>1-AG32+IF($Y32&lt;0,$Y32/4,0)</f>
        <v>2.1975485065137486</v>
      </c>
      <c r="AH31" s="123"/>
      <c r="AI31" s="182">
        <f>SUM(AA31,AC31,AE31,AG31)/4</f>
        <v>0.65201642528800074</v>
      </c>
      <c r="AJ31" s="135">
        <f t="shared" si="14"/>
        <v>7.8008081301115861E-2</v>
      </c>
      <c r="AK31" s="136">
        <f t="shared" si="15"/>
        <v>1.2260247692748856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0.51270901768288224</v>
      </c>
      <c r="J32" s="17"/>
      <c r="L32" s="22">
        <f>SUM(L6:L30)</f>
        <v>0.41277981025188548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66631.480470426861</v>
      </c>
      <c r="T32" s="234">
        <f t="shared" si="50"/>
        <v>66112.451224705466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0.84398383739776828</v>
      </c>
      <c r="AD32" s="137"/>
      <c r="AE32" s="139">
        <f>SUM(AE6:AE30)</f>
        <v>0.74549896796397741</v>
      </c>
      <c r="AF32" s="137"/>
      <c r="AG32" s="139">
        <f>SUM(AG6:AG30)</f>
        <v>-1.1975485065137486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8.9019106463488473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23545.11804552075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0.7226019745759743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284.22344333321661</v>
      </c>
      <c r="AB37" s="122">
        <f>IF($J37=0,0,AC37/($J37))</f>
        <v>0.27739802542402564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109.10989000011676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393.33333333333337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0.72260197457597419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843.78834739548654</v>
      </c>
      <c r="AB38" s="122">
        <f>IF($J38=0,0,AC38/($J38))</f>
        <v>0.27739802542402575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323.91998593784672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1167.7083333333333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0.10895146389538633</v>
      </c>
      <c r="AA39" s="147">
        <f t="shared" ref="AA39:AA64" si="64">$J39*Z39</f>
        <v>29.033749270388874</v>
      </c>
      <c r="AB39" s="122">
        <f>AB8</f>
        <v>0.22886410910855695</v>
      </c>
      <c r="AC39" s="147">
        <f t="shared" ref="AC39:AC64" si="65">$J39*AB39</f>
        <v>60.988470675611971</v>
      </c>
      <c r="AD39" s="122">
        <f>AD8</f>
        <v>0</v>
      </c>
      <c r="AE39" s="147">
        <f t="shared" ref="AE39:AE64" si="66">$J39*AD39</f>
        <v>0</v>
      </c>
      <c r="AF39" s="122">
        <f t="shared" si="57"/>
        <v>0.66218442699605673</v>
      </c>
      <c r="AG39" s="147">
        <f t="shared" si="60"/>
        <v>176.46111338733257</v>
      </c>
      <c r="AH39" s="123">
        <f t="shared" si="61"/>
        <v>1</v>
      </c>
      <c r="AI39" s="112">
        <f t="shared" si="61"/>
        <v>266.48333333333341</v>
      </c>
      <c r="AJ39" s="148">
        <f t="shared" si="62"/>
        <v>90.022219946000845</v>
      </c>
      <c r="AK39" s="147">
        <f t="shared" si="63"/>
        <v>176.46111338733257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0.10895146389538633</v>
      </c>
      <c r="AA40" s="147">
        <f t="shared" si="64"/>
        <v>0.94279333424140965</v>
      </c>
      <c r="AB40" s="122">
        <f>AB9</f>
        <v>0.22886410910855695</v>
      </c>
      <c r="AC40" s="147">
        <f t="shared" si="65"/>
        <v>1.9804374241527125</v>
      </c>
      <c r="AD40" s="122">
        <f>AD9</f>
        <v>0</v>
      </c>
      <c r="AE40" s="147">
        <f t="shared" si="66"/>
        <v>0</v>
      </c>
      <c r="AF40" s="122">
        <f t="shared" si="57"/>
        <v>0.66218442699605673</v>
      </c>
      <c r="AG40" s="147">
        <f t="shared" si="60"/>
        <v>5.7301025749392105</v>
      </c>
      <c r="AH40" s="123">
        <f t="shared" si="61"/>
        <v>1</v>
      </c>
      <c r="AI40" s="112">
        <f t="shared" si="61"/>
        <v>8.6533333333333324</v>
      </c>
      <c r="AJ40" s="148">
        <f t="shared" si="62"/>
        <v>2.9232307583941219</v>
      </c>
      <c r="AK40" s="147">
        <f t="shared" si="63"/>
        <v>5.7301025749392105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0.10895146389538633</v>
      </c>
      <c r="AA41" s="147">
        <f t="shared" si="64"/>
        <v>0</v>
      </c>
      <c r="AB41" s="122">
        <f>AB11</f>
        <v>0.22886410910855698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0.66218442699605662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0.38936244588453572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23208.12</v>
      </c>
      <c r="J65" s="39">
        <f>SUM(J37:J64)</f>
        <v>23208.12</v>
      </c>
      <c r="K65" s="40">
        <f>SUM(K37:K64)</f>
        <v>0.99999999999999989</v>
      </c>
      <c r="L65" s="22">
        <f>SUM(L37:L64)</f>
        <v>0.41256799352257689</v>
      </c>
      <c r="M65" s="24">
        <f>SUM(M37:M64)</f>
        <v>0.41603915136196185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5802.0300000000007</v>
      </c>
      <c r="AB65" s="137"/>
      <c r="AC65" s="153">
        <f>SUM(AC37:AC64)</f>
        <v>5140.040450704395</v>
      </c>
      <c r="AD65" s="137"/>
      <c r="AE65" s="153">
        <f>SUM(AE37:AE64)</f>
        <v>4644.041666666667</v>
      </c>
      <c r="AF65" s="137"/>
      <c r="AG65" s="153">
        <f>SUM(AG37:AG64)</f>
        <v>4826.2328826289386</v>
      </c>
      <c r="AH65" s="137"/>
      <c r="AI65" s="153">
        <f>SUM(AI37:AI64)</f>
        <v>20412.345000000001</v>
      </c>
      <c r="AJ65" s="153">
        <f>SUM(AJ37:AJ64)</f>
        <v>10942.070450704396</v>
      </c>
      <c r="AK65" s="153">
        <f>SUM(AK37:AK64)</f>
        <v>9470.2745492956055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23208.12</v>
      </c>
      <c r="J70" s="51">
        <f t="shared" ref="J70:J77" si="75">J124*I$83</f>
        <v>23208.12</v>
      </c>
      <c r="K70" s="40">
        <f>B70/B$76</f>
        <v>0.34976073514610495</v>
      </c>
      <c r="L70" s="22">
        <f t="shared" ref="L70:L75" si="76">(L124*G$37*F$9/F$7)/B$130</f>
        <v>0.412567993522577</v>
      </c>
      <c r="M70" s="24">
        <f>J70/B$76</f>
        <v>0.41603915136196185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5802.03</v>
      </c>
      <c r="AB70" s="116">
        <v>0.25</v>
      </c>
      <c r="AC70" s="147">
        <f>$J70*AB70</f>
        <v>5802.03</v>
      </c>
      <c r="AD70" s="116">
        <v>0.25</v>
      </c>
      <c r="AE70" s="147">
        <f>$J70*AD70</f>
        <v>5802.03</v>
      </c>
      <c r="AF70" s="122">
        <f>1-SUM(Z70,AB70,AD70)</f>
        <v>0.25</v>
      </c>
      <c r="AG70" s="147">
        <f>$J70*AF70</f>
        <v>5802.03</v>
      </c>
      <c r="AH70" s="155">
        <f>SUM(Z70,AB70,AD70,AF70)</f>
        <v>1</v>
      </c>
      <c r="AI70" s="147">
        <f>SUM(AA70,AC70,AE70,AG70)</f>
        <v>23208.12</v>
      </c>
      <c r="AJ70" s="148">
        <f>(AA70+AC70)</f>
        <v>11604.06</v>
      </c>
      <c r="AK70" s="147">
        <f>(AE70+AG70)</f>
        <v>11604.06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0.29530038253047786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9.1436707818256316E-2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-661.98954929560387</v>
      </c>
      <c r="AD74" s="156"/>
      <c r="AE74" s="147">
        <f>AE30*$I$83/4</f>
        <v>-1157.9883333333328</v>
      </c>
      <c r="AF74" s="156"/>
      <c r="AG74" s="147">
        <f>AG30*$I$83/4</f>
        <v>-975.79711737106118</v>
      </c>
      <c r="AH74" s="155"/>
      <c r="AI74" s="147">
        <f>SUM(AA74,AC74,AE74,AG74)</f>
        <v>-2795.7749999999978</v>
      </c>
      <c r="AJ74" s="148">
        <f>(AA74+AC74)</f>
        <v>-661.98954929560387</v>
      </c>
      <c r="AK74" s="147">
        <f>(AE74+AG74)</f>
        <v>-2133.785450704394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9.0949470177292824E-13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23208.12</v>
      </c>
      <c r="J76" s="51">
        <f t="shared" si="75"/>
        <v>23208.12</v>
      </c>
      <c r="K76" s="40">
        <f>SUM(K70:K75)</f>
        <v>1.3354887372126323</v>
      </c>
      <c r="L76" s="22">
        <f>SUM(L70:L75)</f>
        <v>0.412567993522577</v>
      </c>
      <c r="M76" s="24">
        <f>SUM(M70:M75)</f>
        <v>0.41603915136196185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5802.0300000000007</v>
      </c>
      <c r="AB76" s="137"/>
      <c r="AC76" s="153">
        <f>AC65</f>
        <v>5140.040450704395</v>
      </c>
      <c r="AD76" s="137"/>
      <c r="AE76" s="153">
        <f>AE65</f>
        <v>4644.041666666667</v>
      </c>
      <c r="AF76" s="137"/>
      <c r="AG76" s="153">
        <f>AG65</f>
        <v>4826.2328826289386</v>
      </c>
      <c r="AH76" s="137"/>
      <c r="AI76" s="153">
        <f>SUM(AA76,AC76,AE76,AG76)</f>
        <v>20412.345000000001</v>
      </c>
      <c r="AJ76" s="154">
        <f>SUM(AA76,AC76)</f>
        <v>10942.070450704396</v>
      </c>
      <c r="AK76" s="154">
        <f>SUM(AE76,AG76)</f>
        <v>9470.2745492956055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23545.11804552075</v>
      </c>
      <c r="J77" s="100">
        <f t="shared" si="75"/>
        <v>23545.11804552075</v>
      </c>
      <c r="K77" s="40"/>
      <c r="L77" s="22">
        <f>-(L131*G$37*F$9/F$7)/B$130</f>
        <v>-0.42208032922854877</v>
      </c>
      <c r="M77" s="24">
        <f>-J77/B$76</f>
        <v>-0.42208032922854877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661.98954929560375</v>
      </c>
      <c r="AD77" s="112"/>
      <c r="AE77" s="111">
        <f>AE31*$I$83/4</f>
        <v>1079.8690384555237</v>
      </c>
      <c r="AF77" s="112"/>
      <c r="AG77" s="111">
        <f>AG31*$I$83/4</f>
        <v>9324.3810200050011</v>
      </c>
      <c r="AH77" s="110"/>
      <c r="AI77" s="154">
        <f>SUM(AA77,AC77,AE77,AG77)</f>
        <v>11066.239607756128</v>
      </c>
      <c r="AJ77" s="153">
        <f>SUM(AA77,AC77)</f>
        <v>661.98954929560375</v>
      </c>
      <c r="AK77" s="160">
        <f>SUM(AE77,AG77)</f>
        <v>10404.250058460524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9.0949470177292824E-13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9.0949470177292824E-13</v>
      </c>
      <c r="AB79" s="112"/>
      <c r="AC79" s="112">
        <f>AA79-AA74+AC65-AC70</f>
        <v>-661.98954929560387</v>
      </c>
      <c r="AD79" s="112"/>
      <c r="AE79" s="112">
        <f>AC79-AC74+AE65-AE70</f>
        <v>-1157.9883333333328</v>
      </c>
      <c r="AF79" s="112"/>
      <c r="AG79" s="112">
        <f>AE79-AE74+AG65-AG70</f>
        <v>-975.79711737106118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2.1115541934492259</v>
      </c>
      <c r="L115" s="22">
        <f t="shared" si="91"/>
        <v>0</v>
      </c>
      <c r="M115" s="227">
        <f t="shared" si="92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1.3674089823113134</v>
      </c>
      <c r="J119" s="24">
        <f>SUM(J91:J118)</f>
        <v>1.3674089823113134</v>
      </c>
      <c r="K119" s="22">
        <f>SUM(K91:K118)</f>
        <v>5.4231069682447002</v>
      </c>
      <c r="L119" s="22">
        <f>SUM(L91:L118)</f>
        <v>1.3560002185133464</v>
      </c>
      <c r="M119" s="57">
        <f t="shared" si="80"/>
        <v>1.3674089823113134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1.3674089823113134</v>
      </c>
      <c r="J124" s="237">
        <f>IF(SUMPRODUCT($B$124:$B124,$H$124:$H124)&lt;J$119,($B124*$H124),J$119)</f>
        <v>1.3674089823113134</v>
      </c>
      <c r="K124" s="29">
        <f>(B124)</f>
        <v>1.8967898799892307</v>
      </c>
      <c r="L124" s="29">
        <f>IF(SUMPRODUCT($B$124:$B124,$H$124:$H124)&lt;L$119,($B124*$H124),L$119)</f>
        <v>1.3560002185133464</v>
      </c>
      <c r="M124" s="240">
        <f t="shared" si="93"/>
        <v>1.3674089823113134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0.4958710473225405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1.3674089823113134</v>
      </c>
      <c r="J130" s="228">
        <f>(J119)</f>
        <v>1.3674089823113134</v>
      </c>
      <c r="K130" s="29">
        <f>(B130)</f>
        <v>5.4231069682447002</v>
      </c>
      <c r="L130" s="29">
        <f>(L119)</f>
        <v>1.3560002185133464</v>
      </c>
      <c r="M130" s="240">
        <f t="shared" si="93"/>
        <v>1.3674089823113134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1.3872647118777941</v>
      </c>
      <c r="J131" s="237">
        <f>IF(SUMPRODUCT($B124:$B125,$H124:$H125)&gt;(J119-J128),SUMPRODUCT($B124:$B125,$H124:$H125)+J128-J119,0)</f>
        <v>1.3872647118777941</v>
      </c>
      <c r="K131" s="29"/>
      <c r="L131" s="29">
        <f>IF(I131&lt;SUM(L126:L127),0,I131-(SUM(L126:L127)))</f>
        <v>1.3872647118777941</v>
      </c>
      <c r="M131" s="237">
        <f>IF(I131&lt;SUM(M126:M127),0,I131-(SUM(M126:M127)))</f>
        <v>1.3872647118777941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4355.9642593800945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3142.3762476683514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0.84746912152174991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1.738108422113762E-2</v>
      </c>
      <c r="AB8" s="125">
        <f>IF($Y8=0,0,AC8/$Y8)</f>
        <v>0.15253087847825006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3.1283169826813936E-3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0.84746912152174991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2.6365706002898889E-3</v>
      </c>
      <c r="AB9" s="125">
        <f>IF($Y9=0,0,AC9/$Y9)</f>
        <v>0.15253087847825006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4.7454051082122242E-4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0.8474691215217498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6.4031000292754433E-3</v>
      </c>
      <c r="AB10" s="125">
        <f>IF($Y10=0,0,AC10/$Y10)</f>
        <v>0.15253087847825017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1.1524555262801125E-3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0.19515407602284129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0.19515407602284129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8651.3564965266632</v>
      </c>
      <c r="U11" s="223">
        <v>5</v>
      </c>
      <c r="V11" s="56"/>
      <c r="W11" s="115"/>
      <c r="X11" s="118">
        <f>Poor!X11</f>
        <v>1</v>
      </c>
      <c r="Y11" s="183">
        <f t="shared" si="9"/>
        <v>0.78061630409136518</v>
      </c>
      <c r="Z11" s="125">
        <f>IF($Y11=0,0,AA11/$Y11)</f>
        <v>0.84746912152175002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0.6615482134738645</v>
      </c>
      <c r="AB11" s="125">
        <f>IF($Y11=0,0,AC11/$Y11)</f>
        <v>0.15253087847825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0.11906809061750068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0.19515407602284129</v>
      </c>
      <c r="AJ11" s="120">
        <f t="shared" si="14"/>
        <v>0.39030815204568259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3.1002336502912984E-2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3.1002336502912984E-2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0.12400934601165194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8.3086261827806804E-2</v>
      </c>
      <c r="AF12" s="122">
        <f>1-SUM(Z12,AB12,AD12)</f>
        <v>0.32999999999999996</v>
      </c>
      <c r="AG12" s="121">
        <f>$M12*AF12*4</f>
        <v>4.0923084183845132E-2</v>
      </c>
      <c r="AH12" s="123">
        <f t="shared" si="12"/>
        <v>1</v>
      </c>
      <c r="AI12" s="183">
        <f t="shared" si="13"/>
        <v>3.1002336502912984E-2</v>
      </c>
      <c r="AJ12" s="120">
        <f t="shared" si="14"/>
        <v>0</v>
      </c>
      <c r="AK12" s="119">
        <f t="shared" si="15"/>
        <v>6.2004673005825968E-2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7.6767390533227734E-3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7.6767390533227734E-3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3.0706956213291094E-2</v>
      </c>
      <c r="Z13" s="156">
        <f>Poor!Z13</f>
        <v>1</v>
      </c>
      <c r="AA13" s="121">
        <f>$M13*Z13*4</f>
        <v>3.0706956213291094E-2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7.6767390533227734E-3</v>
      </c>
      <c r="AJ13" s="120">
        <f t="shared" si="14"/>
        <v>1.5353478106645547E-2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17531.428571428572</v>
      </c>
      <c r="T14" s="222">
        <f>IF($B$81=0,0,(SUMIF($N$6:$N$28,$U14,M$6:M$28)+SUMIF($N$91:$N$118,$U14,M$91:M$118))*$I$83*Poor!$B$81/$B$81)</f>
        <v>17531.428571428572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7.9123932467543259E-4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7.9123932467543259E-4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3.1649572987017304E-3</v>
      </c>
      <c r="Z15" s="156">
        <f>Poor!Z15</f>
        <v>0.25</v>
      </c>
      <c r="AA15" s="121">
        <f t="shared" si="16"/>
        <v>7.9123932467543259E-4</v>
      </c>
      <c r="AB15" s="156">
        <f>Poor!AB15</f>
        <v>0.25</v>
      </c>
      <c r="AC15" s="121">
        <f t="shared" si="7"/>
        <v>7.9123932467543259E-4</v>
      </c>
      <c r="AD15" s="156">
        <f>Poor!AD15</f>
        <v>0.25</v>
      </c>
      <c r="AE15" s="121">
        <f t="shared" si="8"/>
        <v>7.9123932467543259E-4</v>
      </c>
      <c r="AF15" s="122">
        <f t="shared" si="10"/>
        <v>0.25</v>
      </c>
      <c r="AG15" s="121">
        <f t="shared" si="11"/>
        <v>7.9123932467543259E-4</v>
      </c>
      <c r="AH15" s="123">
        <f t="shared" si="12"/>
        <v>1</v>
      </c>
      <c r="AI15" s="183">
        <f t="shared" si="13"/>
        <v>7.9123932467543259E-4</v>
      </c>
      <c r="AJ15" s="120">
        <f t="shared" si="14"/>
        <v>7.9123932467543259E-4</v>
      </c>
      <c r="AK15" s="119">
        <f t="shared" si="15"/>
        <v>7.9123932467543259E-4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1.0704157762319021E-2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1.0704157762319021E-2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429.04376952597232</v>
      </c>
      <c r="U16" s="223">
        <v>10</v>
      </c>
      <c r="V16" s="56"/>
      <c r="W16" s="110"/>
      <c r="X16" s="118"/>
      <c r="Y16" s="183">
        <f t="shared" si="9"/>
        <v>4.2816631049276084E-2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4.2816631049276084E-2</v>
      </c>
      <c r="AH16" s="123">
        <f t="shared" si="12"/>
        <v>1</v>
      </c>
      <c r="AI16" s="183">
        <f t="shared" si="13"/>
        <v>1.0704157762319021E-2</v>
      </c>
      <c r="AJ16" s="120">
        <f t="shared" si="14"/>
        <v>0</v>
      </c>
      <c r="AK16" s="119">
        <f t="shared" si="15"/>
        <v>2.1408315524638042E-2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5.7064024882335597E-3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5.7064024882335597E-3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1.5399578054416355E-3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1.5399578054416355E-3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78744.199167497994</v>
      </c>
      <c r="T23" s="179">
        <f>SUM(T7:T22)</f>
        <v>80792.591117375341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2.3119984120468801E-3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2.3119984120468801E-3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9.2479936481875205E-3</v>
      </c>
      <c r="Z27" s="156">
        <f>Poor!Z27</f>
        <v>0.25</v>
      </c>
      <c r="AA27" s="121">
        <f t="shared" si="16"/>
        <v>2.3119984120468801E-3</v>
      </c>
      <c r="AB27" s="156">
        <f>Poor!AB27</f>
        <v>0.25</v>
      </c>
      <c r="AC27" s="121">
        <f t="shared" si="7"/>
        <v>2.3119984120468801E-3</v>
      </c>
      <c r="AD27" s="156">
        <f>Poor!AD27</f>
        <v>0.25</v>
      </c>
      <c r="AE27" s="121">
        <f t="shared" si="8"/>
        <v>2.3119984120468801E-3</v>
      </c>
      <c r="AF27" s="122">
        <f t="shared" si="10"/>
        <v>0.25</v>
      </c>
      <c r="AG27" s="121">
        <f t="shared" si="11"/>
        <v>2.3119984120468801E-3</v>
      </c>
      <c r="AH27" s="123">
        <f t="shared" si="12"/>
        <v>1</v>
      </c>
      <c r="AI27" s="183">
        <f t="shared" si="13"/>
        <v>2.3119984120468801E-3</v>
      </c>
      <c r="AJ27" s="120">
        <f t="shared" si="14"/>
        <v>2.3119984120468801E-3</v>
      </c>
      <c r="AK27" s="119">
        <f t="shared" si="15"/>
        <v>2.3119984120468801E-3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4.6169695030064562E-4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4.6169695030064562E-4</v>
      </c>
      <c r="N28" s="229"/>
      <c r="O28" s="2"/>
      <c r="P28" s="22"/>
      <c r="V28" s="56"/>
      <c r="W28" s="110"/>
      <c r="X28" s="118"/>
      <c r="Y28" s="183">
        <f t="shared" si="9"/>
        <v>1.8467878012025825E-3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9.2339390060129124E-4</v>
      </c>
      <c r="AF28" s="122">
        <f t="shared" si="10"/>
        <v>0.5</v>
      </c>
      <c r="AG28" s="121">
        <f t="shared" si="11"/>
        <v>9.2339390060129124E-4</v>
      </c>
      <c r="AH28" s="123">
        <f t="shared" si="12"/>
        <v>1</v>
      </c>
      <c r="AI28" s="183">
        <f t="shared" si="13"/>
        <v>4.6169695030064562E-4</v>
      </c>
      <c r="AJ28" s="120">
        <f t="shared" si="14"/>
        <v>0</v>
      </c>
      <c r="AK28" s="119">
        <f t="shared" si="15"/>
        <v>9.2339390060129124E-4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0.2244888171625587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0.2244888171625587</v>
      </c>
      <c r="N29" s="229"/>
      <c r="P29" s="22"/>
      <c r="V29" s="56"/>
      <c r="W29" s="110"/>
      <c r="X29" s="118"/>
      <c r="Y29" s="183">
        <f t="shared" si="9"/>
        <v>0.89795526865023478</v>
      </c>
      <c r="Z29" s="156">
        <f>Poor!Z29</f>
        <v>0.25</v>
      </c>
      <c r="AA29" s="121">
        <f t="shared" si="16"/>
        <v>0.2244888171625587</v>
      </c>
      <c r="AB29" s="156">
        <f>Poor!AB29</f>
        <v>0.25</v>
      </c>
      <c r="AC29" s="121">
        <f t="shared" si="7"/>
        <v>0.2244888171625587</v>
      </c>
      <c r="AD29" s="156">
        <f>Poor!AD29</f>
        <v>0.25</v>
      </c>
      <c r="AE29" s="121">
        <f t="shared" si="8"/>
        <v>0.2244888171625587</v>
      </c>
      <c r="AF29" s="122">
        <f t="shared" si="10"/>
        <v>0.25</v>
      </c>
      <c r="AG29" s="121">
        <f t="shared" si="11"/>
        <v>0.2244888171625587</v>
      </c>
      <c r="AH29" s="123">
        <f t="shared" si="12"/>
        <v>1</v>
      </c>
      <c r="AI29" s="183">
        <f t="shared" si="13"/>
        <v>0.2244888171625587</v>
      </c>
      <c r="AJ29" s="120">
        <f t="shared" si="14"/>
        <v>0.2244888171625587</v>
      </c>
      <c r="AK29" s="119">
        <f t="shared" si="15"/>
        <v>0.2244888171625587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2.8247703778282371</v>
      </c>
      <c r="J30" s="231">
        <f>IF(I$32&lt;=1,I30,1-SUM(J6:J29))</f>
        <v>0.44958156174825237</v>
      </c>
      <c r="K30" s="22">
        <f t="shared" si="4"/>
        <v>0.6190340508094645</v>
      </c>
      <c r="L30" s="22">
        <f>IF(L124=L119,0,IF(K30="",0,(L119-L124)/(B119-B124)*K30))</f>
        <v>0.19071215659636018</v>
      </c>
      <c r="M30" s="175">
        <f t="shared" si="6"/>
        <v>0.44958156174825237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1.7983262469930095</v>
      </c>
      <c r="Z30" s="122">
        <f>IF($Y30=0,0,AA30/($Y$30))</f>
        <v>-1.2347292672634525E-16</v>
      </c>
      <c r="AA30" s="187">
        <f>IF(AA79*4/$I$84+SUM(AA6:AA29)&lt;1,AA79*4/$I$84,1-SUM(AA6:AA29))</f>
        <v>-2.2204460492503131E-16</v>
      </c>
      <c r="AB30" s="122">
        <f>IF($Y30=0,0,AC30/($Y$30))</f>
        <v>0.32949729691964014</v>
      </c>
      <c r="AC30" s="187">
        <f>IF(AC79*4/$I$84+SUM(AC6:AC29)&lt;1,AC79*4/$I$84,1-SUM(AC6:AC29))</f>
        <v>0.59254363736383775</v>
      </c>
      <c r="AD30" s="122">
        <f>IF($Y30=0,0,AE30/($Y$30))</f>
        <v>0.34843093814607745</v>
      </c>
      <c r="AE30" s="187">
        <f>IF(AE79*4/$I$84+SUM(AE6:AE29)&lt;1,AE79*4/$I$84,1-SUM(AE6:AE29))</f>
        <v>0.62659250133248889</v>
      </c>
      <c r="AF30" s="122">
        <f>IF($Y30=0,0,AG30/($Y$30))</f>
        <v>0.34518683374760684</v>
      </c>
      <c r="AG30" s="187">
        <f>IF(AG79*4/$I$84+SUM(AG6:AG29)&lt;1,AG79*4/$I$84,1-SUM(AG6:AG29))</f>
        <v>0.62075854324473367</v>
      </c>
      <c r="AH30" s="123">
        <f t="shared" si="12"/>
        <v>1.0231150688133241</v>
      </c>
      <c r="AI30" s="183">
        <f t="shared" si="13"/>
        <v>0.45997367048526505</v>
      </c>
      <c r="AJ30" s="120">
        <f t="shared" si="14"/>
        <v>0.29627181868191876</v>
      </c>
      <c r="AK30" s="119">
        <f t="shared" si="15"/>
        <v>0.62367552228861123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0.38151573060228705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3.3941937740695343</v>
      </c>
      <c r="J32" s="17"/>
      <c r="L32" s="22">
        <f>SUM(L6:L30)</f>
        <v>0.61848426939771295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15465.629980690603</v>
      </c>
      <c r="T32" s="234">
        <f t="shared" si="24"/>
        <v>13417.238030813256</v>
      </c>
      <c r="V32" s="56"/>
      <c r="W32" s="110"/>
      <c r="X32" s="118"/>
      <c r="Y32" s="115">
        <f>SUM(Y6:Y31)</f>
        <v>3.9584315650519493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0.86583278648790196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5433.4895787270334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5.4207688411797322E-2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5433.4895787270334</v>
      </c>
      <c r="AH38" s="123">
        <f t="shared" ref="AH38:AI58" si="37">SUM(Z38,AB38,AD38,AF38)</f>
        <v>1</v>
      </c>
      <c r="AI38" s="112">
        <f t="shared" si="37"/>
        <v>5433.4895787270334</v>
      </c>
      <c r="AJ38" s="148">
        <f t="shared" ref="AJ38:AJ64" si="38">(AA38+AC38)</f>
        <v>0</v>
      </c>
      <c r="AK38" s="147">
        <f t="shared" ref="AK38:AK64" si="39">(AE38+AG38)</f>
        <v>5433.4895787270334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1172.7806890671311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1.1700350069175646E-2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0.84746912152174991</v>
      </c>
      <c r="AA39" s="147">
        <f t="shared" ref="AA39:AA64" si="40">$J39*Z39</f>
        <v>993.8954203013941</v>
      </c>
      <c r="AB39" s="122">
        <f>AB8</f>
        <v>0.15253087847825006</v>
      </c>
      <c r="AC39" s="147">
        <f t="shared" ref="AC39:AC64" si="41">$J39*AB39</f>
        <v>178.88526876573695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1172.7806890671311</v>
      </c>
      <c r="AJ39" s="148">
        <f t="shared" si="38"/>
        <v>1172.7806890671311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0.84746912152174991</v>
      </c>
      <c r="AA40" s="147">
        <f t="shared" si="40"/>
        <v>350.00474718848272</v>
      </c>
      <c r="AB40" s="122">
        <f>AB9</f>
        <v>0.15253087847825006</v>
      </c>
      <c r="AC40" s="147">
        <f t="shared" si="41"/>
        <v>62.995252811517275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413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0.84746912152175002</v>
      </c>
      <c r="AA41" s="147">
        <f t="shared" si="40"/>
        <v>2030.8185048732871</v>
      </c>
      <c r="AB41" s="122">
        <f>AB11</f>
        <v>0.15253087847825</v>
      </c>
      <c r="AC41" s="147">
        <f t="shared" si="41"/>
        <v>365.51482846004643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2396.3333333333335</v>
      </c>
      <c r="AJ41" s="148">
        <f t="shared" si="38"/>
        <v>2396.3333333333335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135.3156848597616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1.3499888747049752E-3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33.828921214940401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67.657842429880802</v>
      </c>
      <c r="AF42" s="122">
        <f t="shared" si="29"/>
        <v>0.25</v>
      </c>
      <c r="AG42" s="147">
        <f t="shared" si="36"/>
        <v>33.828921214940401</v>
      </c>
      <c r="AH42" s="123">
        <f t="shared" si="37"/>
        <v>1</v>
      </c>
      <c r="AI42" s="112">
        <f t="shared" si="37"/>
        <v>135.3156848597616</v>
      </c>
      <c r="AJ42" s="148">
        <f t="shared" si="38"/>
        <v>33.828921214940401</v>
      </c>
      <c r="AK42" s="147">
        <f t="shared" si="39"/>
        <v>101.4867636448212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20.473916781946151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2.0425983806613302E-4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5.1184791954865378</v>
      </c>
      <c r="AB43" s="156">
        <f>Poor!AB43</f>
        <v>0.25</v>
      </c>
      <c r="AC43" s="147">
        <f t="shared" si="41"/>
        <v>5.1184791954865378</v>
      </c>
      <c r="AD43" s="156">
        <f>Poor!AD43</f>
        <v>0.25</v>
      </c>
      <c r="AE43" s="147">
        <f t="shared" si="42"/>
        <v>5.1184791954865378</v>
      </c>
      <c r="AF43" s="122">
        <f t="shared" si="29"/>
        <v>0.25</v>
      </c>
      <c r="AG43" s="147">
        <f t="shared" si="36"/>
        <v>5.1184791954865378</v>
      </c>
      <c r="AH43" s="123">
        <f t="shared" si="37"/>
        <v>1</v>
      </c>
      <c r="AI43" s="112">
        <f t="shared" si="37"/>
        <v>20.473916781946151</v>
      </c>
      <c r="AJ43" s="148">
        <f t="shared" si="38"/>
        <v>10.236958390973076</v>
      </c>
      <c r="AK43" s="147">
        <f t="shared" si="39"/>
        <v>10.236958390973076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56.484178150420725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5.635193893372293E-4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14.121044537605181</v>
      </c>
      <c r="AB44" s="156">
        <f>Poor!AB44</f>
        <v>0.25</v>
      </c>
      <c r="AC44" s="147">
        <f t="shared" si="41"/>
        <v>14.121044537605181</v>
      </c>
      <c r="AD44" s="156">
        <f>Poor!AD44</f>
        <v>0.25</v>
      </c>
      <c r="AE44" s="147">
        <f t="shared" si="42"/>
        <v>14.121044537605181</v>
      </c>
      <c r="AF44" s="122">
        <f t="shared" si="29"/>
        <v>0.25</v>
      </c>
      <c r="AG44" s="147">
        <f t="shared" si="36"/>
        <v>14.121044537605181</v>
      </c>
      <c r="AH44" s="123">
        <f t="shared" si="37"/>
        <v>1</v>
      </c>
      <c r="AI44" s="112">
        <f t="shared" si="37"/>
        <v>56.484178150420725</v>
      </c>
      <c r="AJ44" s="148">
        <f t="shared" si="38"/>
        <v>28.242089075210362</v>
      </c>
      <c r="AK44" s="147">
        <f t="shared" si="39"/>
        <v>28.242089075210362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9.0160367480129882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8.9949286487838432E-5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2.254009187003247</v>
      </c>
      <c r="AB45" s="156">
        <f>Poor!AB45</f>
        <v>0.25</v>
      </c>
      <c r="AC45" s="147">
        <f t="shared" si="41"/>
        <v>2.254009187003247</v>
      </c>
      <c r="AD45" s="156">
        <f>Poor!AD45</f>
        <v>0.25</v>
      </c>
      <c r="AE45" s="147">
        <f t="shared" si="42"/>
        <v>2.254009187003247</v>
      </c>
      <c r="AF45" s="122">
        <f t="shared" si="29"/>
        <v>0.25</v>
      </c>
      <c r="AG45" s="147">
        <f t="shared" si="36"/>
        <v>2.254009187003247</v>
      </c>
      <c r="AH45" s="123">
        <f t="shared" si="37"/>
        <v>1</v>
      </c>
      <c r="AI45" s="112">
        <f t="shared" si="37"/>
        <v>9.0160367480129882</v>
      </c>
      <c r="AJ45" s="148">
        <f t="shared" si="38"/>
        <v>4.5080183740064941</v>
      </c>
      <c r="AK45" s="147">
        <f t="shared" si="39"/>
        <v>4.5080183740064941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37.566819783387423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3.7478869369932653E-4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9.3917049458468558</v>
      </c>
      <c r="AB46" s="156">
        <f>Poor!AB46</f>
        <v>0.25</v>
      </c>
      <c r="AC46" s="147">
        <f t="shared" si="41"/>
        <v>9.3917049458468558</v>
      </c>
      <c r="AD46" s="156">
        <f>Poor!AD46</f>
        <v>0.25</v>
      </c>
      <c r="AE46" s="147">
        <f t="shared" si="42"/>
        <v>9.3917049458468558</v>
      </c>
      <c r="AF46" s="122">
        <f t="shared" si="29"/>
        <v>0.25</v>
      </c>
      <c r="AG46" s="147">
        <f t="shared" si="36"/>
        <v>9.3917049458468558</v>
      </c>
      <c r="AH46" s="123">
        <f t="shared" si="37"/>
        <v>1</v>
      </c>
      <c r="AI46" s="112">
        <f t="shared" si="37"/>
        <v>37.566819783387423</v>
      </c>
      <c r="AJ46" s="148">
        <f t="shared" si="38"/>
        <v>18.783409891693712</v>
      </c>
      <c r="AK46" s="147">
        <f t="shared" si="39"/>
        <v>18.783409891693712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11.270045935016229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1.1243660810979798E-4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2.8175114837540574</v>
      </c>
      <c r="AB47" s="156">
        <f>Poor!AB47</f>
        <v>0.25</v>
      </c>
      <c r="AC47" s="147">
        <f t="shared" si="41"/>
        <v>2.8175114837540574</v>
      </c>
      <c r="AD47" s="156">
        <f>Poor!AD47</f>
        <v>0.25</v>
      </c>
      <c r="AE47" s="147">
        <f t="shared" si="42"/>
        <v>2.8175114837540574</v>
      </c>
      <c r="AF47" s="122">
        <f t="shared" si="29"/>
        <v>0.25</v>
      </c>
      <c r="AG47" s="147">
        <f t="shared" si="36"/>
        <v>2.8175114837540574</v>
      </c>
      <c r="AH47" s="123">
        <f t="shared" si="37"/>
        <v>1</v>
      </c>
      <c r="AI47" s="112">
        <f t="shared" si="37"/>
        <v>11.270045935016229</v>
      </c>
      <c r="AJ47" s="148">
        <f t="shared" si="38"/>
        <v>5.6350229675081147</v>
      </c>
      <c r="AK47" s="147">
        <f t="shared" si="39"/>
        <v>5.6350229675081147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2.1913978206976004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2.1862673799127386E-5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0.54784945517440009</v>
      </c>
      <c r="AB48" s="156">
        <f>Poor!AB48</f>
        <v>0.25</v>
      </c>
      <c r="AC48" s="147">
        <f t="shared" si="41"/>
        <v>0.54784945517440009</v>
      </c>
      <c r="AD48" s="156">
        <f>Poor!AD48</f>
        <v>0.25</v>
      </c>
      <c r="AE48" s="147">
        <f t="shared" si="42"/>
        <v>0.54784945517440009</v>
      </c>
      <c r="AF48" s="122">
        <f t="shared" si="29"/>
        <v>0.25</v>
      </c>
      <c r="AG48" s="147">
        <f t="shared" si="36"/>
        <v>0.54784945517440009</v>
      </c>
      <c r="AH48" s="123">
        <f t="shared" si="37"/>
        <v>1</v>
      </c>
      <c r="AI48" s="112">
        <f t="shared" si="37"/>
        <v>2.1913978206976004</v>
      </c>
      <c r="AJ48" s="148">
        <f t="shared" si="38"/>
        <v>1.0956989103488002</v>
      </c>
      <c r="AK48" s="147">
        <f t="shared" si="39"/>
        <v>1.0956989103488002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6.2611366305645753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6.2464782283221129E-5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1.5652841576411438</v>
      </c>
      <c r="AB50" s="156">
        <f>Poor!AB55</f>
        <v>0.25</v>
      </c>
      <c r="AC50" s="147">
        <f t="shared" si="41"/>
        <v>1.5652841576411438</v>
      </c>
      <c r="AD50" s="156">
        <f>Poor!AD55</f>
        <v>0.25</v>
      </c>
      <c r="AE50" s="147">
        <f t="shared" si="42"/>
        <v>1.5652841576411438</v>
      </c>
      <c r="AF50" s="122">
        <f t="shared" si="29"/>
        <v>0.25</v>
      </c>
      <c r="AG50" s="147">
        <f t="shared" si="36"/>
        <v>1.5652841576411438</v>
      </c>
      <c r="AH50" s="123">
        <f t="shared" si="37"/>
        <v>1</v>
      </c>
      <c r="AI50" s="112">
        <f t="shared" si="37"/>
        <v>6.2611366305645753</v>
      </c>
      <c r="AJ50" s="148">
        <f t="shared" si="38"/>
        <v>3.1305683152822876</v>
      </c>
      <c r="AK50" s="147">
        <f t="shared" si="39"/>
        <v>3.1305683152822876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8496</v>
      </c>
      <c r="J58" s="38">
        <f t="shared" si="32"/>
        <v>8496</v>
      </c>
      <c r="K58" s="40">
        <f t="shared" si="33"/>
        <v>0.11971905927423647</v>
      </c>
      <c r="L58" s="22">
        <f t="shared" si="34"/>
        <v>8.4761093966159412E-2</v>
      </c>
      <c r="M58" s="24">
        <f t="shared" si="35"/>
        <v>8.4761093966159426E-2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2124</v>
      </c>
      <c r="AB58" s="156">
        <f>Poor!AB58</f>
        <v>0.25</v>
      </c>
      <c r="AC58" s="147">
        <f t="shared" si="41"/>
        <v>2124</v>
      </c>
      <c r="AD58" s="156">
        <f>Poor!AD58</f>
        <v>0.25</v>
      </c>
      <c r="AE58" s="147">
        <f t="shared" si="42"/>
        <v>2124</v>
      </c>
      <c r="AF58" s="122">
        <f t="shared" si="29"/>
        <v>0.25</v>
      </c>
      <c r="AG58" s="147">
        <f t="shared" si="36"/>
        <v>2124</v>
      </c>
      <c r="AH58" s="123">
        <f t="shared" si="37"/>
        <v>1</v>
      </c>
      <c r="AI58" s="112">
        <f t="shared" si="37"/>
        <v>8496</v>
      </c>
      <c r="AJ58" s="148">
        <f t="shared" si="38"/>
        <v>4248</v>
      </c>
      <c r="AK58" s="147">
        <f t="shared" si="39"/>
        <v>4248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375.41329833522576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3.7453439096442926E-3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93.85332458380644</v>
      </c>
      <c r="AB59" s="156">
        <f>Poor!AB59</f>
        <v>0.25</v>
      </c>
      <c r="AC59" s="147">
        <f t="shared" si="41"/>
        <v>93.85332458380644</v>
      </c>
      <c r="AD59" s="156">
        <f>Poor!AD59</f>
        <v>0.25</v>
      </c>
      <c r="AE59" s="147">
        <f t="shared" si="42"/>
        <v>93.85332458380644</v>
      </c>
      <c r="AF59" s="122">
        <f t="shared" si="29"/>
        <v>0.25</v>
      </c>
      <c r="AG59" s="147">
        <f t="shared" si="36"/>
        <v>93.85332458380644</v>
      </c>
      <c r="AH59" s="123">
        <f t="shared" ref="AH59:AI64" si="43">SUM(Z59,AB59,AD59,AF59)</f>
        <v>1</v>
      </c>
      <c r="AI59" s="112">
        <f t="shared" si="43"/>
        <v>375.41329833522576</v>
      </c>
      <c r="AJ59" s="148">
        <f t="shared" si="38"/>
        <v>187.70664916761288</v>
      </c>
      <c r="AK59" s="147">
        <f t="shared" si="39"/>
        <v>187.70664916761288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7.9014579120996076E-2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65850.900000000009</v>
      </c>
      <c r="J65" s="39">
        <f>SUM(J37:J64)</f>
        <v>65894.396116172531</v>
      </c>
      <c r="K65" s="40">
        <f>SUM(K37:K64)</f>
        <v>1.0000000000000002</v>
      </c>
      <c r="L65" s="22">
        <f>SUM(L37:L64)</f>
        <v>0.6602016601042886</v>
      </c>
      <c r="M65" s="24">
        <f>SUM(M37:M64)</f>
        <v>0.6574012595393397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15645.750134457756</v>
      </c>
      <c r="AB65" s="137"/>
      <c r="AC65" s="153">
        <f>SUM(AC37:AC64)</f>
        <v>12844.597890916952</v>
      </c>
      <c r="AD65" s="137"/>
      <c r="AE65" s="153">
        <f>SUM(AE37:AE64)</f>
        <v>12304.860383309531</v>
      </c>
      <c r="AF65" s="137"/>
      <c r="AG65" s="153">
        <f>SUM(AG37:AG64)</f>
        <v>18255.18770748829</v>
      </c>
      <c r="AH65" s="137"/>
      <c r="AI65" s="153">
        <f>SUM(AI37:AI64)</f>
        <v>59050.396116172531</v>
      </c>
      <c r="AJ65" s="153">
        <f>SUM(AJ37:AJ64)</f>
        <v>28490.348025374708</v>
      </c>
      <c r="AK65" s="153">
        <f>SUM(AK37:AK64)</f>
        <v>30560.048090797824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18308.671017938777</v>
      </c>
      <c r="K72" s="40">
        <f t="shared" si="47"/>
        <v>0.2537245929551985</v>
      </c>
      <c r="L72" s="22">
        <f t="shared" si="45"/>
        <v>0.22381262303616881</v>
      </c>
      <c r="M72" s="24">
        <f t="shared" si="48"/>
        <v>0.18265807256909233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41950.074487947211</v>
      </c>
      <c r="J74" s="51">
        <f t="shared" si="44"/>
        <v>6676.6418084031693</v>
      </c>
      <c r="K74" s="40">
        <f>B74/B$76</f>
        <v>5.5585591308825309E-2</v>
      </c>
      <c r="L74" s="22">
        <f t="shared" si="45"/>
        <v>2.8255956465627785E-2</v>
      </c>
      <c r="M74" s="24">
        <f>J74/B$76</f>
        <v>6.661010636775537E-2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-1.9659597686953599E-12</v>
      </c>
      <c r="AB74" s="156"/>
      <c r="AC74" s="147">
        <f>AC30*$I$84/4</f>
        <v>5246.3195520874169</v>
      </c>
      <c r="AD74" s="156"/>
      <c r="AE74" s="147">
        <f>AE30*$I$84/4</f>
        <v>5547.7846417469909</v>
      </c>
      <c r="AF74" s="156"/>
      <c r="AG74" s="147">
        <f>AG30*$I$84/4</f>
        <v>5496.131385426469</v>
      </c>
      <c r="AH74" s="155"/>
      <c r="AI74" s="147">
        <f>SUM(AA74,AC74,AE74,AG74)</f>
        <v>16290.235579260876</v>
      </c>
      <c r="AJ74" s="148">
        <f>(AA74+AC74)</f>
        <v>5246.3195520874151</v>
      </c>
      <c r="AK74" s="147">
        <f>(AE74+AG74)</f>
        <v>11043.91602717346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0.12271470399147691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19645.836240010056</v>
      </c>
      <c r="AB75" s="158"/>
      <c r="AC75" s="149">
        <f>AA75+AC65-SUM(AC70,AC74)</f>
        <v>21268.90820082639</v>
      </c>
      <c r="AD75" s="158"/>
      <c r="AE75" s="149">
        <f>AC75+AE65-SUM(AE70,AE74)</f>
        <v>22050.777564375727</v>
      </c>
      <c r="AF75" s="158"/>
      <c r="AG75" s="149">
        <f>IF(SUM(AG6:AG29)+((AG65-AG70-$J$75)*4/I$83)&lt;1,0,AG65-AG70-$J$75-(1-SUM(AG6:AG29))*I$83/4)</f>
        <v>9975.2924835655012</v>
      </c>
      <c r="AH75" s="134"/>
      <c r="AI75" s="149">
        <f>AI76-SUM(AI70,AI74)</f>
        <v>18859.335024858839</v>
      </c>
      <c r="AJ75" s="151">
        <f>AJ76-SUM(AJ70,AJ74)</f>
        <v>11293.615717260887</v>
      </c>
      <c r="AK75" s="149">
        <f>AJ75+AK76-SUM(AK70,AK74)</f>
        <v>18859.335024858839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65850.900000000023</v>
      </c>
      <c r="J76" s="51">
        <f t="shared" si="44"/>
        <v>65894.396116172546</v>
      </c>
      <c r="K76" s="40">
        <f>SUM(K70:K75)</f>
        <v>1.0000000000000002</v>
      </c>
      <c r="L76" s="22">
        <f>SUM(L70:L75)</f>
        <v>0.6602016601042886</v>
      </c>
      <c r="M76" s="24">
        <f>SUM(M70:M75)</f>
        <v>0.65740125953933981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15645.750134457756</v>
      </c>
      <c r="AB76" s="137"/>
      <c r="AC76" s="153">
        <f>AC65</f>
        <v>12844.597890916952</v>
      </c>
      <c r="AD76" s="137"/>
      <c r="AE76" s="153">
        <f>AE65</f>
        <v>12304.860383309531</v>
      </c>
      <c r="AF76" s="137"/>
      <c r="AG76" s="153">
        <f>AG65</f>
        <v>18255.18770748829</v>
      </c>
      <c r="AH76" s="137"/>
      <c r="AI76" s="153">
        <f>SUM(AA76,AC76,AE76,AG76)</f>
        <v>59050.396116172531</v>
      </c>
      <c r="AJ76" s="154">
        <f>SUM(AA76,AC76)</f>
        <v>28490.348025374708</v>
      </c>
      <c r="AK76" s="154">
        <f>SUM(AE76,AG76)</f>
        <v>30560.04809079782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9975.2924835655012</v>
      </c>
      <c r="AB78" s="112"/>
      <c r="AC78" s="112">
        <f>IF(AA75&lt;0,0,AA75)</f>
        <v>19645.836240010056</v>
      </c>
      <c r="AD78" s="112"/>
      <c r="AE78" s="112">
        <f>AC75</f>
        <v>21268.90820082639</v>
      </c>
      <c r="AF78" s="112"/>
      <c r="AG78" s="112">
        <f>AE75</f>
        <v>22050.777564375727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19645.836240010052</v>
      </c>
      <c r="AB79" s="112"/>
      <c r="AC79" s="112">
        <f>AA79-AA74+AC65-AC70</f>
        <v>26515.227752913808</v>
      </c>
      <c r="AD79" s="112"/>
      <c r="AE79" s="112">
        <f>AC79-AC74+AE65-AE70</f>
        <v>27598.562206122719</v>
      </c>
      <c r="AF79" s="112"/>
      <c r="AG79" s="112">
        <f>AE79-AE74+AG65-AG70</f>
        <v>34330.758893850812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0.36587206572508785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0.36587206572508785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7.8970924142641036E-2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7.8970924142641036E-2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9.1116819913446556E-3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9.1116819913446556E-3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1.3786415006337687E-3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1.3786415006337687E-3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3.8034457674472914E-3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3.8034457674472914E-3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6.0710818376532964E-4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6.0710818376532964E-4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2.5296174323555382E-3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2.5296174323555382E-3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7.5888522970666162E-4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7.5888522970666162E-4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1.4756101688740645E-4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1.4756101688740645E-4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4.2160290539258998E-4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4.2160290539258998E-4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0.42909090909090908</v>
      </c>
      <c r="I112" s="22">
        <f t="shared" si="58"/>
        <v>0.57209073936028387</v>
      </c>
      <c r="J112" s="24">
        <f t="shared" si="59"/>
        <v>0.57209073936028387</v>
      </c>
      <c r="K112" s="22">
        <f t="shared" si="60"/>
        <v>1.3332623163057464</v>
      </c>
      <c r="L112" s="22">
        <f t="shared" si="61"/>
        <v>0.57209073936028387</v>
      </c>
      <c r="M112" s="227">
        <f t="shared" si="62"/>
        <v>0.57209073936028387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2.5279010288404208E-2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2.5279010288404208E-2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0.87995312876179266</v>
      </c>
      <c r="L115" s="22">
        <f t="shared" si="61"/>
        <v>0</v>
      </c>
      <c r="M115" s="227">
        <f t="shared" si="62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4.4341678517584899</v>
      </c>
      <c r="J119" s="24">
        <f>SUM(J91:J118)</f>
        <v>4.4370967271422517</v>
      </c>
      <c r="K119" s="22">
        <f>SUM(K91:K118)</f>
        <v>11.136591987844533</v>
      </c>
      <c r="L119" s="22">
        <f>SUM(L91:L118)</f>
        <v>4.4559978898661097</v>
      </c>
      <c r="M119" s="57">
        <f t="shared" si="49"/>
        <v>4.4370967271422517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1.2328414712048961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1.5106120390806463</v>
      </c>
      <c r="M126" s="57">
        <f t="shared" si="65"/>
        <v>1.2328414712048961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2.8247703778282371</v>
      </c>
      <c r="J128" s="228">
        <f>(J30)</f>
        <v>0.44958156174825237</v>
      </c>
      <c r="K128" s="22">
        <f>(B128)</f>
        <v>0.6190340508094645</v>
      </c>
      <c r="L128" s="22">
        <f>IF(L124=L119,0,(L119-L124)/(B119-B124)*K128)</f>
        <v>0.19071215659636018</v>
      </c>
      <c r="M128" s="57">
        <f t="shared" si="63"/>
        <v>0.44958156174825237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4.4341678517584899</v>
      </c>
      <c r="J130" s="228">
        <f>(J119)</f>
        <v>4.4370967271422517</v>
      </c>
      <c r="K130" s="22">
        <f>(B130)</f>
        <v>11.136591987844533</v>
      </c>
      <c r="L130" s="22">
        <f>(L119)</f>
        <v>4.4559978898661097</v>
      </c>
      <c r="M130" s="57">
        <f t="shared" si="63"/>
        <v>4.4370967271422517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2485.6361955458801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7512.2239577167766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0.10104259477718094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0.10104259477718094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13024.256141494034</v>
      </c>
      <c r="U11" s="223">
        <v>5</v>
      </c>
      <c r="V11" s="56"/>
      <c r="W11" s="115"/>
      <c r="X11" s="118">
        <f>Poor!X11</f>
        <v>1</v>
      </c>
      <c r="Y11" s="183">
        <f t="shared" si="9"/>
        <v>0.40417037910872378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0.40417037910872378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0.10104259477718094</v>
      </c>
      <c r="AJ11" s="120">
        <f t="shared" si="14"/>
        <v>0.20208518955436189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1.9837390218127693E-2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1.9837390218127693E-2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7.9349560872510772E-2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5.3164205784582218E-2</v>
      </c>
      <c r="AF12" s="122">
        <f>1-SUM(Z12,AB12,AD12)</f>
        <v>0.32999999999999996</v>
      </c>
      <c r="AG12" s="121">
        <f>$M12*AF12*4</f>
        <v>2.618535508792855E-2</v>
      </c>
      <c r="AH12" s="123">
        <f t="shared" si="12"/>
        <v>1</v>
      </c>
      <c r="AI12" s="183">
        <f t="shared" si="13"/>
        <v>1.9837390218127693E-2</v>
      </c>
      <c r="AJ12" s="120">
        <f t="shared" si="14"/>
        <v>0</v>
      </c>
      <c r="AK12" s="119">
        <f t="shared" si="15"/>
        <v>3.9674780436255386E-2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6.9478825669853916E-3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6.9478825669853916E-3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2.7791530267941567E-2</v>
      </c>
      <c r="Z13" s="156">
        <f>Poor!Z13</f>
        <v>1</v>
      </c>
      <c r="AA13" s="121">
        <f>$M13*Z13*4</f>
        <v>2.7791530267941567E-2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6.9478825669853916E-3</v>
      </c>
      <c r="AJ13" s="120">
        <f t="shared" si="14"/>
        <v>1.3895765133970783E-2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96018.28571428571</v>
      </c>
      <c r="T14" s="222">
        <f>IF($B$81=0,0,(SUMIF($N$6:$N$28,$U14,M$6:M$28)+SUMIF($N$91:$N$118,$U14,M$91:M$118))*$I$83*Poor!$B$81/$B$81)</f>
        <v>96018.28571428571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9.3314358726501645E-4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9.3314358726501645E-4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3.7325743490600658E-3</v>
      </c>
      <c r="Z15" s="156">
        <f>Poor!Z15</f>
        <v>0.25</v>
      </c>
      <c r="AA15" s="121">
        <f t="shared" si="16"/>
        <v>9.3314358726501645E-4</v>
      </c>
      <c r="AB15" s="156">
        <f>Poor!AB15</f>
        <v>0.25</v>
      </c>
      <c r="AC15" s="121">
        <f t="shared" si="7"/>
        <v>9.3314358726501645E-4</v>
      </c>
      <c r="AD15" s="156">
        <f>Poor!AD15</f>
        <v>0.25</v>
      </c>
      <c r="AE15" s="121">
        <f t="shared" si="8"/>
        <v>9.3314358726501645E-4</v>
      </c>
      <c r="AF15" s="122">
        <f t="shared" si="10"/>
        <v>0.25</v>
      </c>
      <c r="AG15" s="121">
        <f t="shared" si="11"/>
        <v>9.3314358726501645E-4</v>
      </c>
      <c r="AH15" s="123">
        <f t="shared" si="12"/>
        <v>1</v>
      </c>
      <c r="AI15" s="183">
        <f t="shared" si="13"/>
        <v>9.3314358726501645E-4</v>
      </c>
      <c r="AJ15" s="120">
        <f t="shared" si="14"/>
        <v>9.3314358726501645E-4</v>
      </c>
      <c r="AK15" s="119">
        <f t="shared" si="15"/>
        <v>9.3314358726501645E-4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6.9985955373480461E-3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6.9985955373480461E-3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2.7994382149392184E-2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2.7994382149392184E-2</v>
      </c>
      <c r="AH16" s="123">
        <f t="shared" si="12"/>
        <v>1</v>
      </c>
      <c r="AI16" s="183">
        <f t="shared" si="13"/>
        <v>6.9985955373480461E-3</v>
      </c>
      <c r="AJ16" s="120">
        <f t="shared" si="14"/>
        <v>0</v>
      </c>
      <c r="AK16" s="119">
        <f t="shared" si="15"/>
        <v>1.3997191074696092E-2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3.6813090640223462E-3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3.6813090640223462E-3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1.5943968293105114E-3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1.5943968293105114E-3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163972.64564505476</v>
      </c>
      <c r="T23" s="179">
        <f>SUM(T7:T22)</f>
        <v>164167.29361445151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1.0660038013334532E-2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1.0660038013334532E-2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4.2640152053338126E-2</v>
      </c>
      <c r="Z27" s="156">
        <f>Poor!Z27</f>
        <v>0.25</v>
      </c>
      <c r="AA27" s="121">
        <f t="shared" si="16"/>
        <v>1.0660038013334532E-2</v>
      </c>
      <c r="AB27" s="156">
        <f>Poor!AB27</f>
        <v>0.25</v>
      </c>
      <c r="AC27" s="121">
        <f t="shared" si="7"/>
        <v>1.0660038013334532E-2</v>
      </c>
      <c r="AD27" s="156">
        <f>Poor!AD27</f>
        <v>0.25</v>
      </c>
      <c r="AE27" s="121">
        <f t="shared" si="8"/>
        <v>1.0660038013334532E-2</v>
      </c>
      <c r="AF27" s="122">
        <f t="shared" si="10"/>
        <v>0.25</v>
      </c>
      <c r="AG27" s="121">
        <f t="shared" si="11"/>
        <v>1.0660038013334532E-2</v>
      </c>
      <c r="AH27" s="123">
        <f t="shared" si="12"/>
        <v>1</v>
      </c>
      <c r="AI27" s="183">
        <f t="shared" si="13"/>
        <v>1.0660038013334532E-2</v>
      </c>
      <c r="AJ27" s="120">
        <f t="shared" si="14"/>
        <v>1.0660038013334532E-2</v>
      </c>
      <c r="AK27" s="119">
        <f t="shared" si="15"/>
        <v>1.0660038013334532E-2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6.3857939254424916E-3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6.3857939254424916E-3</v>
      </c>
      <c r="N28" s="229"/>
      <c r="O28" s="2"/>
      <c r="P28" s="22"/>
      <c r="V28" s="56"/>
      <c r="W28" s="110"/>
      <c r="X28" s="118"/>
      <c r="Y28" s="183">
        <f t="shared" si="9"/>
        <v>2.5543175701769966E-2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1.2771587850884983E-2</v>
      </c>
      <c r="AF28" s="122">
        <f t="shared" si="10"/>
        <v>0.5</v>
      </c>
      <c r="AG28" s="121">
        <f t="shared" si="11"/>
        <v>1.2771587850884983E-2</v>
      </c>
      <c r="AH28" s="123">
        <f t="shared" si="12"/>
        <v>1</v>
      </c>
      <c r="AI28" s="183">
        <f t="shared" si="13"/>
        <v>6.3857939254424916E-3</v>
      </c>
      <c r="AJ28" s="120">
        <f t="shared" si="14"/>
        <v>0</v>
      </c>
      <c r="AK28" s="119">
        <f t="shared" si="15"/>
        <v>1.2771587850884983E-2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0.26445349387912959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0.26445349387912959</v>
      </c>
      <c r="N29" s="229"/>
      <c r="P29" s="22"/>
      <c r="V29" s="56"/>
      <c r="W29" s="110"/>
      <c r="X29" s="118"/>
      <c r="Y29" s="183">
        <f t="shared" si="9"/>
        <v>1.0578139755165183</v>
      </c>
      <c r="Z29" s="156">
        <f>Poor!Z29</f>
        <v>0.25</v>
      </c>
      <c r="AA29" s="121">
        <f t="shared" si="16"/>
        <v>0.26445349387912959</v>
      </c>
      <c r="AB29" s="156">
        <f>Poor!AB29</f>
        <v>0.25</v>
      </c>
      <c r="AC29" s="121">
        <f t="shared" si="7"/>
        <v>0.26445349387912959</v>
      </c>
      <c r="AD29" s="156">
        <f>Poor!AD29</f>
        <v>0.25</v>
      </c>
      <c r="AE29" s="121">
        <f t="shared" si="8"/>
        <v>0.26445349387912959</v>
      </c>
      <c r="AF29" s="122">
        <f t="shared" si="10"/>
        <v>0.25</v>
      </c>
      <c r="AG29" s="121">
        <f t="shared" si="11"/>
        <v>0.26445349387912959</v>
      </c>
      <c r="AH29" s="123">
        <f t="shared" si="12"/>
        <v>1</v>
      </c>
      <c r="AI29" s="183">
        <f t="shared" si="13"/>
        <v>0.26445349387912959</v>
      </c>
      <c r="AJ29" s="120">
        <f t="shared" si="14"/>
        <v>0.26445349387912959</v>
      </c>
      <c r="AK29" s="119">
        <f t="shared" si="15"/>
        <v>0.26445349387912959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7.6200168191873541</v>
      </c>
      <c r="J30" s="231">
        <f>IF(I$32&lt;=1,I30,1-SUM(J6:J29))</f>
        <v>0.49622121262963503</v>
      </c>
      <c r="K30" s="22">
        <f t="shared" si="4"/>
        <v>0.65368818174702015</v>
      </c>
      <c r="L30" s="22">
        <f>IF(L124=L119,0,IF(K30="",0,(L119-L124)/(B119-B124)*K30))</f>
        <v>0.23516277503293573</v>
      </c>
      <c r="M30" s="175">
        <f t="shared" si="6"/>
        <v>0.49622121262963503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1.9848848505185401</v>
      </c>
      <c r="Z30" s="122">
        <f>IF($Y30=0,0,AA30/($Y$30))</f>
        <v>9.2890316616493926E-2</v>
      </c>
      <c r="AA30" s="187">
        <f>IF(AA79*4/$I$83+SUM(AA6:AA29)&lt;1,AA79*4/$I$83,1-SUM(AA6:AA29))</f>
        <v>0.18437658221194941</v>
      </c>
      <c r="AB30" s="122">
        <f>IF($Y30=0,0,AC30/($Y$30))</f>
        <v>0.33241183172655964</v>
      </c>
      <c r="AC30" s="187">
        <f>IF(AC79*4/$I$83+SUM(AC6:AC29)&lt;1,AC79*4/$I$83,1-SUM(AC6:AC29))</f>
        <v>0.65979920892716648</v>
      </c>
      <c r="AD30" s="122">
        <f>IF($Y30=0,0,AE30/($Y$30))</f>
        <v>0.29729404247852986</v>
      </c>
      <c r="AE30" s="187">
        <f>IF(AE79*4/$I$83+SUM(AE6:AE29)&lt;1,AE79*4/$I$83,1-SUM(AE6:AE29))</f>
        <v>0.59009444106504927</v>
      </c>
      <c r="AF30" s="122">
        <f>IF($Y30=0,0,AG30/($Y$30))</f>
        <v>0.28803557130195667</v>
      </c>
      <c r="AG30" s="187">
        <f>IF(AG79*4/$I$83+SUM(AG6:AG29)&lt;1,AG79*4/$I$83,1-SUM(AG6:AG29))</f>
        <v>0.57171744188770657</v>
      </c>
      <c r="AH30" s="123">
        <f t="shared" si="12"/>
        <v>1.0106317621235401</v>
      </c>
      <c r="AI30" s="183">
        <f t="shared" si="13"/>
        <v>0.50149691852296796</v>
      </c>
      <c r="AJ30" s="120">
        <f t="shared" si="14"/>
        <v>0.42208789556955795</v>
      </c>
      <c r="AK30" s="119">
        <f t="shared" si="15"/>
        <v>0.58090594147637797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0.28528775463677725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8.4353504166971671</v>
      </c>
      <c r="J32" s="17"/>
      <c r="L32" s="22">
        <f>SUM(L6:L30)</f>
        <v>0.71471224536322275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3.9788971764266687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7.2157422221223289E-2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7515.9062124438551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3.5174640866197364E-2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7515.9062124438551</v>
      </c>
      <c r="AH38" s="123">
        <f t="shared" ref="AH38:AI58" si="35">SUM(Z38,AB38,AD38,AF38)</f>
        <v>1</v>
      </c>
      <c r="AI38" s="112">
        <f t="shared" si="35"/>
        <v>7515.9062124438551</v>
      </c>
      <c r="AJ38" s="148">
        <f t="shared" ref="AJ38:AJ64" si="36">(AA38+AC38)</f>
        <v>0</v>
      </c>
      <c r="AK38" s="147">
        <f t="shared" ref="AK38:AK64" si="37">(AE38+AG38)</f>
        <v>7515.9062124438551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1943.1512446967579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9.0939994790978675E-3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1943.1512446967579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1943.1512446967579</v>
      </c>
      <c r="AJ39" s="148">
        <f t="shared" si="36"/>
        <v>1943.1512446967579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1948.4694133354315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9.1188886496973501E-3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487.11735333385786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974.23470666771573</v>
      </c>
      <c r="AF42" s="122">
        <f t="shared" si="31"/>
        <v>0.25</v>
      </c>
      <c r="AG42" s="147">
        <f t="shared" si="34"/>
        <v>487.11735333385786</v>
      </c>
      <c r="AH42" s="123">
        <f t="shared" si="35"/>
        <v>1</v>
      </c>
      <c r="AI42" s="112">
        <f t="shared" si="35"/>
        <v>1948.4694133354315</v>
      </c>
      <c r="AJ42" s="148">
        <f t="shared" si="36"/>
        <v>487.11735333385786</v>
      </c>
      <c r="AK42" s="147">
        <f t="shared" si="37"/>
        <v>1461.3520600015736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141.58877736904131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6.6263924187800723E-4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35.397194342260327</v>
      </c>
      <c r="AB43" s="156">
        <f>Poor!AB43</f>
        <v>0.25</v>
      </c>
      <c r="AC43" s="147">
        <f t="shared" si="39"/>
        <v>35.397194342260327</v>
      </c>
      <c r="AD43" s="156">
        <f>Poor!AD43</f>
        <v>0.25</v>
      </c>
      <c r="AE43" s="147">
        <f t="shared" si="40"/>
        <v>35.397194342260327</v>
      </c>
      <c r="AF43" s="122">
        <f t="shared" si="31"/>
        <v>0.25</v>
      </c>
      <c r="AG43" s="147">
        <f t="shared" si="34"/>
        <v>35.397194342260327</v>
      </c>
      <c r="AH43" s="123">
        <f t="shared" si="35"/>
        <v>1</v>
      </c>
      <c r="AI43" s="112">
        <f t="shared" si="35"/>
        <v>141.58877736904131</v>
      </c>
      <c r="AJ43" s="148">
        <f t="shared" si="36"/>
        <v>70.794388684520655</v>
      </c>
      <c r="AK43" s="147">
        <f t="shared" si="37"/>
        <v>70.794388684520655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506.50340408911256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2.370449395289612E-3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126.62585102227814</v>
      </c>
      <c r="AB44" s="156">
        <f>Poor!AB44</f>
        <v>0.25</v>
      </c>
      <c r="AC44" s="147">
        <f t="shared" si="39"/>
        <v>126.62585102227814</v>
      </c>
      <c r="AD44" s="156">
        <f>Poor!AD44</f>
        <v>0.25</v>
      </c>
      <c r="AE44" s="147">
        <f t="shared" si="40"/>
        <v>126.62585102227814</v>
      </c>
      <c r="AF44" s="122">
        <f t="shared" si="31"/>
        <v>0.25</v>
      </c>
      <c r="AG44" s="147">
        <f t="shared" si="34"/>
        <v>126.62585102227814</v>
      </c>
      <c r="AH44" s="123">
        <f t="shared" si="35"/>
        <v>1</v>
      </c>
      <c r="AI44" s="112">
        <f t="shared" si="35"/>
        <v>506.50340408911256</v>
      </c>
      <c r="AJ44" s="148">
        <f t="shared" si="36"/>
        <v>253.25170204455628</v>
      </c>
      <c r="AK44" s="147">
        <f t="shared" si="37"/>
        <v>253.25170204455628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311.7551061336689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1.4590221839515752E-3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77.938776533417226</v>
      </c>
      <c r="AB45" s="156">
        <f>Poor!AB45</f>
        <v>0.25</v>
      </c>
      <c r="AC45" s="147">
        <f t="shared" si="39"/>
        <v>77.938776533417226</v>
      </c>
      <c r="AD45" s="156">
        <f>Poor!AD45</f>
        <v>0.25</v>
      </c>
      <c r="AE45" s="147">
        <f t="shared" si="40"/>
        <v>77.938776533417226</v>
      </c>
      <c r="AF45" s="122">
        <f t="shared" si="31"/>
        <v>0.25</v>
      </c>
      <c r="AG45" s="147">
        <f t="shared" si="34"/>
        <v>77.938776533417226</v>
      </c>
      <c r="AH45" s="123">
        <f t="shared" si="35"/>
        <v>1</v>
      </c>
      <c r="AI45" s="112">
        <f t="shared" si="35"/>
        <v>311.7551061336689</v>
      </c>
      <c r="AJ45" s="148">
        <f t="shared" si="36"/>
        <v>155.87755306683445</v>
      </c>
      <c r="AK45" s="147">
        <f t="shared" si="37"/>
        <v>155.87755306683445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562.89116385245768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2.6343456099125664E-3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140.72279096311442</v>
      </c>
      <c r="AB46" s="156">
        <f>Poor!AB46</f>
        <v>0.25</v>
      </c>
      <c r="AC46" s="147">
        <f t="shared" si="39"/>
        <v>140.72279096311442</v>
      </c>
      <c r="AD46" s="156">
        <f>Poor!AD46</f>
        <v>0.25</v>
      </c>
      <c r="AE46" s="147">
        <f t="shared" si="40"/>
        <v>140.72279096311442</v>
      </c>
      <c r="AF46" s="122">
        <f t="shared" si="31"/>
        <v>0.25</v>
      </c>
      <c r="AG46" s="147">
        <f t="shared" si="34"/>
        <v>140.72279096311442</v>
      </c>
      <c r="AH46" s="123">
        <f t="shared" si="35"/>
        <v>1</v>
      </c>
      <c r="AI46" s="112">
        <f t="shared" si="35"/>
        <v>562.89116385245768</v>
      </c>
      <c r="AJ46" s="148">
        <f t="shared" si="36"/>
        <v>281.44558192622884</v>
      </c>
      <c r="AK46" s="147">
        <f t="shared" si="37"/>
        <v>281.44558192622884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103.91836871122298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4.8634072798385851E-4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25.979592177805745</v>
      </c>
      <c r="AB47" s="156">
        <f>Poor!AB47</f>
        <v>0.25</v>
      </c>
      <c r="AC47" s="147">
        <f t="shared" si="39"/>
        <v>25.979592177805745</v>
      </c>
      <c r="AD47" s="156">
        <f>Poor!AD47</f>
        <v>0.25</v>
      </c>
      <c r="AE47" s="147">
        <f t="shared" si="40"/>
        <v>25.979592177805745</v>
      </c>
      <c r="AF47" s="122">
        <f t="shared" si="31"/>
        <v>0.25</v>
      </c>
      <c r="AG47" s="147">
        <f t="shared" si="34"/>
        <v>25.979592177805745</v>
      </c>
      <c r="AH47" s="123">
        <f t="shared" si="35"/>
        <v>1</v>
      </c>
      <c r="AI47" s="112">
        <f t="shared" si="35"/>
        <v>103.91836871122298</v>
      </c>
      <c r="AJ47" s="148">
        <f t="shared" si="36"/>
        <v>51.959184355611491</v>
      </c>
      <c r="AK47" s="147">
        <f t="shared" si="37"/>
        <v>51.959184355611491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15.154762103720017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7.0924689497646031E-5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3.7886905259300043</v>
      </c>
      <c r="AB48" s="156">
        <f>Poor!AB48</f>
        <v>0.25</v>
      </c>
      <c r="AC48" s="147">
        <f t="shared" si="39"/>
        <v>3.7886905259300043</v>
      </c>
      <c r="AD48" s="156">
        <f>Poor!AD48</f>
        <v>0.25</v>
      </c>
      <c r="AE48" s="147">
        <f t="shared" si="40"/>
        <v>3.7886905259300043</v>
      </c>
      <c r="AF48" s="122">
        <f t="shared" si="31"/>
        <v>0.25</v>
      </c>
      <c r="AG48" s="147">
        <f t="shared" si="34"/>
        <v>3.7886905259300043</v>
      </c>
      <c r="AH48" s="123">
        <f t="shared" si="35"/>
        <v>1</v>
      </c>
      <c r="AI48" s="112">
        <f t="shared" si="35"/>
        <v>15.154762103720017</v>
      </c>
      <c r="AJ48" s="148">
        <f t="shared" si="36"/>
        <v>7.5773810518600087</v>
      </c>
      <c r="AK48" s="147">
        <f t="shared" si="37"/>
        <v>7.5773810518600087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108.24830074085727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5.0660492498318598E-4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27.062075185214319</v>
      </c>
      <c r="AB50" s="156">
        <f>Poor!AB55</f>
        <v>0.25</v>
      </c>
      <c r="AC50" s="147">
        <f t="shared" si="39"/>
        <v>27.062075185214319</v>
      </c>
      <c r="AD50" s="156">
        <f>Poor!AD55</f>
        <v>0.25</v>
      </c>
      <c r="AE50" s="147">
        <f t="shared" si="40"/>
        <v>27.062075185214319</v>
      </c>
      <c r="AF50" s="122">
        <f t="shared" si="31"/>
        <v>0.25</v>
      </c>
      <c r="AG50" s="147">
        <f t="shared" si="34"/>
        <v>27.062075185214319</v>
      </c>
      <c r="AH50" s="123">
        <f t="shared" si="35"/>
        <v>1</v>
      </c>
      <c r="AI50" s="112">
        <f t="shared" si="35"/>
        <v>108.24830074085727</v>
      </c>
      <c r="AJ50" s="148">
        <f t="shared" si="36"/>
        <v>54.124150370428637</v>
      </c>
      <c r="AK50" s="147">
        <f t="shared" si="37"/>
        <v>54.124150370428637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73632</v>
      </c>
      <c r="J58" s="38">
        <f t="shared" si="33"/>
        <v>73632</v>
      </c>
      <c r="K58" s="40">
        <f t="shared" si="43"/>
        <v>0.48672276458530284</v>
      </c>
      <c r="L58" s="22">
        <f t="shared" si="44"/>
        <v>0.34459971732639438</v>
      </c>
      <c r="M58" s="24">
        <f t="shared" si="45"/>
        <v>0.34459971732639444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18408</v>
      </c>
      <c r="AB58" s="156">
        <f>Poor!AB58</f>
        <v>0.25</v>
      </c>
      <c r="AC58" s="147">
        <f t="shared" si="39"/>
        <v>18408</v>
      </c>
      <c r="AD58" s="156">
        <f>Poor!AD58</f>
        <v>0.25</v>
      </c>
      <c r="AE58" s="147">
        <f t="shared" si="40"/>
        <v>18408</v>
      </c>
      <c r="AF58" s="122">
        <f t="shared" si="31"/>
        <v>0.25</v>
      </c>
      <c r="AG58" s="147">
        <f t="shared" si="34"/>
        <v>18408</v>
      </c>
      <c r="AH58" s="123">
        <f t="shared" si="35"/>
        <v>1</v>
      </c>
      <c r="AI58" s="112">
        <f t="shared" si="35"/>
        <v>73632</v>
      </c>
      <c r="AJ58" s="148">
        <f t="shared" si="36"/>
        <v>36816</v>
      </c>
      <c r="AK58" s="147">
        <f t="shared" si="37"/>
        <v>36816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3.7065810533803832E-2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137064.10266666667</v>
      </c>
      <c r="J65" s="39">
        <f>SUM(J37:J64)</f>
        <v>140345.35608680948</v>
      </c>
      <c r="K65" s="40">
        <f>SUM(K37:K64)</f>
        <v>1</v>
      </c>
      <c r="L65" s="22">
        <f>SUM(L37:L64)</f>
        <v>0.65801424600091729</v>
      </c>
      <c r="M65" s="24">
        <f>SUM(M37:M64)</f>
        <v>0.65681999722385254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34657.934235447305</v>
      </c>
      <c r="AB65" s="137"/>
      <c r="AC65" s="153">
        <f>SUM(AC37:AC64)</f>
        <v>28454.165637416689</v>
      </c>
      <c r="AD65" s="137"/>
      <c r="AE65" s="153">
        <f>SUM(AE37:AE64)</f>
        <v>29428.400344084403</v>
      </c>
      <c r="AF65" s="137"/>
      <c r="AG65" s="153">
        <f>SUM(AG37:AG64)</f>
        <v>37420.855869861072</v>
      </c>
      <c r="AH65" s="137"/>
      <c r="AI65" s="153">
        <f>SUM(AI37:AI64)</f>
        <v>129961.35608680946</v>
      </c>
      <c r="AJ65" s="153">
        <f>SUM(AJ37:AJ64)</f>
        <v>63112.09987286399</v>
      </c>
      <c r="AK65" s="153">
        <f>SUM(AK37:AK64)</f>
        <v>66849.256213945468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113163.27715461384</v>
      </c>
      <c r="J74" s="51">
        <f>J128*I$83</f>
        <v>7369.2775156885509</v>
      </c>
      <c r="K74" s="40">
        <f>B74/B$76</f>
        <v>2.7534969194229441E-2</v>
      </c>
      <c r="L74" s="22">
        <f>(L128*G$37*F$9/F$7)/B$130</f>
        <v>1.6344305912969804E-2</v>
      </c>
      <c r="M74" s="24">
        <f>J74/B$76</f>
        <v>3.4488414667617727E-2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684.53452166711929</v>
      </c>
      <c r="AB74" s="156"/>
      <c r="AC74" s="147">
        <f>AC30*$I$83/4</f>
        <v>2449.6350374913823</v>
      </c>
      <c r="AD74" s="156"/>
      <c r="AE74" s="147">
        <f>AE30*$I$83/4</f>
        <v>2190.8423027851868</v>
      </c>
      <c r="AF74" s="156"/>
      <c r="AG74" s="147">
        <f>AG30*$I$83/4</f>
        <v>2122.6140593140158</v>
      </c>
      <c r="AH74" s="155"/>
      <c r="AI74" s="147">
        <f>SUM(AA74,AC74,AE74,AG74)</f>
        <v>7447.6259212577042</v>
      </c>
      <c r="AJ74" s="148">
        <f>(AA74+AC74)</f>
        <v>3134.1695591585017</v>
      </c>
      <c r="AK74" s="147">
        <f>(AE74+AG74)</f>
        <v>4313.456362099203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6115.0086146236163</v>
      </c>
      <c r="K75" s="40">
        <f>B75/B$76</f>
        <v>0.48421441225910899</v>
      </c>
      <c r="L75" s="22">
        <f>(L129*G$37*F$9/F$7)/B$130</f>
        <v>4.7956760400679525E-2</v>
      </c>
      <c r="M75" s="24">
        <f>J75/B$76</f>
        <v>2.861840286896682E-2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51206.220153677226</v>
      </c>
      <c r="AB75" s="158"/>
      <c r="AC75" s="149">
        <f>AA75+AC65-SUM(AC70,AC74)</f>
        <v>71235.544375589321</v>
      </c>
      <c r="AD75" s="158"/>
      <c r="AE75" s="149">
        <f>AC75+AE65-SUM(AE70,AE74)</f>
        <v>92497.896038875333</v>
      </c>
      <c r="AF75" s="158"/>
      <c r="AG75" s="149">
        <f>IF(SUM(AG6:AG29)+((AG65-AG70-$J$75)*4/I$83)&lt;1,0,AG65-AG70-$J$75-(1-SUM(AG6:AG29))*I$83/4)</f>
        <v>23208.026817910239</v>
      </c>
      <c r="AH75" s="134"/>
      <c r="AI75" s="149">
        <f>AI76-SUM(AI70,AI74)</f>
        <v>98612.904653498947</v>
      </c>
      <c r="AJ75" s="151">
        <f>AJ76-SUM(AJ70,AJ74)</f>
        <v>48027.517557679093</v>
      </c>
      <c r="AK75" s="149">
        <f>AJ75+AK76-SUM(AK70,AK74)</f>
        <v>98612.904653498961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137064.10266666664</v>
      </c>
      <c r="J76" s="51">
        <f>J130*I$83</f>
        <v>140345.35608680945</v>
      </c>
      <c r="K76" s="40">
        <f>SUM(K70:K75)</f>
        <v>0.81352070079758021</v>
      </c>
      <c r="L76" s="22">
        <f>SUM(L70:L75)</f>
        <v>0.43796867294206221</v>
      </c>
      <c r="M76" s="24">
        <f>SUM(M70:M75)</f>
        <v>0.43677442416499734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34657.934235447305</v>
      </c>
      <c r="AB76" s="137"/>
      <c r="AC76" s="153">
        <f>AC65</f>
        <v>28454.165637416689</v>
      </c>
      <c r="AD76" s="137"/>
      <c r="AE76" s="153">
        <f>AE65</f>
        <v>29428.400344084403</v>
      </c>
      <c r="AF76" s="137"/>
      <c r="AG76" s="153">
        <f>AG65</f>
        <v>37420.855869861072</v>
      </c>
      <c r="AH76" s="137"/>
      <c r="AI76" s="153">
        <f>SUM(AA76,AC76,AE76,AG76)</f>
        <v>129961.35608680946</v>
      </c>
      <c r="AJ76" s="154">
        <f>SUM(AA76,AC76)</f>
        <v>63112.099872863997</v>
      </c>
      <c r="AK76" s="154">
        <f>SUM(AE76,AG76)</f>
        <v>66849.256213945482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23208.026817910239</v>
      </c>
      <c r="AB78" s="112"/>
      <c r="AC78" s="112">
        <f>IF(AA75&lt;0,0,AA75)</f>
        <v>51206.220153677226</v>
      </c>
      <c r="AD78" s="112"/>
      <c r="AE78" s="112">
        <f>AC75</f>
        <v>71235.544375589321</v>
      </c>
      <c r="AF78" s="112"/>
      <c r="AG78" s="112">
        <f>AE75</f>
        <v>92497.896038875333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51890.754675344346</v>
      </c>
      <c r="AB79" s="112"/>
      <c r="AC79" s="112">
        <f>AA79-AA74+AC65-AC70</f>
        <v>73685.17941308071</v>
      </c>
      <c r="AD79" s="112"/>
      <c r="AE79" s="112">
        <f>AC79-AC74+AE65-AE70</f>
        <v>94688.738341660515</v>
      </c>
      <c r="AF79" s="112"/>
      <c r="AG79" s="112">
        <f>AE79-AE74+AG65-AG70</f>
        <v>123943.5455307232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0.50609467302725475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0.50609467302725475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0.1308449661331714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0.1308449661331714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0.13120307289265132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0.13120307289265132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9.5340899635326607E-3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9.5340899635326607E-3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3.41061566541715E-2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3.41061566541715E-2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2.0992491662824204E-2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2.0992491662824204E-2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3.790310994676592E-2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3.790310994676592E-2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6.9974972209414016E-3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6.9974972209414016E-3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1.020468344720621E-3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1.020468344720621E-3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7.2890596051472939E-3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7.2890596051472939E-3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0.42909090909090908</v>
      </c>
      <c r="I112" s="22">
        <f t="shared" si="59"/>
        <v>4.9581197411224611</v>
      </c>
      <c r="J112" s="24">
        <f t="shared" si="60"/>
        <v>4.9581197411224611</v>
      </c>
      <c r="K112" s="22">
        <f t="shared" si="61"/>
        <v>11.554940074649803</v>
      </c>
      <c r="L112" s="22">
        <f t="shared" si="62"/>
        <v>4.9581197411224611</v>
      </c>
      <c r="M112" s="227">
        <f t="shared" si="63"/>
        <v>4.9581197411224611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0.87995312876179266</v>
      </c>
      <c r="L115" s="22">
        <f t="shared" si="62"/>
        <v>0</v>
      </c>
      <c r="M115" s="227">
        <f t="shared" si="63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9.2294142931176069</v>
      </c>
      <c r="J119" s="24">
        <f>SUM(J91:J118)</f>
        <v>9.45036235045729</v>
      </c>
      <c r="K119" s="22">
        <f>SUM(K91:K118)</f>
        <v>23.740291014526168</v>
      </c>
      <c r="L119" s="22">
        <f>SUM(L91:L118)</f>
        <v>9.4675452677368419</v>
      </c>
      <c r="M119" s="57">
        <f t="shared" si="50"/>
        <v>9.45036235045729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7.6200168191873541</v>
      </c>
      <c r="J128" s="228">
        <f>(J30)</f>
        <v>0.49622121262963503</v>
      </c>
      <c r="K128" s="22">
        <f>(B128)</f>
        <v>0.65368818174702015</v>
      </c>
      <c r="L128" s="22">
        <f>IF(L124=L119,0,(L119-L124)/(B119-B124)*K128)</f>
        <v>0.23516277503293573</v>
      </c>
      <c r="M128" s="57">
        <f t="shared" si="90"/>
        <v>0.49622121262963503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0.41176315907892302</v>
      </c>
      <c r="K129" s="29">
        <f>(B129)</f>
        <v>11.495391060458996</v>
      </c>
      <c r="L129" s="60">
        <f>IF(SUM(L124:L128)&gt;L130,0,L130-SUM(L124:L128))</f>
        <v>0.69000451395517359</v>
      </c>
      <c r="M129" s="57">
        <f t="shared" si="90"/>
        <v>0.41176315907892302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9.2294142931176069</v>
      </c>
      <c r="J130" s="228">
        <f>(J119)</f>
        <v>9.45036235045729</v>
      </c>
      <c r="K130" s="22">
        <f>(B130)</f>
        <v>23.740291014526168</v>
      </c>
      <c r="L130" s="22">
        <f>(L119)</f>
        <v>9.4675452677368419</v>
      </c>
      <c r="M130" s="57">
        <f t="shared" si="90"/>
        <v>9.45036235045729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2463.7724756116104</v>
      </c>
      <c r="H72" s="109">
        <f>Middle!T7</f>
        <v>4355.9642593800945</v>
      </c>
      <c r="I72" s="109">
        <f>Rich!T7</f>
        <v>2485.6361955458801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3142.3762476683514</v>
      </c>
      <c r="I73" s="109">
        <f>Rich!T8</f>
        <v>7512.2239577167766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8651.3564965266632</v>
      </c>
      <c r="I76" s="109">
        <f>Rich!T11</f>
        <v>13024.256141494034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5214.5383425296604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17531.428571428572</v>
      </c>
      <c r="I79" s="109">
        <f>Rich!T14</f>
        <v>96018.28571428571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429.04376952597232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12084.186939912626</v>
      </c>
      <c r="G88" s="109">
        <f>Poor!T23</f>
        <v>28097.377923483218</v>
      </c>
      <c r="H88" s="109">
        <f>Middle!T23</f>
        <v>80792.591117375341</v>
      </c>
      <c r="I88" s="109">
        <f>Rich!T23</f>
        <v>164167.29361445151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28390.764747958561</v>
      </c>
      <c r="G98" s="239">
        <f t="shared" si="0"/>
        <v>12377.573764387969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47828.773636847487</v>
      </c>
      <c r="G99" s="239">
        <f t="shared" si="0"/>
        <v>31815.582653276892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82125.642208276055</v>
      </c>
      <c r="G100" s="239">
        <f t="shared" si="0"/>
        <v>66112.451224705466</v>
      </c>
      <c r="H100" s="239">
        <f t="shared" si="0"/>
        <v>13417.238030813256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2016-08-10T10:35:05Z</dcterms:modified>
  <cp:category/>
</cp:coreProperties>
</file>