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226"/>
  <workbookPr showInkAnnotation="0" autoCompressPictures="0"/>
  <bookViews>
    <workbookView xWindow="1760" yWindow="1760" windowWidth="23840" windowHeight="14300" activeTab="5"/>
  </bookViews>
  <sheets>
    <sheet name="V.Poor" sheetId="12" r:id="rId1"/>
    <sheet name="Poor" sheetId="1" r:id="rId2"/>
    <sheet name="Middle" sheetId="7" r:id="rId3"/>
    <sheet name="Rich" sheetId="8" r:id="rId4"/>
    <sheet name="Food" sheetId="10" r:id="rId5"/>
    <sheet name="Income" sheetId="9" r:id="rId6"/>
    <sheet name="Expenditure" sheetId="11" r:id="rId7"/>
    <sheet name="Percentiles" sheetId="13" r:id="rId8"/>
  </sheets>
  <externalReferences>
    <externalReference r:id="rId9"/>
  </externalReferences>
  <definedNames>
    <definedName name="_xlnm.Print_Area" localSheetId="2">Middle!$A$1:$M$132</definedName>
    <definedName name="_xlnm.Print_Area" localSheetId="1">Poor!$A$1:$AK$86</definedName>
    <definedName name="_xlnm.Print_Area" localSheetId="3">Rich!$A$1:$M$132</definedName>
    <definedName name="_xlnm.Print_Area" localSheetId="0">V.Poor!$A$1:$M$132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5" i="1" l="1"/>
  <c r="E44" i="1"/>
  <c r="E43" i="1"/>
  <c r="E42" i="1"/>
  <c r="E41" i="1"/>
  <c r="E40" i="1"/>
  <c r="B2" i="13"/>
  <c r="E2" i="13"/>
  <c r="D2" i="13"/>
  <c r="C2" i="13"/>
  <c r="B1" i="1"/>
  <c r="A1" i="1"/>
  <c r="B87" i="8"/>
  <c r="B82" i="8"/>
  <c r="B81" i="8"/>
  <c r="B80" i="8"/>
  <c r="B79" i="8"/>
  <c r="B73" i="8"/>
  <c r="B72" i="8"/>
  <c r="B71" i="8"/>
  <c r="B70" i="8"/>
  <c r="C64" i="8"/>
  <c r="B64" i="8"/>
  <c r="C63" i="8"/>
  <c r="B63" i="8"/>
  <c r="C62" i="8"/>
  <c r="B62" i="8"/>
  <c r="C61" i="8"/>
  <c r="B61" i="8"/>
  <c r="C60" i="8"/>
  <c r="B60" i="8"/>
  <c r="C59" i="8"/>
  <c r="B59" i="8"/>
  <c r="C58" i="8"/>
  <c r="B58" i="8"/>
  <c r="C57" i="8"/>
  <c r="B57" i="8"/>
  <c r="C56" i="8"/>
  <c r="B56" i="8"/>
  <c r="C55" i="8"/>
  <c r="B55" i="8"/>
  <c r="C54" i="8"/>
  <c r="B54" i="8"/>
  <c r="C53" i="8"/>
  <c r="B53" i="8"/>
  <c r="C52" i="8"/>
  <c r="B52" i="8"/>
  <c r="C51" i="8"/>
  <c r="B51" i="8"/>
  <c r="C50" i="8"/>
  <c r="B50" i="8"/>
  <c r="C49" i="8"/>
  <c r="B49" i="8"/>
  <c r="C48" i="8"/>
  <c r="B48" i="8"/>
  <c r="C47" i="8"/>
  <c r="B47" i="8"/>
  <c r="C46" i="8"/>
  <c r="B46" i="8"/>
  <c r="C45" i="8"/>
  <c r="B45" i="8"/>
  <c r="C44" i="8"/>
  <c r="B44" i="8"/>
  <c r="C43" i="8"/>
  <c r="B43" i="8"/>
  <c r="C42" i="8"/>
  <c r="B42" i="8"/>
  <c r="C41" i="8"/>
  <c r="B41" i="8"/>
  <c r="C40" i="8"/>
  <c r="B40" i="8"/>
  <c r="C39" i="8"/>
  <c r="B39" i="8"/>
  <c r="C38" i="8"/>
  <c r="B38" i="8"/>
  <c r="C37" i="8"/>
  <c r="B37" i="8"/>
  <c r="B30" i="8"/>
  <c r="C29" i="8"/>
  <c r="B29" i="8"/>
  <c r="C28" i="8"/>
  <c r="B28" i="8"/>
  <c r="C27" i="8"/>
  <c r="B27" i="8"/>
  <c r="C26" i="8"/>
  <c r="B26" i="8"/>
  <c r="C25" i="8"/>
  <c r="B25" i="8"/>
  <c r="C24" i="8"/>
  <c r="B24" i="8"/>
  <c r="C23" i="8"/>
  <c r="B23" i="8"/>
  <c r="C22" i="8"/>
  <c r="B22" i="8"/>
  <c r="C21" i="8"/>
  <c r="B21" i="8"/>
  <c r="C20" i="8"/>
  <c r="B20" i="8"/>
  <c r="C19" i="8"/>
  <c r="B19" i="8"/>
  <c r="C18" i="8"/>
  <c r="B18" i="8"/>
  <c r="C17" i="8"/>
  <c r="B17" i="8"/>
  <c r="C16" i="8"/>
  <c r="B16" i="8"/>
  <c r="C15" i="8"/>
  <c r="B15" i="8"/>
  <c r="C14" i="8"/>
  <c r="B14" i="8"/>
  <c r="C13" i="8"/>
  <c r="B13" i="8"/>
  <c r="C12" i="8"/>
  <c r="B12" i="8"/>
  <c r="C11" i="8"/>
  <c r="B11" i="8"/>
  <c r="C10" i="8"/>
  <c r="B10" i="8"/>
  <c r="C9" i="8"/>
  <c r="B9" i="8"/>
  <c r="C8" i="8"/>
  <c r="B8" i="8"/>
  <c r="C7" i="8"/>
  <c r="B7" i="8"/>
  <c r="C6" i="8"/>
  <c r="B6" i="8"/>
  <c r="B87" i="7"/>
  <c r="B82" i="7"/>
  <c r="B81" i="7"/>
  <c r="B80" i="7"/>
  <c r="B79" i="7"/>
  <c r="B73" i="7"/>
  <c r="B72" i="7"/>
  <c r="B71" i="7"/>
  <c r="B70" i="7"/>
  <c r="C64" i="7"/>
  <c r="B64" i="7"/>
  <c r="C63" i="7"/>
  <c r="B63" i="7"/>
  <c r="C62" i="7"/>
  <c r="B62" i="7"/>
  <c r="C61" i="7"/>
  <c r="B61" i="7"/>
  <c r="C60" i="7"/>
  <c r="B60" i="7"/>
  <c r="C59" i="7"/>
  <c r="B59" i="7"/>
  <c r="C58" i="7"/>
  <c r="B58" i="7"/>
  <c r="C57" i="7"/>
  <c r="B57" i="7"/>
  <c r="C56" i="7"/>
  <c r="B56" i="7"/>
  <c r="C55" i="7"/>
  <c r="B55" i="7"/>
  <c r="C54" i="7"/>
  <c r="B54" i="7"/>
  <c r="C53" i="7"/>
  <c r="B53" i="7"/>
  <c r="C52" i="7"/>
  <c r="B52" i="7"/>
  <c r="C51" i="7"/>
  <c r="B51" i="7"/>
  <c r="C50" i="7"/>
  <c r="B50" i="7"/>
  <c r="C49" i="7"/>
  <c r="B49" i="7"/>
  <c r="C48" i="7"/>
  <c r="B48" i="7"/>
  <c r="C47" i="7"/>
  <c r="B47" i="7"/>
  <c r="C46" i="7"/>
  <c r="B46" i="7"/>
  <c r="C45" i="7"/>
  <c r="B45" i="7"/>
  <c r="C44" i="7"/>
  <c r="B44" i="7"/>
  <c r="C43" i="7"/>
  <c r="B43" i="7"/>
  <c r="C42" i="7"/>
  <c r="B42" i="7"/>
  <c r="C41" i="7"/>
  <c r="B41" i="7"/>
  <c r="C40" i="7"/>
  <c r="B40" i="7"/>
  <c r="C39" i="7"/>
  <c r="B39" i="7"/>
  <c r="C38" i="7"/>
  <c r="B38" i="7"/>
  <c r="C37" i="7"/>
  <c r="B37" i="7"/>
  <c r="B30" i="7"/>
  <c r="C29" i="7"/>
  <c r="B29" i="7"/>
  <c r="C28" i="7"/>
  <c r="B28" i="7"/>
  <c r="C27" i="7"/>
  <c r="B27" i="7"/>
  <c r="C26" i="7"/>
  <c r="B26" i="7"/>
  <c r="C25" i="7"/>
  <c r="B25" i="7"/>
  <c r="C24" i="7"/>
  <c r="B24" i="7"/>
  <c r="C23" i="7"/>
  <c r="B23" i="7"/>
  <c r="C22" i="7"/>
  <c r="B22" i="7"/>
  <c r="C21" i="7"/>
  <c r="B21" i="7"/>
  <c r="C20" i="7"/>
  <c r="B20" i="7"/>
  <c r="C19" i="7"/>
  <c r="B19" i="7"/>
  <c r="C18" i="7"/>
  <c r="B18" i="7"/>
  <c r="C17" i="7"/>
  <c r="B17" i="7"/>
  <c r="C16" i="7"/>
  <c r="B16" i="7"/>
  <c r="C15" i="7"/>
  <c r="B15" i="7"/>
  <c r="C14" i="7"/>
  <c r="B14" i="7"/>
  <c r="C13" i="7"/>
  <c r="B13" i="7"/>
  <c r="C12" i="7"/>
  <c r="B12" i="7"/>
  <c r="C11" i="7"/>
  <c r="B11" i="7"/>
  <c r="C10" i="7"/>
  <c r="B10" i="7"/>
  <c r="C9" i="7"/>
  <c r="B9" i="7"/>
  <c r="C8" i="7"/>
  <c r="B8" i="7"/>
  <c r="C7" i="7"/>
  <c r="B7" i="7"/>
  <c r="C6" i="7"/>
  <c r="B6" i="7"/>
  <c r="B87" i="1"/>
  <c r="B82" i="1"/>
  <c r="B81" i="1"/>
  <c r="B80" i="1"/>
  <c r="B79" i="1"/>
  <c r="B73" i="1"/>
  <c r="B72" i="1"/>
  <c r="B71" i="1"/>
  <c r="B70" i="1"/>
  <c r="C64" i="1"/>
  <c r="B64" i="1"/>
  <c r="A64" i="1"/>
  <c r="C63" i="1"/>
  <c r="B63" i="1"/>
  <c r="A63" i="1"/>
  <c r="C62" i="1"/>
  <c r="B62" i="1"/>
  <c r="A62" i="1"/>
  <c r="C61" i="1"/>
  <c r="B61" i="1"/>
  <c r="A61" i="1"/>
  <c r="C60" i="1"/>
  <c r="B60" i="1"/>
  <c r="A60" i="1"/>
  <c r="C59" i="1"/>
  <c r="B59" i="1"/>
  <c r="A59" i="1"/>
  <c r="C58" i="1"/>
  <c r="B58" i="1"/>
  <c r="A58" i="1"/>
  <c r="C57" i="1"/>
  <c r="B57" i="1"/>
  <c r="A57" i="1"/>
  <c r="C56" i="1"/>
  <c r="B56" i="1"/>
  <c r="A56" i="1"/>
  <c r="C55" i="1"/>
  <c r="B55" i="1"/>
  <c r="A55" i="1"/>
  <c r="C54" i="1"/>
  <c r="B54" i="1"/>
  <c r="A54" i="1"/>
  <c r="C53" i="1"/>
  <c r="B53" i="1"/>
  <c r="A53" i="1"/>
  <c r="C52" i="1"/>
  <c r="B52" i="1"/>
  <c r="A52" i="1"/>
  <c r="C51" i="1"/>
  <c r="B51" i="1"/>
  <c r="A51" i="1"/>
  <c r="C50" i="1"/>
  <c r="B50" i="1"/>
  <c r="A50" i="1"/>
  <c r="C49" i="1"/>
  <c r="B49" i="1"/>
  <c r="A49" i="1"/>
  <c r="C48" i="1"/>
  <c r="B48" i="1"/>
  <c r="A48" i="1"/>
  <c r="C47" i="1"/>
  <c r="B47" i="1"/>
  <c r="A47" i="1"/>
  <c r="C46" i="1"/>
  <c r="B46" i="1"/>
  <c r="A46" i="1"/>
  <c r="C45" i="1"/>
  <c r="B45" i="1"/>
  <c r="A45" i="1"/>
  <c r="C44" i="1"/>
  <c r="B44" i="1"/>
  <c r="A44" i="1"/>
  <c r="C43" i="1"/>
  <c r="B43" i="1"/>
  <c r="A43" i="1"/>
  <c r="C42" i="1"/>
  <c r="B42" i="1"/>
  <c r="A42" i="1"/>
  <c r="C41" i="1"/>
  <c r="B41" i="1"/>
  <c r="A41" i="1"/>
  <c r="C40" i="1"/>
  <c r="B40" i="1"/>
  <c r="A40" i="1"/>
  <c r="C39" i="1"/>
  <c r="B39" i="1"/>
  <c r="A39" i="1"/>
  <c r="C38" i="1"/>
  <c r="B38" i="1"/>
  <c r="A38" i="1"/>
  <c r="C37" i="1"/>
  <c r="B37" i="1"/>
  <c r="A37" i="1"/>
  <c r="B30" i="1"/>
  <c r="A30" i="1"/>
  <c r="C29" i="1"/>
  <c r="B29" i="1"/>
  <c r="A29" i="1"/>
  <c r="C28" i="1"/>
  <c r="B28" i="1"/>
  <c r="A28" i="1"/>
  <c r="C27" i="1"/>
  <c r="B27" i="1"/>
  <c r="A27" i="1"/>
  <c r="C26" i="1"/>
  <c r="B26" i="1"/>
  <c r="A26" i="1"/>
  <c r="C25" i="1"/>
  <c r="B25" i="1"/>
  <c r="A25" i="1"/>
  <c r="C24" i="1"/>
  <c r="B24" i="1"/>
  <c r="A24" i="1"/>
  <c r="C23" i="1"/>
  <c r="B23" i="1"/>
  <c r="A23" i="1"/>
  <c r="C22" i="1"/>
  <c r="B22" i="1"/>
  <c r="A22" i="1"/>
  <c r="C21" i="1"/>
  <c r="B21" i="1"/>
  <c r="A21" i="1"/>
  <c r="C20" i="1"/>
  <c r="B20" i="1"/>
  <c r="A20" i="1"/>
  <c r="C19" i="1"/>
  <c r="B19" i="1"/>
  <c r="A19" i="1"/>
  <c r="C18" i="1"/>
  <c r="B18" i="1"/>
  <c r="A18" i="1"/>
  <c r="C17" i="1"/>
  <c r="B17" i="1"/>
  <c r="A17" i="1"/>
  <c r="C16" i="1"/>
  <c r="B16" i="1"/>
  <c r="A16" i="1"/>
  <c r="C15" i="1"/>
  <c r="B15" i="1"/>
  <c r="A15" i="1"/>
  <c r="C14" i="1"/>
  <c r="B14" i="1"/>
  <c r="A14" i="1"/>
  <c r="C13" i="1"/>
  <c r="B13" i="1"/>
  <c r="A13" i="1"/>
  <c r="C12" i="1"/>
  <c r="B12" i="1"/>
  <c r="A12" i="1"/>
  <c r="C11" i="1"/>
  <c r="B11" i="1"/>
  <c r="A11" i="1"/>
  <c r="C10" i="1"/>
  <c r="B10" i="1"/>
  <c r="A10" i="1"/>
  <c r="C9" i="1"/>
  <c r="B9" i="1"/>
  <c r="A9" i="1"/>
  <c r="C8" i="1"/>
  <c r="B8" i="1"/>
  <c r="A8" i="1"/>
  <c r="F7" i="1"/>
  <c r="C7" i="1"/>
  <c r="B7" i="1"/>
  <c r="A7" i="1"/>
  <c r="C6" i="1"/>
  <c r="B6" i="1"/>
  <c r="A6" i="1"/>
  <c r="B87" i="12"/>
  <c r="B82" i="12"/>
  <c r="B81" i="12"/>
  <c r="B80" i="12"/>
  <c r="B79" i="12"/>
  <c r="B73" i="12"/>
  <c r="B72" i="12"/>
  <c r="B71" i="12"/>
  <c r="B70" i="12"/>
  <c r="C64" i="12"/>
  <c r="B64" i="12"/>
  <c r="C63" i="12"/>
  <c r="B63" i="12"/>
  <c r="C62" i="12"/>
  <c r="B62" i="12"/>
  <c r="C61" i="12"/>
  <c r="B61" i="12"/>
  <c r="C60" i="12"/>
  <c r="B60" i="12"/>
  <c r="C59" i="12"/>
  <c r="B59" i="12"/>
  <c r="C58" i="12"/>
  <c r="B58" i="12"/>
  <c r="C57" i="12"/>
  <c r="B57" i="12"/>
  <c r="C56" i="12"/>
  <c r="B56" i="12"/>
  <c r="C55" i="12"/>
  <c r="B55" i="12"/>
  <c r="C54" i="12"/>
  <c r="B54" i="12"/>
  <c r="C53" i="12"/>
  <c r="B53" i="12"/>
  <c r="C52" i="12"/>
  <c r="B52" i="12"/>
  <c r="C51" i="12"/>
  <c r="B51" i="12"/>
  <c r="C50" i="12"/>
  <c r="B50" i="12"/>
  <c r="C49" i="12"/>
  <c r="B49" i="12"/>
  <c r="C48" i="12"/>
  <c r="B48" i="12"/>
  <c r="C47" i="12"/>
  <c r="B47" i="12"/>
  <c r="C46" i="12"/>
  <c r="B46" i="12"/>
  <c r="C45" i="12"/>
  <c r="B45" i="12"/>
  <c r="C44" i="12"/>
  <c r="B44" i="12"/>
  <c r="C43" i="12"/>
  <c r="B43" i="12"/>
  <c r="C42" i="12"/>
  <c r="B42" i="12"/>
  <c r="C41" i="12"/>
  <c r="B41" i="12"/>
  <c r="C40" i="12"/>
  <c r="B40" i="12"/>
  <c r="C39" i="12"/>
  <c r="B39" i="12"/>
  <c r="C38" i="12"/>
  <c r="B38" i="12"/>
  <c r="C37" i="12"/>
  <c r="B37" i="12"/>
  <c r="B30" i="12"/>
  <c r="C29" i="12"/>
  <c r="B29" i="12"/>
  <c r="C28" i="12"/>
  <c r="B28" i="12"/>
  <c r="C27" i="12"/>
  <c r="B27" i="12"/>
  <c r="C26" i="12"/>
  <c r="B26" i="12"/>
  <c r="C25" i="12"/>
  <c r="B25" i="12"/>
  <c r="C24" i="12"/>
  <c r="B24" i="12"/>
  <c r="C23" i="12"/>
  <c r="B23" i="12"/>
  <c r="C22" i="12"/>
  <c r="B22" i="12"/>
  <c r="C21" i="12"/>
  <c r="B21" i="12"/>
  <c r="C20" i="12"/>
  <c r="B20" i="12"/>
  <c r="C19" i="12"/>
  <c r="B19" i="12"/>
  <c r="C18" i="12"/>
  <c r="B18" i="12"/>
  <c r="C17" i="12"/>
  <c r="B17" i="12"/>
  <c r="C16" i="12"/>
  <c r="B16" i="12"/>
  <c r="C15" i="12"/>
  <c r="B15" i="12"/>
  <c r="C14" i="12"/>
  <c r="B14" i="12"/>
  <c r="C13" i="12"/>
  <c r="B13" i="12"/>
  <c r="C12" i="12"/>
  <c r="B12" i="12"/>
  <c r="C11" i="12"/>
  <c r="B11" i="12"/>
  <c r="C10" i="12"/>
  <c r="B10" i="12"/>
  <c r="C9" i="12"/>
  <c r="B9" i="12"/>
  <c r="C8" i="12"/>
  <c r="B8" i="12"/>
  <c r="C7" i="12"/>
  <c r="B7" i="12"/>
  <c r="C6" i="12"/>
  <c r="B6" i="12"/>
  <c r="D29" i="12"/>
  <c r="B83" i="12"/>
  <c r="G37" i="12"/>
  <c r="H83" i="12"/>
  <c r="I83" i="12"/>
  <c r="F70" i="12"/>
  <c r="H70" i="12"/>
  <c r="F71" i="12"/>
  <c r="H71" i="12"/>
  <c r="F72" i="12"/>
  <c r="H72" i="12"/>
  <c r="T26" i="12"/>
  <c r="D6" i="12"/>
  <c r="E6" i="12"/>
  <c r="H6" i="12"/>
  <c r="I6" i="12"/>
  <c r="D7" i="12"/>
  <c r="E7" i="12"/>
  <c r="H7" i="12"/>
  <c r="I7" i="12"/>
  <c r="D8" i="12"/>
  <c r="E8" i="12"/>
  <c r="H8" i="12"/>
  <c r="I8" i="12"/>
  <c r="D9" i="12"/>
  <c r="I9" i="12"/>
  <c r="D10" i="12"/>
  <c r="E10" i="12"/>
  <c r="H10" i="12"/>
  <c r="I10" i="12"/>
  <c r="D11" i="12"/>
  <c r="E11" i="12"/>
  <c r="H11" i="12"/>
  <c r="I11" i="12"/>
  <c r="D12" i="12"/>
  <c r="I12" i="12"/>
  <c r="D13" i="12"/>
  <c r="I13" i="12"/>
  <c r="D14" i="12"/>
  <c r="I14" i="12"/>
  <c r="D15" i="12"/>
  <c r="I15" i="12"/>
  <c r="D16" i="12"/>
  <c r="I16" i="12"/>
  <c r="D17" i="12"/>
  <c r="I17" i="12"/>
  <c r="D18" i="12"/>
  <c r="I18" i="12"/>
  <c r="D19" i="12"/>
  <c r="I19" i="12"/>
  <c r="D20" i="12"/>
  <c r="I20" i="12"/>
  <c r="D21" i="12"/>
  <c r="I21" i="12"/>
  <c r="D22" i="12"/>
  <c r="I22" i="12"/>
  <c r="D23" i="12"/>
  <c r="I23" i="12"/>
  <c r="D24" i="12"/>
  <c r="I24" i="12"/>
  <c r="D25" i="12"/>
  <c r="I25" i="12"/>
  <c r="D26" i="12"/>
  <c r="I26" i="12"/>
  <c r="D27" i="12"/>
  <c r="I27" i="12"/>
  <c r="D28" i="12"/>
  <c r="I28" i="12"/>
  <c r="I29" i="12"/>
  <c r="B91" i="12"/>
  <c r="C91" i="12"/>
  <c r="D91" i="12"/>
  <c r="E37" i="12"/>
  <c r="F37" i="12"/>
  <c r="H91" i="12"/>
  <c r="I91" i="12"/>
  <c r="B92" i="12"/>
  <c r="C92" i="12"/>
  <c r="D92" i="12"/>
  <c r="G38" i="1"/>
  <c r="G38" i="12"/>
  <c r="E38" i="12"/>
  <c r="F38" i="12"/>
  <c r="H92" i="12"/>
  <c r="I92" i="12"/>
  <c r="B93" i="12"/>
  <c r="C93" i="12"/>
  <c r="D93" i="12"/>
  <c r="G39" i="1"/>
  <c r="G39" i="12"/>
  <c r="E39" i="12"/>
  <c r="F39" i="12"/>
  <c r="H93" i="12"/>
  <c r="I93" i="12"/>
  <c r="B94" i="12"/>
  <c r="C94" i="12"/>
  <c r="D94" i="12"/>
  <c r="G40" i="1"/>
  <c r="G40" i="12"/>
  <c r="E40" i="12"/>
  <c r="F40" i="12"/>
  <c r="H94" i="12"/>
  <c r="I94" i="12"/>
  <c r="B95" i="12"/>
  <c r="C95" i="12"/>
  <c r="D95" i="12"/>
  <c r="G41" i="1"/>
  <c r="G41" i="12"/>
  <c r="E41" i="12"/>
  <c r="F41" i="12"/>
  <c r="H95" i="12"/>
  <c r="I95" i="12"/>
  <c r="B96" i="12"/>
  <c r="C96" i="12"/>
  <c r="D96" i="12"/>
  <c r="G42" i="1"/>
  <c r="G42" i="12"/>
  <c r="E42" i="12"/>
  <c r="F42" i="12"/>
  <c r="H96" i="12"/>
  <c r="I96" i="12"/>
  <c r="B97" i="12"/>
  <c r="C97" i="12"/>
  <c r="D97" i="12"/>
  <c r="G43" i="1"/>
  <c r="G43" i="12"/>
  <c r="E43" i="12"/>
  <c r="F43" i="12"/>
  <c r="H97" i="12"/>
  <c r="I97" i="12"/>
  <c r="B98" i="12"/>
  <c r="C98" i="12"/>
  <c r="D98" i="12"/>
  <c r="G44" i="1"/>
  <c r="G44" i="12"/>
  <c r="E44" i="12"/>
  <c r="F44" i="12"/>
  <c r="H98" i="12"/>
  <c r="I98" i="12"/>
  <c r="B99" i="12"/>
  <c r="C99" i="12"/>
  <c r="D99" i="12"/>
  <c r="G45" i="1"/>
  <c r="G45" i="12"/>
  <c r="E45" i="12"/>
  <c r="F45" i="12"/>
  <c r="H99" i="12"/>
  <c r="I99" i="12"/>
  <c r="B100" i="12"/>
  <c r="C100" i="12"/>
  <c r="D100" i="12"/>
  <c r="G46" i="1"/>
  <c r="G46" i="12"/>
  <c r="E46" i="12"/>
  <c r="F46" i="12"/>
  <c r="H100" i="12"/>
  <c r="I100" i="12"/>
  <c r="B101" i="12"/>
  <c r="C101" i="12"/>
  <c r="D101" i="12"/>
  <c r="G47" i="1"/>
  <c r="G47" i="12"/>
  <c r="F47" i="12"/>
  <c r="H101" i="12"/>
  <c r="I101" i="12"/>
  <c r="B102" i="12"/>
  <c r="C102" i="12"/>
  <c r="D102" i="12"/>
  <c r="G48" i="1"/>
  <c r="G48" i="12"/>
  <c r="F48" i="12"/>
  <c r="H102" i="12"/>
  <c r="I102" i="12"/>
  <c r="B103" i="12"/>
  <c r="C103" i="12"/>
  <c r="D103" i="12"/>
  <c r="G49" i="1"/>
  <c r="G49" i="12"/>
  <c r="F49" i="12"/>
  <c r="H103" i="12"/>
  <c r="I103" i="12"/>
  <c r="B104" i="12"/>
  <c r="C104" i="12"/>
  <c r="D104" i="12"/>
  <c r="G50" i="1"/>
  <c r="G50" i="12"/>
  <c r="F50" i="12"/>
  <c r="H104" i="12"/>
  <c r="I104" i="12"/>
  <c r="B105" i="12"/>
  <c r="C105" i="12"/>
  <c r="D105" i="12"/>
  <c r="G51" i="1"/>
  <c r="G51" i="12"/>
  <c r="F51" i="12"/>
  <c r="H105" i="12"/>
  <c r="I105" i="12"/>
  <c r="B106" i="12"/>
  <c r="C106" i="12"/>
  <c r="D106" i="12"/>
  <c r="G52" i="1"/>
  <c r="G52" i="12"/>
  <c r="E52" i="12"/>
  <c r="F52" i="12"/>
  <c r="H106" i="12"/>
  <c r="I106" i="12"/>
  <c r="B107" i="12"/>
  <c r="C107" i="12"/>
  <c r="D107" i="12"/>
  <c r="G53" i="1"/>
  <c r="G53" i="12"/>
  <c r="E53" i="12"/>
  <c r="F53" i="12"/>
  <c r="H107" i="12"/>
  <c r="I107" i="12"/>
  <c r="B108" i="12"/>
  <c r="C108" i="12"/>
  <c r="D108" i="12"/>
  <c r="G54" i="1"/>
  <c r="G54" i="12"/>
  <c r="E54" i="12"/>
  <c r="H108" i="12"/>
  <c r="I108" i="12"/>
  <c r="B109" i="12"/>
  <c r="C109" i="12"/>
  <c r="D109" i="12"/>
  <c r="G55" i="1"/>
  <c r="G55" i="12"/>
  <c r="E55" i="12"/>
  <c r="F55" i="12"/>
  <c r="H109" i="12"/>
  <c r="I109" i="12"/>
  <c r="B110" i="12"/>
  <c r="C110" i="12"/>
  <c r="D110" i="12"/>
  <c r="G56" i="1"/>
  <c r="G56" i="12"/>
  <c r="F56" i="12"/>
  <c r="E56" i="12"/>
  <c r="H110" i="12"/>
  <c r="I110" i="12"/>
  <c r="B111" i="12"/>
  <c r="C111" i="12"/>
  <c r="D111" i="12"/>
  <c r="G57" i="1"/>
  <c r="G57" i="12"/>
  <c r="F57" i="12"/>
  <c r="H111" i="12"/>
  <c r="I111" i="12"/>
  <c r="B112" i="12"/>
  <c r="C112" i="12"/>
  <c r="D112" i="12"/>
  <c r="G58" i="1"/>
  <c r="G58" i="12"/>
  <c r="H112" i="12"/>
  <c r="I112" i="12"/>
  <c r="B113" i="12"/>
  <c r="C113" i="12"/>
  <c r="D113" i="12"/>
  <c r="G59" i="1"/>
  <c r="G59" i="12"/>
  <c r="H113" i="12"/>
  <c r="I113" i="12"/>
  <c r="B114" i="12"/>
  <c r="C114" i="12"/>
  <c r="D114" i="12"/>
  <c r="G60" i="1"/>
  <c r="G60" i="12"/>
  <c r="H114" i="12"/>
  <c r="I114" i="12"/>
  <c r="B115" i="12"/>
  <c r="C115" i="12"/>
  <c r="D115" i="12"/>
  <c r="G61" i="1"/>
  <c r="G61" i="12"/>
  <c r="H115" i="12"/>
  <c r="I115" i="12"/>
  <c r="B116" i="12"/>
  <c r="C116" i="12"/>
  <c r="D116" i="12"/>
  <c r="G62" i="1"/>
  <c r="G62" i="12"/>
  <c r="H116" i="12"/>
  <c r="I116" i="12"/>
  <c r="B117" i="12"/>
  <c r="C117" i="12"/>
  <c r="D117" i="12"/>
  <c r="G63" i="1"/>
  <c r="G63" i="12"/>
  <c r="H117" i="12"/>
  <c r="I117" i="12"/>
  <c r="B118" i="12"/>
  <c r="C118" i="12"/>
  <c r="D118" i="12"/>
  <c r="G64" i="1"/>
  <c r="G64" i="12"/>
  <c r="H118" i="12"/>
  <c r="I118" i="12"/>
  <c r="I119" i="12"/>
  <c r="B124" i="12"/>
  <c r="H124" i="12"/>
  <c r="I124" i="12"/>
  <c r="I30" i="12"/>
  <c r="I32" i="12"/>
  <c r="B125" i="12"/>
  <c r="I128" i="12"/>
  <c r="H125" i="12"/>
  <c r="I131" i="12"/>
  <c r="B127" i="12"/>
  <c r="K127" i="12"/>
  <c r="K6" i="12"/>
  <c r="L6" i="12"/>
  <c r="K7" i="12"/>
  <c r="L7" i="12"/>
  <c r="K8" i="12"/>
  <c r="L8" i="12"/>
  <c r="K9" i="12"/>
  <c r="L9" i="12"/>
  <c r="K10" i="12"/>
  <c r="L10" i="12"/>
  <c r="K11" i="12"/>
  <c r="L11" i="12"/>
  <c r="K12" i="12"/>
  <c r="L12" i="12"/>
  <c r="K13" i="12"/>
  <c r="L13" i="12"/>
  <c r="K14" i="12"/>
  <c r="L14" i="12"/>
  <c r="K15" i="12"/>
  <c r="L15" i="12"/>
  <c r="K16" i="12"/>
  <c r="L16" i="12"/>
  <c r="K17" i="12"/>
  <c r="L17" i="12"/>
  <c r="K18" i="12"/>
  <c r="L18" i="12"/>
  <c r="K19" i="12"/>
  <c r="L19" i="12"/>
  <c r="K20" i="12"/>
  <c r="L20" i="12"/>
  <c r="K21" i="12"/>
  <c r="L21" i="12"/>
  <c r="K22" i="12"/>
  <c r="L22" i="12"/>
  <c r="K23" i="12"/>
  <c r="L23" i="12"/>
  <c r="K24" i="12"/>
  <c r="L24" i="12"/>
  <c r="K25" i="12"/>
  <c r="L25" i="12"/>
  <c r="K26" i="12"/>
  <c r="L26" i="12"/>
  <c r="K27" i="12"/>
  <c r="L27" i="12"/>
  <c r="K28" i="12"/>
  <c r="L28" i="12"/>
  <c r="K29" i="12"/>
  <c r="L29" i="12"/>
  <c r="K91" i="12"/>
  <c r="L91" i="12"/>
  <c r="K92" i="12"/>
  <c r="L92" i="12"/>
  <c r="K93" i="12"/>
  <c r="L93" i="12"/>
  <c r="K94" i="12"/>
  <c r="L94" i="12"/>
  <c r="K95" i="12"/>
  <c r="L95" i="12"/>
  <c r="K96" i="12"/>
  <c r="L96" i="12"/>
  <c r="K97" i="12"/>
  <c r="L97" i="12"/>
  <c r="K98" i="12"/>
  <c r="L98" i="12"/>
  <c r="K99" i="12"/>
  <c r="L99" i="12"/>
  <c r="K100" i="12"/>
  <c r="L100" i="12"/>
  <c r="K101" i="12"/>
  <c r="L101" i="12"/>
  <c r="K102" i="12"/>
  <c r="L102" i="12"/>
  <c r="K103" i="12"/>
  <c r="L103" i="12"/>
  <c r="K104" i="12"/>
  <c r="L104" i="12"/>
  <c r="K105" i="12"/>
  <c r="L105" i="12"/>
  <c r="K106" i="12"/>
  <c r="L106" i="12"/>
  <c r="K107" i="12"/>
  <c r="L107" i="12"/>
  <c r="K108" i="12"/>
  <c r="L108" i="12"/>
  <c r="K109" i="12"/>
  <c r="L109" i="12"/>
  <c r="K110" i="12"/>
  <c r="L110" i="12"/>
  <c r="K111" i="12"/>
  <c r="L111" i="12"/>
  <c r="K112" i="12"/>
  <c r="L112" i="12"/>
  <c r="K113" i="12"/>
  <c r="L113" i="12"/>
  <c r="K114" i="12"/>
  <c r="L114" i="12"/>
  <c r="K115" i="12"/>
  <c r="L115" i="12"/>
  <c r="K116" i="12"/>
  <c r="L116" i="12"/>
  <c r="K117" i="12"/>
  <c r="L117" i="12"/>
  <c r="K118" i="12"/>
  <c r="L118" i="12"/>
  <c r="L119" i="12"/>
  <c r="L124" i="12"/>
  <c r="K30" i="12"/>
  <c r="B119" i="12"/>
  <c r="L30" i="12"/>
  <c r="L32" i="12"/>
  <c r="B126" i="12"/>
  <c r="B128" i="12"/>
  <c r="K128" i="12"/>
  <c r="L128" i="12"/>
  <c r="H126" i="12"/>
  <c r="F73" i="12"/>
  <c r="H127" i="12"/>
  <c r="L127" i="12"/>
  <c r="J33" i="12"/>
  <c r="J8" i="12"/>
  <c r="M8" i="12"/>
  <c r="J9" i="12"/>
  <c r="M9" i="12"/>
  <c r="J10" i="12"/>
  <c r="M10" i="12"/>
  <c r="J11" i="12"/>
  <c r="M11" i="12"/>
  <c r="J6" i="12"/>
  <c r="M6" i="12"/>
  <c r="J7" i="12"/>
  <c r="M7" i="12"/>
  <c r="J12" i="12"/>
  <c r="M12" i="12"/>
  <c r="J13" i="12"/>
  <c r="M13" i="12"/>
  <c r="J14" i="12"/>
  <c r="M14" i="12"/>
  <c r="J15" i="12"/>
  <c r="M15" i="12"/>
  <c r="J16" i="12"/>
  <c r="M16" i="12"/>
  <c r="J17" i="12"/>
  <c r="M17" i="12"/>
  <c r="J18" i="12"/>
  <c r="M18" i="12"/>
  <c r="J19" i="12"/>
  <c r="M19" i="12"/>
  <c r="J20" i="12"/>
  <c r="M20" i="12"/>
  <c r="J21" i="12"/>
  <c r="M21" i="12"/>
  <c r="J22" i="12"/>
  <c r="M22" i="12"/>
  <c r="J23" i="12"/>
  <c r="M23" i="12"/>
  <c r="J24" i="12"/>
  <c r="M24" i="12"/>
  <c r="J25" i="12"/>
  <c r="M25" i="12"/>
  <c r="J26" i="12"/>
  <c r="M26" i="12"/>
  <c r="J27" i="12"/>
  <c r="M27" i="12"/>
  <c r="J28" i="12"/>
  <c r="M28" i="12"/>
  <c r="T7" i="12"/>
  <c r="J94" i="12"/>
  <c r="M94" i="12"/>
  <c r="J95" i="12"/>
  <c r="M95" i="12"/>
  <c r="J96" i="12"/>
  <c r="M96" i="12"/>
  <c r="J97" i="12"/>
  <c r="M97" i="12"/>
  <c r="J91" i="12"/>
  <c r="M91" i="12"/>
  <c r="J92" i="12"/>
  <c r="M92" i="12"/>
  <c r="J93" i="12"/>
  <c r="M93" i="12"/>
  <c r="J98" i="12"/>
  <c r="M98" i="12"/>
  <c r="J99" i="12"/>
  <c r="M99" i="12"/>
  <c r="J100" i="12"/>
  <c r="M100" i="12"/>
  <c r="J101" i="12"/>
  <c r="M101" i="12"/>
  <c r="J102" i="12"/>
  <c r="M102" i="12"/>
  <c r="J103" i="12"/>
  <c r="M103" i="12"/>
  <c r="J104" i="12"/>
  <c r="M104" i="12"/>
  <c r="J105" i="12"/>
  <c r="M105" i="12"/>
  <c r="J106" i="12"/>
  <c r="M106" i="12"/>
  <c r="J107" i="12"/>
  <c r="M107" i="12"/>
  <c r="J108" i="12"/>
  <c r="M108" i="12"/>
  <c r="J109" i="12"/>
  <c r="M109" i="12"/>
  <c r="J110" i="12"/>
  <c r="M110" i="12"/>
  <c r="J111" i="12"/>
  <c r="M111" i="12"/>
  <c r="J112" i="12"/>
  <c r="M112" i="12"/>
  <c r="J113" i="12"/>
  <c r="M113" i="12"/>
  <c r="J114" i="12"/>
  <c r="M114" i="12"/>
  <c r="J115" i="12"/>
  <c r="M115" i="12"/>
  <c r="J116" i="12"/>
  <c r="M116" i="12"/>
  <c r="J117" i="12"/>
  <c r="M117" i="12"/>
  <c r="J118" i="12"/>
  <c r="M118" i="12"/>
  <c r="T8" i="12"/>
  <c r="T9" i="12"/>
  <c r="T10" i="12"/>
  <c r="T11" i="12"/>
  <c r="T12" i="12"/>
  <c r="T13" i="12"/>
  <c r="T14" i="12"/>
  <c r="T15" i="12"/>
  <c r="T16" i="12"/>
  <c r="T17" i="12"/>
  <c r="T18" i="12"/>
  <c r="T19" i="12"/>
  <c r="T20" i="12"/>
  <c r="T21" i="12"/>
  <c r="T22" i="12"/>
  <c r="T23" i="12"/>
  <c r="T32" i="12"/>
  <c r="S26" i="12"/>
  <c r="S7" i="12"/>
  <c r="S8" i="12"/>
  <c r="S9" i="12"/>
  <c r="S10" i="12"/>
  <c r="S11" i="12"/>
  <c r="S12" i="12"/>
  <c r="S13" i="12"/>
  <c r="S14" i="12"/>
  <c r="S15" i="12"/>
  <c r="S16" i="12"/>
  <c r="S17" i="12"/>
  <c r="S18" i="12"/>
  <c r="S19" i="12"/>
  <c r="S20" i="12"/>
  <c r="S21" i="12"/>
  <c r="S22" i="12"/>
  <c r="S23" i="12"/>
  <c r="S32" i="12"/>
  <c r="R26" i="12"/>
  <c r="B84" i="12"/>
  <c r="I84" i="12"/>
  <c r="H84" i="12"/>
  <c r="R7" i="12"/>
  <c r="R8" i="12"/>
  <c r="R9" i="12"/>
  <c r="R10" i="12"/>
  <c r="R11" i="12"/>
  <c r="R12" i="12"/>
  <c r="R13" i="12"/>
  <c r="R14" i="12"/>
  <c r="R15" i="12"/>
  <c r="R16" i="12"/>
  <c r="R17" i="12"/>
  <c r="R18" i="12"/>
  <c r="R19" i="12"/>
  <c r="R20" i="12"/>
  <c r="R21" i="12"/>
  <c r="R22" i="12"/>
  <c r="R23" i="12"/>
  <c r="R32" i="12"/>
  <c r="T25" i="12"/>
  <c r="T31" i="12"/>
  <c r="S25" i="12"/>
  <c r="S31" i="12"/>
  <c r="R25" i="12"/>
  <c r="R31" i="12"/>
  <c r="T24" i="12"/>
  <c r="T30" i="12"/>
  <c r="S24" i="12"/>
  <c r="S30" i="12"/>
  <c r="R24" i="12"/>
  <c r="R30" i="12"/>
  <c r="D29" i="1"/>
  <c r="B83" i="1"/>
  <c r="H83" i="1"/>
  <c r="I83" i="1"/>
  <c r="H70" i="1"/>
  <c r="H71" i="1"/>
  <c r="H72" i="1"/>
  <c r="T26" i="1"/>
  <c r="D6" i="1"/>
  <c r="H6" i="1"/>
  <c r="I6" i="1"/>
  <c r="D7" i="1"/>
  <c r="H7" i="1"/>
  <c r="I7" i="1"/>
  <c r="D8" i="1"/>
  <c r="H8" i="1"/>
  <c r="I8" i="1"/>
  <c r="D9" i="1"/>
  <c r="H9" i="1"/>
  <c r="I9" i="1"/>
  <c r="D10" i="1"/>
  <c r="H10" i="1"/>
  <c r="I10" i="1"/>
  <c r="D11" i="1"/>
  <c r="H11" i="1"/>
  <c r="I11" i="1"/>
  <c r="D12" i="1"/>
  <c r="H12" i="1"/>
  <c r="I12" i="1"/>
  <c r="D13" i="1"/>
  <c r="H13" i="1"/>
  <c r="I13" i="1"/>
  <c r="D14" i="1"/>
  <c r="H14" i="1"/>
  <c r="I14" i="1"/>
  <c r="D15" i="1"/>
  <c r="H15" i="1"/>
  <c r="I15" i="1"/>
  <c r="D16" i="1"/>
  <c r="H16" i="1"/>
  <c r="I16" i="1"/>
  <c r="D17" i="1"/>
  <c r="H17" i="1"/>
  <c r="I17" i="1"/>
  <c r="D18" i="1"/>
  <c r="H18" i="1"/>
  <c r="I18" i="1"/>
  <c r="D19" i="1"/>
  <c r="H19" i="1"/>
  <c r="I19" i="1"/>
  <c r="D20" i="1"/>
  <c r="H20" i="1"/>
  <c r="I20" i="1"/>
  <c r="D21" i="1"/>
  <c r="H21" i="1"/>
  <c r="I21" i="1"/>
  <c r="D22" i="1"/>
  <c r="H22" i="1"/>
  <c r="I22" i="1"/>
  <c r="D23" i="1"/>
  <c r="H23" i="1"/>
  <c r="I23" i="1"/>
  <c r="D24" i="1"/>
  <c r="H24" i="1"/>
  <c r="I24" i="1"/>
  <c r="D25" i="1"/>
  <c r="H25" i="1"/>
  <c r="I25" i="1"/>
  <c r="D26" i="1"/>
  <c r="H26" i="1"/>
  <c r="I26" i="1"/>
  <c r="D27" i="1"/>
  <c r="H27" i="1"/>
  <c r="I27" i="1"/>
  <c r="D28" i="1"/>
  <c r="H28" i="1"/>
  <c r="I28" i="1"/>
  <c r="H29" i="1"/>
  <c r="I29" i="1"/>
  <c r="B91" i="1"/>
  <c r="C91" i="1"/>
  <c r="D91" i="1"/>
  <c r="H91" i="1"/>
  <c r="I91" i="1"/>
  <c r="B92" i="1"/>
  <c r="C92" i="1"/>
  <c r="D92" i="1"/>
  <c r="H92" i="1"/>
  <c r="I92" i="1"/>
  <c r="B93" i="1"/>
  <c r="C93" i="1"/>
  <c r="D93" i="1"/>
  <c r="H93" i="1"/>
  <c r="I93" i="1"/>
  <c r="B94" i="1"/>
  <c r="C94" i="1"/>
  <c r="D94" i="1"/>
  <c r="H94" i="1"/>
  <c r="I94" i="1"/>
  <c r="B95" i="1"/>
  <c r="C95" i="1"/>
  <c r="D95" i="1"/>
  <c r="H95" i="1"/>
  <c r="I95" i="1"/>
  <c r="B96" i="1"/>
  <c r="C96" i="1"/>
  <c r="D96" i="1"/>
  <c r="H96" i="1"/>
  <c r="I96" i="1"/>
  <c r="B97" i="1"/>
  <c r="C97" i="1"/>
  <c r="D97" i="1"/>
  <c r="H97" i="1"/>
  <c r="I97" i="1"/>
  <c r="B98" i="1"/>
  <c r="C98" i="1"/>
  <c r="D98" i="1"/>
  <c r="H98" i="1"/>
  <c r="I98" i="1"/>
  <c r="B99" i="1"/>
  <c r="C99" i="1"/>
  <c r="D99" i="1"/>
  <c r="H99" i="1"/>
  <c r="I99" i="1"/>
  <c r="B100" i="1"/>
  <c r="C100" i="1"/>
  <c r="D100" i="1"/>
  <c r="H100" i="1"/>
  <c r="I100" i="1"/>
  <c r="B101" i="1"/>
  <c r="C101" i="1"/>
  <c r="D101" i="1"/>
  <c r="H101" i="1"/>
  <c r="I101" i="1"/>
  <c r="B102" i="1"/>
  <c r="C102" i="1"/>
  <c r="D102" i="1"/>
  <c r="H102" i="1"/>
  <c r="I102" i="1"/>
  <c r="B103" i="1"/>
  <c r="C103" i="1"/>
  <c r="D103" i="1"/>
  <c r="H103" i="1"/>
  <c r="I103" i="1"/>
  <c r="B104" i="1"/>
  <c r="C104" i="1"/>
  <c r="D104" i="1"/>
  <c r="H104" i="1"/>
  <c r="I104" i="1"/>
  <c r="B105" i="1"/>
  <c r="C105" i="1"/>
  <c r="D105" i="1"/>
  <c r="H105" i="1"/>
  <c r="I105" i="1"/>
  <c r="B106" i="1"/>
  <c r="C106" i="1"/>
  <c r="D106" i="1"/>
  <c r="H106" i="1"/>
  <c r="I106" i="1"/>
  <c r="B107" i="1"/>
  <c r="C107" i="1"/>
  <c r="D107" i="1"/>
  <c r="H107" i="1"/>
  <c r="I107" i="1"/>
  <c r="B108" i="1"/>
  <c r="C108" i="1"/>
  <c r="D108" i="1"/>
  <c r="H108" i="1"/>
  <c r="I108" i="1"/>
  <c r="B109" i="1"/>
  <c r="C109" i="1"/>
  <c r="D109" i="1"/>
  <c r="H109" i="1"/>
  <c r="I109" i="1"/>
  <c r="B110" i="1"/>
  <c r="C110" i="1"/>
  <c r="D110" i="1"/>
  <c r="H110" i="1"/>
  <c r="I110" i="1"/>
  <c r="B111" i="1"/>
  <c r="C111" i="1"/>
  <c r="D111" i="1"/>
  <c r="H111" i="1"/>
  <c r="I111" i="1"/>
  <c r="B112" i="1"/>
  <c r="C112" i="1"/>
  <c r="D112" i="1"/>
  <c r="H112" i="1"/>
  <c r="I112" i="1"/>
  <c r="B113" i="1"/>
  <c r="C113" i="1"/>
  <c r="D113" i="1"/>
  <c r="H113" i="1"/>
  <c r="I113" i="1"/>
  <c r="B114" i="1"/>
  <c r="C114" i="1"/>
  <c r="D114" i="1"/>
  <c r="H114" i="1"/>
  <c r="I114" i="1"/>
  <c r="B115" i="1"/>
  <c r="C115" i="1"/>
  <c r="D115" i="1"/>
  <c r="H115" i="1"/>
  <c r="I115" i="1"/>
  <c r="B116" i="1"/>
  <c r="C116" i="1"/>
  <c r="D116" i="1"/>
  <c r="H116" i="1"/>
  <c r="I116" i="1"/>
  <c r="B117" i="1"/>
  <c r="C117" i="1"/>
  <c r="D117" i="1"/>
  <c r="H117" i="1"/>
  <c r="I117" i="1"/>
  <c r="B118" i="1"/>
  <c r="C118" i="1"/>
  <c r="D118" i="1"/>
  <c r="H118" i="1"/>
  <c r="I118" i="1"/>
  <c r="I119" i="1"/>
  <c r="B124" i="1"/>
  <c r="H124" i="1"/>
  <c r="I124" i="1"/>
  <c r="I30" i="1"/>
  <c r="I32" i="1"/>
  <c r="B125" i="1"/>
  <c r="H125" i="1"/>
  <c r="I128" i="1"/>
  <c r="I131" i="1"/>
  <c r="B127" i="1"/>
  <c r="K127" i="1"/>
  <c r="H127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L119" i="1"/>
  <c r="L124" i="1"/>
  <c r="K30" i="1"/>
  <c r="B119" i="1"/>
  <c r="L30" i="1"/>
  <c r="L32" i="1"/>
  <c r="B126" i="1"/>
  <c r="H126" i="1"/>
  <c r="B128" i="1"/>
  <c r="K128" i="1"/>
  <c r="L128" i="1"/>
  <c r="L127" i="1"/>
  <c r="J33" i="1"/>
  <c r="J8" i="1"/>
  <c r="M8" i="1"/>
  <c r="J9" i="1"/>
  <c r="M9" i="1"/>
  <c r="J10" i="1"/>
  <c r="M10" i="1"/>
  <c r="J11" i="1"/>
  <c r="M11" i="1"/>
  <c r="J6" i="1"/>
  <c r="M6" i="1"/>
  <c r="J7" i="1"/>
  <c r="M7" i="1"/>
  <c r="J12" i="1"/>
  <c r="M12" i="1"/>
  <c r="J13" i="1"/>
  <c r="M13" i="1"/>
  <c r="J14" i="1"/>
  <c r="M14" i="1"/>
  <c r="J15" i="1"/>
  <c r="M15" i="1"/>
  <c r="J16" i="1"/>
  <c r="M16" i="1"/>
  <c r="J17" i="1"/>
  <c r="M17" i="1"/>
  <c r="J18" i="1"/>
  <c r="M18" i="1"/>
  <c r="J19" i="1"/>
  <c r="M19" i="1"/>
  <c r="J20" i="1"/>
  <c r="M20" i="1"/>
  <c r="J21" i="1"/>
  <c r="M21" i="1"/>
  <c r="J22" i="1"/>
  <c r="M22" i="1"/>
  <c r="J23" i="1"/>
  <c r="M23" i="1"/>
  <c r="J24" i="1"/>
  <c r="M24" i="1"/>
  <c r="J25" i="1"/>
  <c r="M25" i="1"/>
  <c r="J26" i="1"/>
  <c r="M26" i="1"/>
  <c r="J27" i="1"/>
  <c r="M27" i="1"/>
  <c r="J28" i="1"/>
  <c r="M28" i="1"/>
  <c r="T7" i="1"/>
  <c r="J94" i="1"/>
  <c r="M94" i="1"/>
  <c r="J95" i="1"/>
  <c r="M95" i="1"/>
  <c r="J96" i="1"/>
  <c r="M96" i="1"/>
  <c r="J97" i="1"/>
  <c r="M97" i="1"/>
  <c r="J91" i="1"/>
  <c r="M91" i="1"/>
  <c r="J92" i="1"/>
  <c r="M92" i="1"/>
  <c r="J93" i="1"/>
  <c r="M93" i="1"/>
  <c r="J98" i="1"/>
  <c r="M98" i="1"/>
  <c r="J99" i="1"/>
  <c r="M99" i="1"/>
  <c r="J100" i="1"/>
  <c r="M100" i="1"/>
  <c r="J101" i="1"/>
  <c r="M101" i="1"/>
  <c r="J102" i="1"/>
  <c r="M102" i="1"/>
  <c r="J103" i="1"/>
  <c r="M103" i="1"/>
  <c r="J104" i="1"/>
  <c r="M104" i="1"/>
  <c r="J105" i="1"/>
  <c r="M105" i="1"/>
  <c r="J106" i="1"/>
  <c r="M106" i="1"/>
  <c r="J107" i="1"/>
  <c r="M107" i="1"/>
  <c r="J108" i="1"/>
  <c r="M108" i="1"/>
  <c r="J109" i="1"/>
  <c r="M109" i="1"/>
  <c r="J110" i="1"/>
  <c r="M110" i="1"/>
  <c r="J111" i="1"/>
  <c r="M111" i="1"/>
  <c r="J112" i="1"/>
  <c r="M112" i="1"/>
  <c r="J113" i="1"/>
  <c r="M113" i="1"/>
  <c r="J114" i="1"/>
  <c r="M114" i="1"/>
  <c r="J115" i="1"/>
  <c r="M115" i="1"/>
  <c r="J116" i="1"/>
  <c r="M116" i="1"/>
  <c r="J117" i="1"/>
  <c r="M117" i="1"/>
  <c r="J118" i="1"/>
  <c r="M118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32" i="1"/>
  <c r="S2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32" i="1"/>
  <c r="R26" i="1"/>
  <c r="B84" i="1"/>
  <c r="I84" i="1"/>
  <c r="H84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32" i="1"/>
  <c r="T25" i="1"/>
  <c r="T31" i="1"/>
  <c r="S25" i="1"/>
  <c r="S31" i="1"/>
  <c r="R25" i="1"/>
  <c r="R31" i="1"/>
  <c r="T24" i="1"/>
  <c r="T30" i="1"/>
  <c r="S24" i="1"/>
  <c r="S30" i="1"/>
  <c r="R24" i="1"/>
  <c r="R30" i="1"/>
  <c r="D29" i="7"/>
  <c r="B83" i="7"/>
  <c r="G37" i="7"/>
  <c r="H83" i="7"/>
  <c r="I83" i="7"/>
  <c r="F70" i="7"/>
  <c r="H70" i="7"/>
  <c r="F71" i="7"/>
  <c r="H71" i="7"/>
  <c r="F72" i="7"/>
  <c r="H72" i="7"/>
  <c r="T26" i="7"/>
  <c r="D6" i="7"/>
  <c r="E6" i="7"/>
  <c r="H6" i="7"/>
  <c r="I6" i="7"/>
  <c r="D7" i="7"/>
  <c r="E7" i="7"/>
  <c r="H7" i="7"/>
  <c r="I7" i="7"/>
  <c r="D8" i="7"/>
  <c r="E8" i="7"/>
  <c r="H8" i="7"/>
  <c r="I8" i="7"/>
  <c r="D9" i="7"/>
  <c r="I9" i="7"/>
  <c r="D10" i="7"/>
  <c r="E10" i="7"/>
  <c r="H10" i="7"/>
  <c r="I10" i="7"/>
  <c r="D11" i="7"/>
  <c r="E11" i="7"/>
  <c r="H11" i="7"/>
  <c r="I11" i="7"/>
  <c r="D12" i="7"/>
  <c r="I12" i="7"/>
  <c r="D13" i="7"/>
  <c r="I13" i="7"/>
  <c r="D14" i="7"/>
  <c r="I14" i="7"/>
  <c r="D15" i="7"/>
  <c r="I15" i="7"/>
  <c r="D16" i="7"/>
  <c r="I16" i="7"/>
  <c r="D17" i="7"/>
  <c r="I17" i="7"/>
  <c r="D18" i="7"/>
  <c r="I18" i="7"/>
  <c r="D19" i="7"/>
  <c r="I19" i="7"/>
  <c r="D20" i="7"/>
  <c r="I20" i="7"/>
  <c r="D21" i="7"/>
  <c r="I21" i="7"/>
  <c r="D22" i="7"/>
  <c r="I22" i="7"/>
  <c r="D23" i="7"/>
  <c r="I23" i="7"/>
  <c r="D24" i="7"/>
  <c r="I24" i="7"/>
  <c r="D25" i="7"/>
  <c r="I25" i="7"/>
  <c r="D26" i="7"/>
  <c r="I26" i="7"/>
  <c r="D27" i="7"/>
  <c r="I27" i="7"/>
  <c r="D28" i="7"/>
  <c r="I28" i="7"/>
  <c r="I29" i="7"/>
  <c r="B91" i="7"/>
  <c r="C91" i="7"/>
  <c r="D91" i="7"/>
  <c r="E37" i="7"/>
  <c r="F37" i="7"/>
  <c r="H91" i="7"/>
  <c r="I91" i="7"/>
  <c r="B92" i="7"/>
  <c r="C92" i="7"/>
  <c r="D92" i="7"/>
  <c r="G38" i="7"/>
  <c r="E38" i="7"/>
  <c r="F38" i="7"/>
  <c r="H92" i="7"/>
  <c r="I92" i="7"/>
  <c r="B93" i="7"/>
  <c r="C93" i="7"/>
  <c r="D93" i="7"/>
  <c r="G39" i="7"/>
  <c r="E39" i="7"/>
  <c r="F39" i="7"/>
  <c r="H93" i="7"/>
  <c r="I93" i="7"/>
  <c r="B94" i="7"/>
  <c r="C94" i="7"/>
  <c r="D94" i="7"/>
  <c r="G40" i="7"/>
  <c r="E40" i="7"/>
  <c r="F40" i="7"/>
  <c r="H94" i="7"/>
  <c r="I94" i="7"/>
  <c r="B95" i="7"/>
  <c r="C95" i="7"/>
  <c r="D95" i="7"/>
  <c r="G41" i="7"/>
  <c r="E41" i="7"/>
  <c r="F41" i="7"/>
  <c r="H95" i="7"/>
  <c r="I95" i="7"/>
  <c r="B96" i="7"/>
  <c r="C96" i="7"/>
  <c r="D96" i="7"/>
  <c r="G42" i="7"/>
  <c r="E42" i="7"/>
  <c r="F42" i="7"/>
  <c r="H96" i="7"/>
  <c r="I96" i="7"/>
  <c r="B97" i="7"/>
  <c r="C97" i="7"/>
  <c r="D97" i="7"/>
  <c r="G43" i="7"/>
  <c r="E43" i="7"/>
  <c r="F43" i="7"/>
  <c r="H97" i="7"/>
  <c r="I97" i="7"/>
  <c r="B98" i="7"/>
  <c r="C98" i="7"/>
  <c r="D98" i="7"/>
  <c r="G44" i="7"/>
  <c r="E44" i="7"/>
  <c r="F44" i="7"/>
  <c r="H98" i="7"/>
  <c r="I98" i="7"/>
  <c r="B99" i="7"/>
  <c r="C99" i="7"/>
  <c r="D99" i="7"/>
  <c r="G45" i="7"/>
  <c r="E45" i="7"/>
  <c r="F45" i="7"/>
  <c r="H99" i="7"/>
  <c r="I99" i="7"/>
  <c r="B100" i="7"/>
  <c r="C100" i="7"/>
  <c r="D100" i="7"/>
  <c r="G46" i="7"/>
  <c r="E46" i="7"/>
  <c r="F46" i="7"/>
  <c r="H100" i="7"/>
  <c r="I100" i="7"/>
  <c r="B101" i="7"/>
  <c r="C101" i="7"/>
  <c r="D101" i="7"/>
  <c r="G47" i="7"/>
  <c r="F47" i="7"/>
  <c r="H101" i="7"/>
  <c r="I101" i="7"/>
  <c r="B102" i="7"/>
  <c r="C102" i="7"/>
  <c r="D102" i="7"/>
  <c r="G48" i="7"/>
  <c r="F48" i="7"/>
  <c r="H102" i="7"/>
  <c r="I102" i="7"/>
  <c r="B103" i="7"/>
  <c r="C103" i="7"/>
  <c r="D103" i="7"/>
  <c r="G49" i="7"/>
  <c r="F49" i="7"/>
  <c r="H103" i="7"/>
  <c r="I103" i="7"/>
  <c r="B104" i="7"/>
  <c r="C104" i="7"/>
  <c r="D104" i="7"/>
  <c r="G50" i="7"/>
  <c r="F50" i="7"/>
  <c r="H104" i="7"/>
  <c r="I104" i="7"/>
  <c r="B105" i="7"/>
  <c r="C105" i="7"/>
  <c r="D105" i="7"/>
  <c r="G51" i="7"/>
  <c r="F51" i="7"/>
  <c r="H105" i="7"/>
  <c r="I105" i="7"/>
  <c r="B106" i="7"/>
  <c r="C106" i="7"/>
  <c r="D106" i="7"/>
  <c r="G52" i="7"/>
  <c r="E52" i="7"/>
  <c r="F52" i="7"/>
  <c r="H106" i="7"/>
  <c r="I106" i="7"/>
  <c r="B107" i="7"/>
  <c r="C107" i="7"/>
  <c r="D107" i="7"/>
  <c r="G53" i="7"/>
  <c r="E53" i="7"/>
  <c r="F53" i="7"/>
  <c r="H107" i="7"/>
  <c r="I107" i="7"/>
  <c r="B108" i="7"/>
  <c r="C108" i="7"/>
  <c r="D108" i="7"/>
  <c r="G54" i="7"/>
  <c r="E54" i="7"/>
  <c r="H108" i="7"/>
  <c r="I108" i="7"/>
  <c r="B109" i="7"/>
  <c r="C109" i="7"/>
  <c r="D109" i="7"/>
  <c r="G55" i="7"/>
  <c r="E55" i="7"/>
  <c r="F55" i="7"/>
  <c r="H109" i="7"/>
  <c r="I109" i="7"/>
  <c r="B110" i="7"/>
  <c r="C110" i="7"/>
  <c r="D110" i="7"/>
  <c r="G56" i="7"/>
  <c r="F56" i="7"/>
  <c r="E56" i="7"/>
  <c r="H110" i="7"/>
  <c r="I110" i="7"/>
  <c r="B111" i="7"/>
  <c r="C111" i="7"/>
  <c r="D111" i="7"/>
  <c r="G57" i="7"/>
  <c r="F57" i="7"/>
  <c r="H111" i="7"/>
  <c r="I111" i="7"/>
  <c r="B112" i="7"/>
  <c r="C112" i="7"/>
  <c r="D112" i="7"/>
  <c r="G58" i="7"/>
  <c r="H112" i="7"/>
  <c r="I112" i="7"/>
  <c r="B113" i="7"/>
  <c r="C113" i="7"/>
  <c r="D113" i="7"/>
  <c r="G59" i="7"/>
  <c r="H113" i="7"/>
  <c r="I113" i="7"/>
  <c r="B114" i="7"/>
  <c r="C114" i="7"/>
  <c r="D114" i="7"/>
  <c r="G60" i="7"/>
  <c r="H114" i="7"/>
  <c r="I114" i="7"/>
  <c r="B115" i="7"/>
  <c r="C115" i="7"/>
  <c r="D115" i="7"/>
  <c r="G61" i="7"/>
  <c r="H115" i="7"/>
  <c r="I115" i="7"/>
  <c r="B116" i="7"/>
  <c r="C116" i="7"/>
  <c r="D116" i="7"/>
  <c r="G62" i="7"/>
  <c r="H116" i="7"/>
  <c r="I116" i="7"/>
  <c r="B117" i="7"/>
  <c r="C117" i="7"/>
  <c r="D117" i="7"/>
  <c r="G63" i="7"/>
  <c r="H117" i="7"/>
  <c r="I117" i="7"/>
  <c r="B118" i="7"/>
  <c r="C118" i="7"/>
  <c r="D118" i="7"/>
  <c r="G64" i="7"/>
  <c r="H118" i="7"/>
  <c r="I118" i="7"/>
  <c r="I119" i="7"/>
  <c r="B124" i="7"/>
  <c r="H124" i="7"/>
  <c r="I124" i="7"/>
  <c r="I30" i="7"/>
  <c r="I32" i="7"/>
  <c r="B125" i="7"/>
  <c r="I128" i="7"/>
  <c r="H125" i="7"/>
  <c r="I131" i="7"/>
  <c r="B127" i="7"/>
  <c r="K127" i="7"/>
  <c r="K6" i="7"/>
  <c r="L6" i="7"/>
  <c r="K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7" i="7"/>
  <c r="L17" i="7"/>
  <c r="K18" i="7"/>
  <c r="L18" i="7"/>
  <c r="K19" i="7"/>
  <c r="L19" i="7"/>
  <c r="K20" i="7"/>
  <c r="L20" i="7"/>
  <c r="K21" i="7"/>
  <c r="L21" i="7"/>
  <c r="K22" i="7"/>
  <c r="L22" i="7"/>
  <c r="K23" i="7"/>
  <c r="L23" i="7"/>
  <c r="K24" i="7"/>
  <c r="L24" i="7"/>
  <c r="K25" i="7"/>
  <c r="L25" i="7"/>
  <c r="K26" i="7"/>
  <c r="L26" i="7"/>
  <c r="K27" i="7"/>
  <c r="L27" i="7"/>
  <c r="K28" i="7"/>
  <c r="L28" i="7"/>
  <c r="K29" i="7"/>
  <c r="L29" i="7"/>
  <c r="K91" i="7"/>
  <c r="L91" i="7"/>
  <c r="K92" i="7"/>
  <c r="L92" i="7"/>
  <c r="K93" i="7"/>
  <c r="L93" i="7"/>
  <c r="K94" i="7"/>
  <c r="L94" i="7"/>
  <c r="K95" i="7"/>
  <c r="L95" i="7"/>
  <c r="K96" i="7"/>
  <c r="L96" i="7"/>
  <c r="K97" i="7"/>
  <c r="L97" i="7"/>
  <c r="K98" i="7"/>
  <c r="L98" i="7"/>
  <c r="K99" i="7"/>
  <c r="L99" i="7"/>
  <c r="K100" i="7"/>
  <c r="L100" i="7"/>
  <c r="K101" i="7"/>
  <c r="L101" i="7"/>
  <c r="K102" i="7"/>
  <c r="L102" i="7"/>
  <c r="K103" i="7"/>
  <c r="L103" i="7"/>
  <c r="K104" i="7"/>
  <c r="L104" i="7"/>
  <c r="K105" i="7"/>
  <c r="L105" i="7"/>
  <c r="K106" i="7"/>
  <c r="L106" i="7"/>
  <c r="K107" i="7"/>
  <c r="L107" i="7"/>
  <c r="K108" i="7"/>
  <c r="L108" i="7"/>
  <c r="K109" i="7"/>
  <c r="L109" i="7"/>
  <c r="K110" i="7"/>
  <c r="L110" i="7"/>
  <c r="K111" i="7"/>
  <c r="L111" i="7"/>
  <c r="K112" i="7"/>
  <c r="L112" i="7"/>
  <c r="K113" i="7"/>
  <c r="L113" i="7"/>
  <c r="K114" i="7"/>
  <c r="L114" i="7"/>
  <c r="K115" i="7"/>
  <c r="L115" i="7"/>
  <c r="K116" i="7"/>
  <c r="L116" i="7"/>
  <c r="K117" i="7"/>
  <c r="L117" i="7"/>
  <c r="K118" i="7"/>
  <c r="L118" i="7"/>
  <c r="L119" i="7"/>
  <c r="L124" i="7"/>
  <c r="K30" i="7"/>
  <c r="B119" i="7"/>
  <c r="L30" i="7"/>
  <c r="L32" i="7"/>
  <c r="B126" i="7"/>
  <c r="B128" i="7"/>
  <c r="K128" i="7"/>
  <c r="L128" i="7"/>
  <c r="H126" i="7"/>
  <c r="F73" i="7"/>
  <c r="H127" i="7"/>
  <c r="L127" i="7"/>
  <c r="J33" i="7"/>
  <c r="J8" i="7"/>
  <c r="M8" i="7"/>
  <c r="J9" i="7"/>
  <c r="M9" i="7"/>
  <c r="J10" i="7"/>
  <c r="M10" i="7"/>
  <c r="J11" i="7"/>
  <c r="M11" i="7"/>
  <c r="J6" i="7"/>
  <c r="M6" i="7"/>
  <c r="J7" i="7"/>
  <c r="M7" i="7"/>
  <c r="J12" i="7"/>
  <c r="M12" i="7"/>
  <c r="J13" i="7"/>
  <c r="M13" i="7"/>
  <c r="J14" i="7"/>
  <c r="M14" i="7"/>
  <c r="J15" i="7"/>
  <c r="M15" i="7"/>
  <c r="J16" i="7"/>
  <c r="M16" i="7"/>
  <c r="J17" i="7"/>
  <c r="M17" i="7"/>
  <c r="J18" i="7"/>
  <c r="M18" i="7"/>
  <c r="J19" i="7"/>
  <c r="M19" i="7"/>
  <c r="J20" i="7"/>
  <c r="M20" i="7"/>
  <c r="J21" i="7"/>
  <c r="M21" i="7"/>
  <c r="J22" i="7"/>
  <c r="M22" i="7"/>
  <c r="J23" i="7"/>
  <c r="M23" i="7"/>
  <c r="J24" i="7"/>
  <c r="M24" i="7"/>
  <c r="J25" i="7"/>
  <c r="M25" i="7"/>
  <c r="J26" i="7"/>
  <c r="M26" i="7"/>
  <c r="J27" i="7"/>
  <c r="M27" i="7"/>
  <c r="J28" i="7"/>
  <c r="M28" i="7"/>
  <c r="T7" i="7"/>
  <c r="J94" i="7"/>
  <c r="M94" i="7"/>
  <c r="J95" i="7"/>
  <c r="M95" i="7"/>
  <c r="J96" i="7"/>
  <c r="M96" i="7"/>
  <c r="J97" i="7"/>
  <c r="M97" i="7"/>
  <c r="J91" i="7"/>
  <c r="M91" i="7"/>
  <c r="J92" i="7"/>
  <c r="M92" i="7"/>
  <c r="J93" i="7"/>
  <c r="M93" i="7"/>
  <c r="J98" i="7"/>
  <c r="M98" i="7"/>
  <c r="J99" i="7"/>
  <c r="M99" i="7"/>
  <c r="J100" i="7"/>
  <c r="M100" i="7"/>
  <c r="J101" i="7"/>
  <c r="M101" i="7"/>
  <c r="J102" i="7"/>
  <c r="M102" i="7"/>
  <c r="J103" i="7"/>
  <c r="M103" i="7"/>
  <c r="J104" i="7"/>
  <c r="M104" i="7"/>
  <c r="J105" i="7"/>
  <c r="M105" i="7"/>
  <c r="J106" i="7"/>
  <c r="M106" i="7"/>
  <c r="J107" i="7"/>
  <c r="M107" i="7"/>
  <c r="J108" i="7"/>
  <c r="M108" i="7"/>
  <c r="J109" i="7"/>
  <c r="M109" i="7"/>
  <c r="J110" i="7"/>
  <c r="M110" i="7"/>
  <c r="J111" i="7"/>
  <c r="M111" i="7"/>
  <c r="J112" i="7"/>
  <c r="M112" i="7"/>
  <c r="J113" i="7"/>
  <c r="M113" i="7"/>
  <c r="J114" i="7"/>
  <c r="M114" i="7"/>
  <c r="J115" i="7"/>
  <c r="M115" i="7"/>
  <c r="J116" i="7"/>
  <c r="M116" i="7"/>
  <c r="J117" i="7"/>
  <c r="M117" i="7"/>
  <c r="J118" i="7"/>
  <c r="M118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32" i="7"/>
  <c r="S2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32" i="7"/>
  <c r="R26" i="7"/>
  <c r="B84" i="7"/>
  <c r="I84" i="7"/>
  <c r="H84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32" i="7"/>
  <c r="T25" i="7"/>
  <c r="T31" i="7"/>
  <c r="S25" i="7"/>
  <c r="S31" i="7"/>
  <c r="R25" i="7"/>
  <c r="R31" i="7"/>
  <c r="T24" i="7"/>
  <c r="T30" i="7"/>
  <c r="S24" i="7"/>
  <c r="S30" i="7"/>
  <c r="R24" i="7"/>
  <c r="R30" i="7"/>
  <c r="B83" i="8"/>
  <c r="B94" i="8"/>
  <c r="K94" i="8"/>
  <c r="B95" i="8"/>
  <c r="K95" i="8"/>
  <c r="B96" i="8"/>
  <c r="K96" i="8"/>
  <c r="B97" i="8"/>
  <c r="K97" i="8"/>
  <c r="B91" i="8"/>
  <c r="K91" i="8"/>
  <c r="B92" i="8"/>
  <c r="K92" i="8"/>
  <c r="B93" i="8"/>
  <c r="K93" i="8"/>
  <c r="B98" i="8"/>
  <c r="K98" i="8"/>
  <c r="B99" i="8"/>
  <c r="K99" i="8"/>
  <c r="B100" i="8"/>
  <c r="K100" i="8"/>
  <c r="B101" i="8"/>
  <c r="K101" i="8"/>
  <c r="B102" i="8"/>
  <c r="K102" i="8"/>
  <c r="B103" i="8"/>
  <c r="K103" i="8"/>
  <c r="B104" i="8"/>
  <c r="K104" i="8"/>
  <c r="B105" i="8"/>
  <c r="K105" i="8"/>
  <c r="B106" i="8"/>
  <c r="K106" i="8"/>
  <c r="B107" i="8"/>
  <c r="K107" i="8"/>
  <c r="B108" i="8"/>
  <c r="K108" i="8"/>
  <c r="B109" i="8"/>
  <c r="K109" i="8"/>
  <c r="B110" i="8"/>
  <c r="K110" i="8"/>
  <c r="B111" i="8"/>
  <c r="K111" i="8"/>
  <c r="B112" i="8"/>
  <c r="K112" i="8"/>
  <c r="B113" i="8"/>
  <c r="K113" i="8"/>
  <c r="B114" i="8"/>
  <c r="K114" i="8"/>
  <c r="B115" i="8"/>
  <c r="K115" i="8"/>
  <c r="B116" i="8"/>
  <c r="K116" i="8"/>
  <c r="B117" i="8"/>
  <c r="K117" i="8"/>
  <c r="B118" i="8"/>
  <c r="K118" i="8"/>
  <c r="D29" i="8"/>
  <c r="B84" i="8"/>
  <c r="G37" i="8"/>
  <c r="H83" i="8"/>
  <c r="I83" i="8"/>
  <c r="F70" i="8"/>
  <c r="H70" i="8"/>
  <c r="I84" i="8"/>
  <c r="H84" i="8"/>
  <c r="R8" i="8"/>
  <c r="G40" i="8"/>
  <c r="E40" i="8"/>
  <c r="F40" i="8"/>
  <c r="H94" i="8"/>
  <c r="L94" i="8"/>
  <c r="G41" i="8"/>
  <c r="E41" i="8"/>
  <c r="F41" i="8"/>
  <c r="H95" i="8"/>
  <c r="L95" i="8"/>
  <c r="G42" i="8"/>
  <c r="E42" i="8"/>
  <c r="F42" i="8"/>
  <c r="H96" i="8"/>
  <c r="L96" i="8"/>
  <c r="G43" i="8"/>
  <c r="E43" i="8"/>
  <c r="F43" i="8"/>
  <c r="H97" i="8"/>
  <c r="L97" i="8"/>
  <c r="E37" i="8"/>
  <c r="F37" i="8"/>
  <c r="H91" i="8"/>
  <c r="L91" i="8"/>
  <c r="G38" i="8"/>
  <c r="E38" i="8"/>
  <c r="F38" i="8"/>
  <c r="H92" i="8"/>
  <c r="L92" i="8"/>
  <c r="G39" i="8"/>
  <c r="E39" i="8"/>
  <c r="F39" i="8"/>
  <c r="H93" i="8"/>
  <c r="L93" i="8"/>
  <c r="G44" i="8"/>
  <c r="E44" i="8"/>
  <c r="F44" i="8"/>
  <c r="H98" i="8"/>
  <c r="L98" i="8"/>
  <c r="G45" i="8"/>
  <c r="E45" i="8"/>
  <c r="F45" i="8"/>
  <c r="H99" i="8"/>
  <c r="L99" i="8"/>
  <c r="G46" i="8"/>
  <c r="E46" i="8"/>
  <c r="F46" i="8"/>
  <c r="H100" i="8"/>
  <c r="L100" i="8"/>
  <c r="G47" i="8"/>
  <c r="F47" i="8"/>
  <c r="H101" i="8"/>
  <c r="L101" i="8"/>
  <c r="G48" i="8"/>
  <c r="F48" i="8"/>
  <c r="H102" i="8"/>
  <c r="L102" i="8"/>
  <c r="G49" i="8"/>
  <c r="F49" i="8"/>
  <c r="H103" i="8"/>
  <c r="L103" i="8"/>
  <c r="G50" i="8"/>
  <c r="F50" i="8"/>
  <c r="H104" i="8"/>
  <c r="L104" i="8"/>
  <c r="G51" i="8"/>
  <c r="F51" i="8"/>
  <c r="H105" i="8"/>
  <c r="L105" i="8"/>
  <c r="G52" i="8"/>
  <c r="E52" i="8"/>
  <c r="F52" i="8"/>
  <c r="H106" i="8"/>
  <c r="L106" i="8"/>
  <c r="G53" i="8"/>
  <c r="E53" i="8"/>
  <c r="F53" i="8"/>
  <c r="H107" i="8"/>
  <c r="L107" i="8"/>
  <c r="G54" i="8"/>
  <c r="E54" i="8"/>
  <c r="H108" i="8"/>
  <c r="L108" i="8"/>
  <c r="G55" i="8"/>
  <c r="E55" i="8"/>
  <c r="F55" i="8"/>
  <c r="H109" i="8"/>
  <c r="L109" i="8"/>
  <c r="G56" i="8"/>
  <c r="F56" i="8"/>
  <c r="E56" i="8"/>
  <c r="H110" i="8"/>
  <c r="L110" i="8"/>
  <c r="G57" i="8"/>
  <c r="F57" i="8"/>
  <c r="H111" i="8"/>
  <c r="L111" i="8"/>
  <c r="G58" i="8"/>
  <c r="H112" i="8"/>
  <c r="L112" i="8"/>
  <c r="G59" i="8"/>
  <c r="H113" i="8"/>
  <c r="L113" i="8"/>
  <c r="G60" i="8"/>
  <c r="H114" i="8"/>
  <c r="L114" i="8"/>
  <c r="G61" i="8"/>
  <c r="H115" i="8"/>
  <c r="L115" i="8"/>
  <c r="G62" i="8"/>
  <c r="H116" i="8"/>
  <c r="L116" i="8"/>
  <c r="G63" i="8"/>
  <c r="H117" i="8"/>
  <c r="L117" i="8"/>
  <c r="G64" i="8"/>
  <c r="H118" i="8"/>
  <c r="L118" i="8"/>
  <c r="S8" i="8"/>
  <c r="D6" i="8"/>
  <c r="E6" i="8"/>
  <c r="H6" i="8"/>
  <c r="I6" i="8"/>
  <c r="D7" i="8"/>
  <c r="E7" i="8"/>
  <c r="H7" i="8"/>
  <c r="I7" i="8"/>
  <c r="D8" i="8"/>
  <c r="E8" i="8"/>
  <c r="H8" i="8"/>
  <c r="I8" i="8"/>
  <c r="D9" i="8"/>
  <c r="I9" i="8"/>
  <c r="D10" i="8"/>
  <c r="E10" i="8"/>
  <c r="H10" i="8"/>
  <c r="I10" i="8"/>
  <c r="D11" i="8"/>
  <c r="E11" i="8"/>
  <c r="H11" i="8"/>
  <c r="I11" i="8"/>
  <c r="D12" i="8"/>
  <c r="I12" i="8"/>
  <c r="D13" i="8"/>
  <c r="I13" i="8"/>
  <c r="D14" i="8"/>
  <c r="I14" i="8"/>
  <c r="D15" i="8"/>
  <c r="I15" i="8"/>
  <c r="D16" i="8"/>
  <c r="I16" i="8"/>
  <c r="D17" i="8"/>
  <c r="I17" i="8"/>
  <c r="D18" i="8"/>
  <c r="I18" i="8"/>
  <c r="D19" i="8"/>
  <c r="I19" i="8"/>
  <c r="D20" i="8"/>
  <c r="I20" i="8"/>
  <c r="D21" i="8"/>
  <c r="I21" i="8"/>
  <c r="D22" i="8"/>
  <c r="I22" i="8"/>
  <c r="D23" i="8"/>
  <c r="I23" i="8"/>
  <c r="D24" i="8"/>
  <c r="I24" i="8"/>
  <c r="D25" i="8"/>
  <c r="I25" i="8"/>
  <c r="D26" i="8"/>
  <c r="I26" i="8"/>
  <c r="D27" i="8"/>
  <c r="I27" i="8"/>
  <c r="D28" i="8"/>
  <c r="I28" i="8"/>
  <c r="I29" i="8"/>
  <c r="C91" i="8"/>
  <c r="D91" i="8"/>
  <c r="I91" i="8"/>
  <c r="C92" i="8"/>
  <c r="D92" i="8"/>
  <c r="I92" i="8"/>
  <c r="C93" i="8"/>
  <c r="D93" i="8"/>
  <c r="I93" i="8"/>
  <c r="C94" i="8"/>
  <c r="D94" i="8"/>
  <c r="I94" i="8"/>
  <c r="C95" i="8"/>
  <c r="D95" i="8"/>
  <c r="I95" i="8"/>
  <c r="C96" i="8"/>
  <c r="D96" i="8"/>
  <c r="I96" i="8"/>
  <c r="C97" i="8"/>
  <c r="D97" i="8"/>
  <c r="I97" i="8"/>
  <c r="C98" i="8"/>
  <c r="D98" i="8"/>
  <c r="I98" i="8"/>
  <c r="C99" i="8"/>
  <c r="D99" i="8"/>
  <c r="I99" i="8"/>
  <c r="C100" i="8"/>
  <c r="D100" i="8"/>
  <c r="I100" i="8"/>
  <c r="C101" i="8"/>
  <c r="D101" i="8"/>
  <c r="I101" i="8"/>
  <c r="C102" i="8"/>
  <c r="D102" i="8"/>
  <c r="I102" i="8"/>
  <c r="C103" i="8"/>
  <c r="D103" i="8"/>
  <c r="I103" i="8"/>
  <c r="C104" i="8"/>
  <c r="D104" i="8"/>
  <c r="I104" i="8"/>
  <c r="C105" i="8"/>
  <c r="D105" i="8"/>
  <c r="I105" i="8"/>
  <c r="C106" i="8"/>
  <c r="D106" i="8"/>
  <c r="I106" i="8"/>
  <c r="C107" i="8"/>
  <c r="D107" i="8"/>
  <c r="I107" i="8"/>
  <c r="C108" i="8"/>
  <c r="D108" i="8"/>
  <c r="I108" i="8"/>
  <c r="C109" i="8"/>
  <c r="D109" i="8"/>
  <c r="I109" i="8"/>
  <c r="C110" i="8"/>
  <c r="D110" i="8"/>
  <c r="I110" i="8"/>
  <c r="C111" i="8"/>
  <c r="D111" i="8"/>
  <c r="I111" i="8"/>
  <c r="C112" i="8"/>
  <c r="D112" i="8"/>
  <c r="I112" i="8"/>
  <c r="C113" i="8"/>
  <c r="D113" i="8"/>
  <c r="I113" i="8"/>
  <c r="C114" i="8"/>
  <c r="D114" i="8"/>
  <c r="I114" i="8"/>
  <c r="C115" i="8"/>
  <c r="D115" i="8"/>
  <c r="I115" i="8"/>
  <c r="C116" i="8"/>
  <c r="D116" i="8"/>
  <c r="I116" i="8"/>
  <c r="C117" i="8"/>
  <c r="D117" i="8"/>
  <c r="I117" i="8"/>
  <c r="C118" i="8"/>
  <c r="D118" i="8"/>
  <c r="I118" i="8"/>
  <c r="I119" i="8"/>
  <c r="B124" i="8"/>
  <c r="H124" i="8"/>
  <c r="I124" i="8"/>
  <c r="I30" i="8"/>
  <c r="I32" i="8"/>
  <c r="B125" i="8"/>
  <c r="I128" i="8"/>
  <c r="F71" i="8"/>
  <c r="H125" i="8"/>
  <c r="I131" i="8"/>
  <c r="B127" i="8"/>
  <c r="K127" i="8"/>
  <c r="K6" i="8"/>
  <c r="L6" i="8"/>
  <c r="K7" i="8"/>
  <c r="L7" i="8"/>
  <c r="K8" i="8"/>
  <c r="L8" i="8"/>
  <c r="K9" i="8"/>
  <c r="L9" i="8"/>
  <c r="K10" i="8"/>
  <c r="L10" i="8"/>
  <c r="K11" i="8"/>
  <c r="L11" i="8"/>
  <c r="K12" i="8"/>
  <c r="L12" i="8"/>
  <c r="K13" i="8"/>
  <c r="L13" i="8"/>
  <c r="K14" i="8"/>
  <c r="L14" i="8"/>
  <c r="K15" i="8"/>
  <c r="L15" i="8"/>
  <c r="K16" i="8"/>
  <c r="L16" i="8"/>
  <c r="K17" i="8"/>
  <c r="L17" i="8"/>
  <c r="K18" i="8"/>
  <c r="L18" i="8"/>
  <c r="K19" i="8"/>
  <c r="L19" i="8"/>
  <c r="K20" i="8"/>
  <c r="L20" i="8"/>
  <c r="K21" i="8"/>
  <c r="L21" i="8"/>
  <c r="K22" i="8"/>
  <c r="L22" i="8"/>
  <c r="K23" i="8"/>
  <c r="L23" i="8"/>
  <c r="K24" i="8"/>
  <c r="L24" i="8"/>
  <c r="K25" i="8"/>
  <c r="L25" i="8"/>
  <c r="K26" i="8"/>
  <c r="L26" i="8"/>
  <c r="K27" i="8"/>
  <c r="L27" i="8"/>
  <c r="K28" i="8"/>
  <c r="L28" i="8"/>
  <c r="K29" i="8"/>
  <c r="L29" i="8"/>
  <c r="L119" i="8"/>
  <c r="L124" i="8"/>
  <c r="K30" i="8"/>
  <c r="B119" i="8"/>
  <c r="L30" i="8"/>
  <c r="L32" i="8"/>
  <c r="B126" i="8"/>
  <c r="B128" i="8"/>
  <c r="K128" i="8"/>
  <c r="L128" i="8"/>
  <c r="F72" i="8"/>
  <c r="H126" i="8"/>
  <c r="F73" i="8"/>
  <c r="H127" i="8"/>
  <c r="L127" i="8"/>
  <c r="J33" i="8"/>
  <c r="J94" i="8"/>
  <c r="M94" i="8"/>
  <c r="J95" i="8"/>
  <c r="M95" i="8"/>
  <c r="J96" i="8"/>
  <c r="M96" i="8"/>
  <c r="J97" i="8"/>
  <c r="M97" i="8"/>
  <c r="J91" i="8"/>
  <c r="M91" i="8"/>
  <c r="J92" i="8"/>
  <c r="M92" i="8"/>
  <c r="J93" i="8"/>
  <c r="M93" i="8"/>
  <c r="J98" i="8"/>
  <c r="M98" i="8"/>
  <c r="J99" i="8"/>
  <c r="M99" i="8"/>
  <c r="J100" i="8"/>
  <c r="M100" i="8"/>
  <c r="J101" i="8"/>
  <c r="M101" i="8"/>
  <c r="J102" i="8"/>
  <c r="M102" i="8"/>
  <c r="J103" i="8"/>
  <c r="M103" i="8"/>
  <c r="J104" i="8"/>
  <c r="M104" i="8"/>
  <c r="J105" i="8"/>
  <c r="M105" i="8"/>
  <c r="J106" i="8"/>
  <c r="M106" i="8"/>
  <c r="J107" i="8"/>
  <c r="M107" i="8"/>
  <c r="J108" i="8"/>
  <c r="M108" i="8"/>
  <c r="J109" i="8"/>
  <c r="M109" i="8"/>
  <c r="J110" i="8"/>
  <c r="M110" i="8"/>
  <c r="J111" i="8"/>
  <c r="M111" i="8"/>
  <c r="J112" i="8"/>
  <c r="M112" i="8"/>
  <c r="J113" i="8"/>
  <c r="M113" i="8"/>
  <c r="J114" i="8"/>
  <c r="M114" i="8"/>
  <c r="J115" i="8"/>
  <c r="M115" i="8"/>
  <c r="J116" i="8"/>
  <c r="M116" i="8"/>
  <c r="J117" i="8"/>
  <c r="M117" i="8"/>
  <c r="J118" i="8"/>
  <c r="M118" i="8"/>
  <c r="T8" i="8"/>
  <c r="R9" i="8"/>
  <c r="S9" i="8"/>
  <c r="J6" i="8"/>
  <c r="M6" i="8"/>
  <c r="J7" i="8"/>
  <c r="M7" i="8"/>
  <c r="J8" i="8"/>
  <c r="M8" i="8"/>
  <c r="T9" i="8"/>
  <c r="R10" i="8"/>
  <c r="S10" i="8"/>
  <c r="T10" i="8"/>
  <c r="R11" i="8"/>
  <c r="S11" i="8"/>
  <c r="T11" i="8"/>
  <c r="R12" i="8"/>
  <c r="S12" i="8"/>
  <c r="J19" i="8"/>
  <c r="M19" i="8"/>
  <c r="J20" i="8"/>
  <c r="M20" i="8"/>
  <c r="J18" i="8"/>
  <c r="M18" i="8"/>
  <c r="T12" i="8"/>
  <c r="R13" i="8"/>
  <c r="S13" i="8"/>
  <c r="T13" i="8"/>
  <c r="R14" i="8"/>
  <c r="S14" i="8"/>
  <c r="T14" i="8"/>
  <c r="R15" i="8"/>
  <c r="S15" i="8"/>
  <c r="T15" i="8"/>
  <c r="R16" i="8"/>
  <c r="S16" i="8"/>
  <c r="T16" i="8"/>
  <c r="R17" i="8"/>
  <c r="S17" i="8"/>
  <c r="T17" i="8"/>
  <c r="R18" i="8"/>
  <c r="S18" i="8"/>
  <c r="J26" i="8"/>
  <c r="M26" i="8"/>
  <c r="T18" i="8"/>
  <c r="R19" i="8"/>
  <c r="S19" i="8"/>
  <c r="T19" i="8"/>
  <c r="R20" i="8"/>
  <c r="S20" i="8"/>
  <c r="T20" i="8"/>
  <c r="R21" i="8"/>
  <c r="S21" i="8"/>
  <c r="T21" i="8"/>
  <c r="R22" i="8"/>
  <c r="S22" i="8"/>
  <c r="T22" i="8"/>
  <c r="H71" i="8"/>
  <c r="H72" i="8"/>
  <c r="T26" i="8"/>
  <c r="S26" i="8"/>
  <c r="R26" i="8"/>
  <c r="T25" i="8"/>
  <c r="S25" i="8"/>
  <c r="R25" i="8"/>
  <c r="T24" i="8"/>
  <c r="S24" i="8"/>
  <c r="R24" i="8"/>
  <c r="J9" i="8"/>
  <c r="M9" i="8"/>
  <c r="J10" i="8"/>
  <c r="M10" i="8"/>
  <c r="J11" i="8"/>
  <c r="M11" i="8"/>
  <c r="J12" i="8"/>
  <c r="M12" i="8"/>
  <c r="J13" i="8"/>
  <c r="M13" i="8"/>
  <c r="J14" i="8"/>
  <c r="M14" i="8"/>
  <c r="J15" i="8"/>
  <c r="M15" i="8"/>
  <c r="J16" i="8"/>
  <c r="M16" i="8"/>
  <c r="J17" i="8"/>
  <c r="M17" i="8"/>
  <c r="J21" i="8"/>
  <c r="M21" i="8"/>
  <c r="J22" i="8"/>
  <c r="M22" i="8"/>
  <c r="J23" i="8"/>
  <c r="M23" i="8"/>
  <c r="J24" i="8"/>
  <c r="M24" i="8"/>
  <c r="J25" i="8"/>
  <c r="M25" i="8"/>
  <c r="J27" i="8"/>
  <c r="M27" i="8"/>
  <c r="J28" i="8"/>
  <c r="M28" i="8"/>
  <c r="T7" i="8"/>
  <c r="S7" i="8"/>
  <c r="R7" i="8"/>
  <c r="T23" i="8"/>
  <c r="T32" i="8"/>
  <c r="S23" i="8"/>
  <c r="S32" i="8"/>
  <c r="R23" i="8"/>
  <c r="R32" i="8"/>
  <c r="T31" i="8"/>
  <c r="S31" i="8"/>
  <c r="R31" i="8"/>
  <c r="T30" i="8"/>
  <c r="S30" i="8"/>
  <c r="R30" i="8"/>
  <c r="J29" i="8"/>
  <c r="J30" i="8"/>
  <c r="J31" i="8"/>
  <c r="J29" i="7"/>
  <c r="J30" i="7"/>
  <c r="J31" i="7"/>
  <c r="J29" i="1"/>
  <c r="J30" i="1"/>
  <c r="J31" i="1"/>
  <c r="J29" i="12"/>
  <c r="J30" i="12"/>
  <c r="J31" i="12"/>
  <c r="L126" i="8"/>
  <c r="L125" i="8"/>
  <c r="L126" i="7"/>
  <c r="L125" i="7"/>
  <c r="L126" i="12"/>
  <c r="L125" i="12"/>
  <c r="L130" i="8"/>
  <c r="L129" i="8"/>
  <c r="B130" i="8"/>
  <c r="B129" i="8"/>
  <c r="K129" i="8"/>
  <c r="L130" i="7"/>
  <c r="L129" i="7"/>
  <c r="B130" i="7"/>
  <c r="B129" i="7"/>
  <c r="K129" i="7"/>
  <c r="L130" i="12"/>
  <c r="L129" i="12"/>
  <c r="B130" i="12"/>
  <c r="B129" i="12"/>
  <c r="K129" i="12"/>
  <c r="L125" i="1"/>
  <c r="L126" i="1"/>
  <c r="L130" i="1"/>
  <c r="L129" i="1"/>
  <c r="B130" i="1"/>
  <c r="B129" i="1"/>
  <c r="B75" i="1"/>
  <c r="L75" i="12"/>
  <c r="I127" i="8"/>
  <c r="I73" i="8"/>
  <c r="B32" i="8"/>
  <c r="I125" i="8"/>
  <c r="I71" i="8"/>
  <c r="I126" i="8"/>
  <c r="I72" i="8"/>
  <c r="E70" i="7"/>
  <c r="E70" i="8"/>
  <c r="F9" i="8"/>
  <c r="E71" i="7"/>
  <c r="E71" i="8"/>
  <c r="E72" i="7"/>
  <c r="E72" i="8"/>
  <c r="E29" i="7"/>
  <c r="E29" i="8"/>
  <c r="H29" i="8"/>
  <c r="E28" i="7"/>
  <c r="E28" i="8"/>
  <c r="H28" i="8"/>
  <c r="F9" i="7"/>
  <c r="H29" i="7"/>
  <c r="H28" i="7"/>
  <c r="F9" i="12"/>
  <c r="E70" i="12"/>
  <c r="E29" i="12"/>
  <c r="H29" i="12"/>
  <c r="AA82" i="12"/>
  <c r="AC82" i="12"/>
  <c r="AE82" i="12"/>
  <c r="AG82" i="12"/>
  <c r="AH82" i="12"/>
  <c r="AF82" i="12"/>
  <c r="AG83" i="12"/>
  <c r="AD82" i="12"/>
  <c r="AE83" i="12"/>
  <c r="AB82" i="12"/>
  <c r="AC83" i="12"/>
  <c r="Z82" i="12"/>
  <c r="AA83" i="12"/>
  <c r="E47" i="12"/>
  <c r="E48" i="12"/>
  <c r="E49" i="12"/>
  <c r="E50" i="12"/>
  <c r="E51" i="12"/>
  <c r="F54" i="12"/>
  <c r="E57" i="12"/>
  <c r="E58" i="12"/>
  <c r="F58" i="12"/>
  <c r="E59" i="12"/>
  <c r="F59" i="12"/>
  <c r="E60" i="12"/>
  <c r="F60" i="12"/>
  <c r="E61" i="12"/>
  <c r="F61" i="12"/>
  <c r="E62" i="12"/>
  <c r="F62" i="12"/>
  <c r="E63" i="12"/>
  <c r="F63" i="12"/>
  <c r="E64" i="12"/>
  <c r="F64" i="12"/>
  <c r="E30" i="12"/>
  <c r="E9" i="12"/>
  <c r="H9" i="12"/>
  <c r="E12" i="12"/>
  <c r="H12" i="12"/>
  <c r="E13" i="12"/>
  <c r="H13" i="12"/>
  <c r="E14" i="12"/>
  <c r="H14" i="12"/>
  <c r="E15" i="12"/>
  <c r="H15" i="12"/>
  <c r="E16" i="12"/>
  <c r="H16" i="12"/>
  <c r="E17" i="12"/>
  <c r="H17" i="12"/>
  <c r="E18" i="12"/>
  <c r="H18" i="12"/>
  <c r="E19" i="12"/>
  <c r="H19" i="12"/>
  <c r="E20" i="12"/>
  <c r="H20" i="12"/>
  <c r="E21" i="12"/>
  <c r="H21" i="12"/>
  <c r="E22" i="12"/>
  <c r="H22" i="12"/>
  <c r="E23" i="12"/>
  <c r="H23" i="12"/>
  <c r="E24" i="12"/>
  <c r="H24" i="12"/>
  <c r="E25" i="12"/>
  <c r="H25" i="12"/>
  <c r="E26" i="12"/>
  <c r="H26" i="12"/>
  <c r="E27" i="12"/>
  <c r="H27" i="12"/>
  <c r="E28" i="12"/>
  <c r="H28" i="12"/>
  <c r="E71" i="12"/>
  <c r="E72" i="12"/>
  <c r="E73" i="12"/>
  <c r="Z6" i="12"/>
  <c r="X7" i="12"/>
  <c r="AA7" i="12"/>
  <c r="Z12" i="12"/>
  <c r="Z13" i="12"/>
  <c r="Z14" i="12"/>
  <c r="Z15" i="12"/>
  <c r="Z24" i="12"/>
  <c r="AA24" i="12"/>
  <c r="Z25" i="12"/>
  <c r="AA25" i="12"/>
  <c r="Z26" i="12"/>
  <c r="Z27" i="12"/>
  <c r="Z28" i="12"/>
  <c r="Z29" i="12"/>
  <c r="X8" i="12"/>
  <c r="X9" i="12"/>
  <c r="X10" i="12"/>
  <c r="X11" i="12"/>
  <c r="Z70" i="12"/>
  <c r="Z42" i="12"/>
  <c r="Z43" i="12"/>
  <c r="Z44" i="12"/>
  <c r="Z45" i="12"/>
  <c r="Z46" i="12"/>
  <c r="Z47" i="12"/>
  <c r="Z48" i="12"/>
  <c r="Z49" i="12"/>
  <c r="Z50" i="12"/>
  <c r="Z51" i="12"/>
  <c r="J52" i="12"/>
  <c r="Z52" i="12"/>
  <c r="AA52" i="12"/>
  <c r="J58" i="12"/>
  <c r="Z58" i="12"/>
  <c r="AA58" i="12"/>
  <c r="J59" i="12"/>
  <c r="Z59" i="12"/>
  <c r="AA59" i="12"/>
  <c r="J60" i="12"/>
  <c r="Z60" i="12"/>
  <c r="AA60" i="12"/>
  <c r="J61" i="12"/>
  <c r="Z61" i="12"/>
  <c r="AA61" i="12"/>
  <c r="J62" i="12"/>
  <c r="Z62" i="12"/>
  <c r="AA62" i="12"/>
  <c r="J63" i="12"/>
  <c r="Z63" i="12"/>
  <c r="AA63" i="12"/>
  <c r="J64" i="12"/>
  <c r="Z64" i="12"/>
  <c r="AA64" i="12"/>
  <c r="AB6" i="12"/>
  <c r="AB12" i="12"/>
  <c r="AB13" i="12"/>
  <c r="AB14" i="12"/>
  <c r="AB15" i="12"/>
  <c r="AB24" i="12"/>
  <c r="AC24" i="12"/>
  <c r="AB25" i="12"/>
  <c r="AC25" i="12"/>
  <c r="AB26" i="12"/>
  <c r="AB27" i="12"/>
  <c r="AB28" i="12"/>
  <c r="AB29" i="12"/>
  <c r="AD6" i="12"/>
  <c r="AD12" i="12"/>
  <c r="AD13" i="12"/>
  <c r="AD14" i="12"/>
  <c r="AD15" i="12"/>
  <c r="AD24" i="12"/>
  <c r="AE24" i="12"/>
  <c r="AD25" i="12"/>
  <c r="AE25" i="12"/>
  <c r="AD26" i="12"/>
  <c r="AD27" i="12"/>
  <c r="AD28" i="12"/>
  <c r="AD29" i="12"/>
  <c r="AC7" i="12"/>
  <c r="AB42" i="12"/>
  <c r="AD42" i="12"/>
  <c r="AF42" i="12"/>
  <c r="AB43" i="12"/>
  <c r="AD43" i="12"/>
  <c r="AF43" i="12"/>
  <c r="AB44" i="12"/>
  <c r="AD44" i="12"/>
  <c r="AF44" i="12"/>
  <c r="AB45" i="12"/>
  <c r="AD45" i="12"/>
  <c r="AF45" i="12"/>
  <c r="AB46" i="12"/>
  <c r="AD46" i="12"/>
  <c r="AF46" i="12"/>
  <c r="AB47" i="12"/>
  <c r="AD47" i="12"/>
  <c r="AF47" i="12"/>
  <c r="AB48" i="12"/>
  <c r="AD48" i="12"/>
  <c r="AF48" i="12"/>
  <c r="AB49" i="12"/>
  <c r="AD49" i="12"/>
  <c r="AF49" i="12"/>
  <c r="AB50" i="12"/>
  <c r="AD50" i="12"/>
  <c r="AF50" i="12"/>
  <c r="AB51" i="12"/>
  <c r="AD51" i="12"/>
  <c r="AF51" i="12"/>
  <c r="AB52" i="12"/>
  <c r="AD52" i="12"/>
  <c r="AF52" i="12"/>
  <c r="AG52" i="12"/>
  <c r="AB58" i="12"/>
  <c r="AD58" i="12"/>
  <c r="AF58" i="12"/>
  <c r="AG58" i="12"/>
  <c r="AB59" i="12"/>
  <c r="AD59" i="12"/>
  <c r="AF59" i="12"/>
  <c r="AG59" i="12"/>
  <c r="AB60" i="12"/>
  <c r="AD60" i="12"/>
  <c r="AF60" i="12"/>
  <c r="AG60" i="12"/>
  <c r="AB61" i="12"/>
  <c r="AD61" i="12"/>
  <c r="AF61" i="12"/>
  <c r="AG61" i="12"/>
  <c r="AB62" i="12"/>
  <c r="AD62" i="12"/>
  <c r="AF62" i="12"/>
  <c r="AG62" i="12"/>
  <c r="AB63" i="12"/>
  <c r="AD63" i="12"/>
  <c r="AF63" i="12"/>
  <c r="AG63" i="12"/>
  <c r="AB64" i="12"/>
  <c r="AD64" i="12"/>
  <c r="AF64" i="12"/>
  <c r="AG64" i="12"/>
  <c r="AF6" i="12"/>
  <c r="AE7" i="12"/>
  <c r="AF12" i="12"/>
  <c r="AF13" i="12"/>
  <c r="AF14" i="12"/>
  <c r="AF15" i="12"/>
  <c r="AF24" i="12"/>
  <c r="AG24" i="12"/>
  <c r="AF25" i="12"/>
  <c r="AG25" i="12"/>
  <c r="AF26" i="12"/>
  <c r="AF27" i="12"/>
  <c r="AF28" i="12"/>
  <c r="AF29" i="12"/>
  <c r="AF70" i="12"/>
  <c r="B32" i="12"/>
  <c r="AB70" i="12"/>
  <c r="AC52" i="12"/>
  <c r="AC58" i="12"/>
  <c r="AC59" i="12"/>
  <c r="AC60" i="12"/>
  <c r="AC61" i="12"/>
  <c r="AC62" i="12"/>
  <c r="AC63" i="12"/>
  <c r="AC64" i="12"/>
  <c r="AD70" i="12"/>
  <c r="AE52" i="12"/>
  <c r="AE58" i="12"/>
  <c r="AE59" i="12"/>
  <c r="AE60" i="12"/>
  <c r="AE61" i="12"/>
  <c r="AE62" i="12"/>
  <c r="AE63" i="12"/>
  <c r="AE64" i="12"/>
  <c r="Y24" i="12"/>
  <c r="Y25" i="12"/>
  <c r="H73" i="12"/>
  <c r="AG83" i="1"/>
  <c r="AE83" i="1"/>
  <c r="AC83" i="1"/>
  <c r="AA83" i="1"/>
  <c r="AA7" i="1"/>
  <c r="AA18" i="1"/>
  <c r="AA19" i="1"/>
  <c r="AA20" i="1"/>
  <c r="AA21" i="1"/>
  <c r="AA22" i="1"/>
  <c r="AA23" i="1"/>
  <c r="AA24" i="1"/>
  <c r="AA25" i="1"/>
  <c r="AC7" i="1"/>
  <c r="AC18" i="1"/>
  <c r="AC19" i="1"/>
  <c r="AC20" i="1"/>
  <c r="AC21" i="1"/>
  <c r="AC22" i="1"/>
  <c r="AC23" i="1"/>
  <c r="AC24" i="1"/>
  <c r="AC25" i="1"/>
  <c r="AE7" i="1"/>
  <c r="AE18" i="1"/>
  <c r="AE19" i="1"/>
  <c r="AE20" i="1"/>
  <c r="AE21" i="1"/>
  <c r="AE22" i="1"/>
  <c r="AE23" i="1"/>
  <c r="AE24" i="1"/>
  <c r="AE25" i="1"/>
  <c r="AG18" i="1"/>
  <c r="AG19" i="1"/>
  <c r="AG20" i="1"/>
  <c r="AG21" i="1"/>
  <c r="AG22" i="1"/>
  <c r="AG23" i="1"/>
  <c r="AG24" i="1"/>
  <c r="AG25" i="1"/>
  <c r="B32" i="1"/>
  <c r="Y18" i="1"/>
  <c r="Y19" i="1"/>
  <c r="Y20" i="1"/>
  <c r="Y21" i="1"/>
  <c r="Y22" i="1"/>
  <c r="Y23" i="1"/>
  <c r="Y24" i="1"/>
  <c r="Y25" i="1"/>
  <c r="AA82" i="7"/>
  <c r="AC82" i="7"/>
  <c r="AE82" i="7"/>
  <c r="AG82" i="7"/>
  <c r="AH82" i="7"/>
  <c r="AF82" i="7"/>
  <c r="AG83" i="7"/>
  <c r="AD82" i="7"/>
  <c r="AE83" i="7"/>
  <c r="AB82" i="7"/>
  <c r="AC83" i="7"/>
  <c r="Z82" i="7"/>
  <c r="AA83" i="7"/>
  <c r="E47" i="7"/>
  <c r="E48" i="7"/>
  <c r="E49" i="7"/>
  <c r="E50" i="7"/>
  <c r="E51" i="7"/>
  <c r="F54" i="7"/>
  <c r="E57" i="7"/>
  <c r="E58" i="7"/>
  <c r="F58" i="7"/>
  <c r="E59" i="7"/>
  <c r="F59" i="7"/>
  <c r="E60" i="7"/>
  <c r="F60" i="7"/>
  <c r="E61" i="7"/>
  <c r="F61" i="7"/>
  <c r="E62" i="7"/>
  <c r="F62" i="7"/>
  <c r="E63" i="7"/>
  <c r="F63" i="7"/>
  <c r="E64" i="7"/>
  <c r="F64" i="7"/>
  <c r="E30" i="7"/>
  <c r="E9" i="7"/>
  <c r="H9" i="7"/>
  <c r="E12" i="7"/>
  <c r="H12" i="7"/>
  <c r="E13" i="7"/>
  <c r="H13" i="7"/>
  <c r="E14" i="7"/>
  <c r="H14" i="7"/>
  <c r="E15" i="7"/>
  <c r="H15" i="7"/>
  <c r="E16" i="7"/>
  <c r="H16" i="7"/>
  <c r="E17" i="7"/>
  <c r="H17" i="7"/>
  <c r="E18" i="7"/>
  <c r="H18" i="7"/>
  <c r="E19" i="7"/>
  <c r="H19" i="7"/>
  <c r="E20" i="7"/>
  <c r="H20" i="7"/>
  <c r="E21" i="7"/>
  <c r="H21" i="7"/>
  <c r="E22" i="7"/>
  <c r="H22" i="7"/>
  <c r="E23" i="7"/>
  <c r="H23" i="7"/>
  <c r="E24" i="7"/>
  <c r="H24" i="7"/>
  <c r="E25" i="7"/>
  <c r="H25" i="7"/>
  <c r="E26" i="7"/>
  <c r="H26" i="7"/>
  <c r="E27" i="7"/>
  <c r="H27" i="7"/>
  <c r="E73" i="7"/>
  <c r="Z6" i="7"/>
  <c r="X7" i="7"/>
  <c r="AA7" i="7"/>
  <c r="Z12" i="7"/>
  <c r="Z13" i="7"/>
  <c r="Z14" i="7"/>
  <c r="Z15" i="7"/>
  <c r="Z16" i="7"/>
  <c r="Z17" i="7"/>
  <c r="Z26" i="7"/>
  <c r="Z27" i="7"/>
  <c r="Z28" i="7"/>
  <c r="Z29" i="7"/>
  <c r="X8" i="7"/>
  <c r="X9" i="7"/>
  <c r="X10" i="7"/>
  <c r="X11" i="7"/>
  <c r="Z70" i="7"/>
  <c r="Z42" i="7"/>
  <c r="Z43" i="7"/>
  <c r="Z44" i="7"/>
  <c r="Z45" i="7"/>
  <c r="Z46" i="7"/>
  <c r="Z47" i="7"/>
  <c r="Z48" i="7"/>
  <c r="Z49" i="7"/>
  <c r="Z50" i="7"/>
  <c r="Z51" i="7"/>
  <c r="Z52" i="7"/>
  <c r="Z58" i="7"/>
  <c r="Z59" i="7"/>
  <c r="Z60" i="7"/>
  <c r="Z61" i="7"/>
  <c r="Z62" i="7"/>
  <c r="Z63" i="7"/>
  <c r="Z64" i="7"/>
  <c r="AB6" i="7"/>
  <c r="AC7" i="7"/>
  <c r="AB12" i="7"/>
  <c r="AB13" i="7"/>
  <c r="AB14" i="7"/>
  <c r="AB15" i="7"/>
  <c r="AB16" i="7"/>
  <c r="AB17" i="7"/>
  <c r="AB26" i="7"/>
  <c r="AB27" i="7"/>
  <c r="AB28" i="7"/>
  <c r="AB29" i="7"/>
  <c r="AB70" i="7"/>
  <c r="AB42" i="7"/>
  <c r="AB43" i="7"/>
  <c r="AB44" i="7"/>
  <c r="AB45" i="7"/>
  <c r="AB46" i="7"/>
  <c r="AB47" i="7"/>
  <c r="AB48" i="7"/>
  <c r="AB49" i="7"/>
  <c r="AB50" i="7"/>
  <c r="AB51" i="7"/>
  <c r="AB52" i="7"/>
  <c r="AB58" i="7"/>
  <c r="AB59" i="7"/>
  <c r="AB60" i="7"/>
  <c r="AB61" i="7"/>
  <c r="AB62" i="7"/>
  <c r="AB63" i="7"/>
  <c r="AB64" i="7"/>
  <c r="AD6" i="7"/>
  <c r="AE7" i="7"/>
  <c r="AD12" i="7"/>
  <c r="AD13" i="7"/>
  <c r="AD14" i="7"/>
  <c r="AD15" i="7"/>
  <c r="AD16" i="7"/>
  <c r="AD17" i="7"/>
  <c r="AD26" i="7"/>
  <c r="AD27" i="7"/>
  <c r="AD28" i="7"/>
  <c r="AD29" i="7"/>
  <c r="AD70" i="7"/>
  <c r="AD42" i="7"/>
  <c r="AD43" i="7"/>
  <c r="AD44" i="7"/>
  <c r="AD45" i="7"/>
  <c r="AD46" i="7"/>
  <c r="AD47" i="7"/>
  <c r="AD48" i="7"/>
  <c r="AD49" i="7"/>
  <c r="AD50" i="7"/>
  <c r="AD51" i="7"/>
  <c r="AD52" i="7"/>
  <c r="AD58" i="7"/>
  <c r="AD59" i="7"/>
  <c r="AD60" i="7"/>
  <c r="AD61" i="7"/>
  <c r="AD62" i="7"/>
  <c r="AD63" i="7"/>
  <c r="AD64" i="7"/>
  <c r="AF42" i="7"/>
  <c r="AF43" i="7"/>
  <c r="AF44" i="7"/>
  <c r="AF45" i="7"/>
  <c r="AF46" i="7"/>
  <c r="AF47" i="7"/>
  <c r="AF48" i="7"/>
  <c r="AF49" i="7"/>
  <c r="AF50" i="7"/>
  <c r="AF51" i="7"/>
  <c r="AF52" i="7"/>
  <c r="AF58" i="7"/>
  <c r="AF59" i="7"/>
  <c r="AF60" i="7"/>
  <c r="AF61" i="7"/>
  <c r="AF62" i="7"/>
  <c r="AF63" i="7"/>
  <c r="AF64" i="7"/>
  <c r="AF6" i="7"/>
  <c r="AF12" i="7"/>
  <c r="AF13" i="7"/>
  <c r="AF14" i="7"/>
  <c r="AF15" i="7"/>
  <c r="AF16" i="7"/>
  <c r="AF17" i="7"/>
  <c r="AF26" i="7"/>
  <c r="AF27" i="7"/>
  <c r="AF28" i="7"/>
  <c r="AF29" i="7"/>
  <c r="AF70" i="7"/>
  <c r="B32" i="7"/>
  <c r="H73" i="7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53" i="7"/>
  <c r="D54" i="7"/>
  <c r="D55" i="7"/>
  <c r="D56" i="7"/>
  <c r="D57" i="7"/>
  <c r="D58" i="7"/>
  <c r="D59" i="7"/>
  <c r="D60" i="7"/>
  <c r="D61" i="7"/>
  <c r="D62" i="7"/>
  <c r="D63" i="7"/>
  <c r="D64" i="7"/>
  <c r="D53" i="12"/>
  <c r="D54" i="12"/>
  <c r="D55" i="12"/>
  <c r="D56" i="12"/>
  <c r="D57" i="12"/>
  <c r="D58" i="12"/>
  <c r="D59" i="12"/>
  <c r="D60" i="12"/>
  <c r="D61" i="12"/>
  <c r="D62" i="12"/>
  <c r="D63" i="12"/>
  <c r="D64" i="12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48" i="1"/>
  <c r="E25" i="8"/>
  <c r="H25" i="8"/>
  <c r="E26" i="8"/>
  <c r="H26" i="8"/>
  <c r="E27" i="8"/>
  <c r="H27" i="8"/>
  <c r="E47" i="8"/>
  <c r="E48" i="8"/>
  <c r="E49" i="8"/>
  <c r="E50" i="8"/>
  <c r="E51" i="8"/>
  <c r="F54" i="8"/>
  <c r="E57" i="8"/>
  <c r="E58" i="8"/>
  <c r="F58" i="8"/>
  <c r="E59" i="8"/>
  <c r="F59" i="8"/>
  <c r="E60" i="8"/>
  <c r="F60" i="8"/>
  <c r="E61" i="8"/>
  <c r="F61" i="8"/>
  <c r="E62" i="8"/>
  <c r="F62" i="8"/>
  <c r="E63" i="8"/>
  <c r="F63" i="8"/>
  <c r="E64" i="8"/>
  <c r="F64" i="8"/>
  <c r="E30" i="8"/>
  <c r="E9" i="8"/>
  <c r="H9" i="8"/>
  <c r="E12" i="8"/>
  <c r="H12" i="8"/>
  <c r="E13" i="8"/>
  <c r="H13" i="8"/>
  <c r="E14" i="8"/>
  <c r="H14" i="8"/>
  <c r="E15" i="8"/>
  <c r="H15" i="8"/>
  <c r="E16" i="8"/>
  <c r="H16" i="8"/>
  <c r="E17" i="8"/>
  <c r="H17" i="8"/>
  <c r="E18" i="8"/>
  <c r="H18" i="8"/>
  <c r="E19" i="8"/>
  <c r="H19" i="8"/>
  <c r="E20" i="8"/>
  <c r="H20" i="8"/>
  <c r="E21" i="8"/>
  <c r="H21" i="8"/>
  <c r="E22" i="8"/>
  <c r="H22" i="8"/>
  <c r="E23" i="8"/>
  <c r="H23" i="8"/>
  <c r="E24" i="8"/>
  <c r="H24" i="8"/>
  <c r="E73" i="8"/>
  <c r="A38" i="8"/>
  <c r="A92" i="8"/>
  <c r="A39" i="8"/>
  <c r="A93" i="8"/>
  <c r="A40" i="8"/>
  <c r="A94" i="8"/>
  <c r="A41" i="8"/>
  <c r="A95" i="8"/>
  <c r="A42" i="8"/>
  <c r="A96" i="8"/>
  <c r="A43" i="8"/>
  <c r="A97" i="8"/>
  <c r="A44" i="8"/>
  <c r="A98" i="8"/>
  <c r="A45" i="8"/>
  <c r="A99" i="8"/>
  <c r="A46" i="8"/>
  <c r="A100" i="8"/>
  <c r="A47" i="8"/>
  <c r="A101" i="8"/>
  <c r="A48" i="8"/>
  <c r="A102" i="8"/>
  <c r="A49" i="8"/>
  <c r="A103" i="8"/>
  <c r="A50" i="8"/>
  <c r="A104" i="8"/>
  <c r="A51" i="8"/>
  <c r="A105" i="8"/>
  <c r="A52" i="8"/>
  <c r="A106" i="8"/>
  <c r="A53" i="8"/>
  <c r="A107" i="8"/>
  <c r="A54" i="8"/>
  <c r="A108" i="8"/>
  <c r="A55" i="8"/>
  <c r="A109" i="8"/>
  <c r="A56" i="8"/>
  <c r="A110" i="8"/>
  <c r="A57" i="8"/>
  <c r="A111" i="8"/>
  <c r="A58" i="8"/>
  <c r="A112" i="8"/>
  <c r="A59" i="8"/>
  <c r="A113" i="8"/>
  <c r="A60" i="8"/>
  <c r="A114" i="8"/>
  <c r="A61" i="8"/>
  <c r="A115" i="8"/>
  <c r="A62" i="8"/>
  <c r="A116" i="8"/>
  <c r="A63" i="8"/>
  <c r="A117" i="8"/>
  <c r="A64" i="8"/>
  <c r="A118" i="8"/>
  <c r="H53" i="8"/>
  <c r="I53" i="8"/>
  <c r="B65" i="8"/>
  <c r="K53" i="8"/>
  <c r="L53" i="8"/>
  <c r="H54" i="8"/>
  <c r="I54" i="8"/>
  <c r="K54" i="8"/>
  <c r="L54" i="8"/>
  <c r="H55" i="8"/>
  <c r="I55" i="8"/>
  <c r="K55" i="8"/>
  <c r="L55" i="8"/>
  <c r="H56" i="8"/>
  <c r="I56" i="8"/>
  <c r="K56" i="8"/>
  <c r="L56" i="8"/>
  <c r="H57" i="8"/>
  <c r="I57" i="8"/>
  <c r="K57" i="8"/>
  <c r="L57" i="8"/>
  <c r="H58" i="8"/>
  <c r="I58" i="8"/>
  <c r="K58" i="8"/>
  <c r="L58" i="8"/>
  <c r="H59" i="8"/>
  <c r="I59" i="8"/>
  <c r="K59" i="8"/>
  <c r="L59" i="8"/>
  <c r="H60" i="8"/>
  <c r="I60" i="8"/>
  <c r="K60" i="8"/>
  <c r="L60" i="8"/>
  <c r="H61" i="8"/>
  <c r="I61" i="8"/>
  <c r="K61" i="8"/>
  <c r="L61" i="8"/>
  <c r="H62" i="8"/>
  <c r="I62" i="8"/>
  <c r="K62" i="8"/>
  <c r="L62" i="8"/>
  <c r="H63" i="8"/>
  <c r="I63" i="8"/>
  <c r="K63" i="8"/>
  <c r="L63" i="8"/>
  <c r="H64" i="8"/>
  <c r="I64" i="8"/>
  <c r="K64" i="8"/>
  <c r="L64" i="8"/>
  <c r="A18" i="8"/>
  <c r="A19" i="8"/>
  <c r="A20" i="8"/>
  <c r="A21" i="8"/>
  <c r="A22" i="8"/>
  <c r="A23" i="8"/>
  <c r="A24" i="8"/>
  <c r="A25" i="8"/>
  <c r="H38" i="7"/>
  <c r="D38" i="7"/>
  <c r="I38" i="7"/>
  <c r="B65" i="7"/>
  <c r="K38" i="7"/>
  <c r="L38" i="7"/>
  <c r="H39" i="7"/>
  <c r="D39" i="7"/>
  <c r="I39" i="7"/>
  <c r="K39" i="7"/>
  <c r="L39" i="7"/>
  <c r="H40" i="7"/>
  <c r="D40" i="7"/>
  <c r="I40" i="7"/>
  <c r="K40" i="7"/>
  <c r="L40" i="7"/>
  <c r="H41" i="7"/>
  <c r="D41" i="7"/>
  <c r="I41" i="7"/>
  <c r="K41" i="7"/>
  <c r="L41" i="7"/>
  <c r="H42" i="7"/>
  <c r="D42" i="7"/>
  <c r="I42" i="7"/>
  <c r="K42" i="7"/>
  <c r="L42" i="7"/>
  <c r="H43" i="7"/>
  <c r="D43" i="7"/>
  <c r="I43" i="7"/>
  <c r="K43" i="7"/>
  <c r="L43" i="7"/>
  <c r="H44" i="7"/>
  <c r="D44" i="7"/>
  <c r="I44" i="7"/>
  <c r="K44" i="7"/>
  <c r="L44" i="7"/>
  <c r="H45" i="7"/>
  <c r="D45" i="7"/>
  <c r="I45" i="7"/>
  <c r="K45" i="7"/>
  <c r="L45" i="7"/>
  <c r="H46" i="7"/>
  <c r="D46" i="7"/>
  <c r="I46" i="7"/>
  <c r="K46" i="7"/>
  <c r="L46" i="7"/>
  <c r="H47" i="7"/>
  <c r="D47" i="7"/>
  <c r="I47" i="7"/>
  <c r="K47" i="7"/>
  <c r="L47" i="7"/>
  <c r="H48" i="7"/>
  <c r="D48" i="7"/>
  <c r="I48" i="7"/>
  <c r="K48" i="7"/>
  <c r="L48" i="7"/>
  <c r="H49" i="7"/>
  <c r="D49" i="7"/>
  <c r="I49" i="7"/>
  <c r="K49" i="7"/>
  <c r="L49" i="7"/>
  <c r="H50" i="7"/>
  <c r="D50" i="7"/>
  <c r="I50" i="7"/>
  <c r="K50" i="7"/>
  <c r="L50" i="7"/>
  <c r="H51" i="7"/>
  <c r="D51" i="7"/>
  <c r="I51" i="7"/>
  <c r="K51" i="7"/>
  <c r="L51" i="7"/>
  <c r="H52" i="7"/>
  <c r="D52" i="7"/>
  <c r="I52" i="7"/>
  <c r="K52" i="7"/>
  <c r="L52" i="7"/>
  <c r="H53" i="7"/>
  <c r="I53" i="7"/>
  <c r="K53" i="7"/>
  <c r="L53" i="7"/>
  <c r="H54" i="7"/>
  <c r="I54" i="7"/>
  <c r="K54" i="7"/>
  <c r="L54" i="7"/>
  <c r="H55" i="7"/>
  <c r="I55" i="7"/>
  <c r="K55" i="7"/>
  <c r="L55" i="7"/>
  <c r="H56" i="7"/>
  <c r="I56" i="7"/>
  <c r="K56" i="7"/>
  <c r="L56" i="7"/>
  <c r="H57" i="7"/>
  <c r="I57" i="7"/>
  <c r="K57" i="7"/>
  <c r="L57" i="7"/>
  <c r="H58" i="7"/>
  <c r="I58" i="7"/>
  <c r="K58" i="7"/>
  <c r="L58" i="7"/>
  <c r="H59" i="7"/>
  <c r="I59" i="7"/>
  <c r="K59" i="7"/>
  <c r="L59" i="7"/>
  <c r="H60" i="7"/>
  <c r="I60" i="7"/>
  <c r="K60" i="7"/>
  <c r="L60" i="7"/>
  <c r="H61" i="7"/>
  <c r="I61" i="7"/>
  <c r="K61" i="7"/>
  <c r="L61" i="7"/>
  <c r="H62" i="7"/>
  <c r="I62" i="7"/>
  <c r="K62" i="7"/>
  <c r="L62" i="7"/>
  <c r="H63" i="7"/>
  <c r="I63" i="7"/>
  <c r="K63" i="7"/>
  <c r="L63" i="7"/>
  <c r="H64" i="7"/>
  <c r="I64" i="7"/>
  <c r="K64" i="7"/>
  <c r="L64" i="7"/>
  <c r="A38" i="7"/>
  <c r="A92" i="7"/>
  <c r="A39" i="7"/>
  <c r="A93" i="7"/>
  <c r="A40" i="7"/>
  <c r="A94" i="7"/>
  <c r="A41" i="7"/>
  <c r="A95" i="7"/>
  <c r="A42" i="7"/>
  <c r="A96" i="7"/>
  <c r="A43" i="7"/>
  <c r="A97" i="7"/>
  <c r="A44" i="7"/>
  <c r="A98" i="7"/>
  <c r="A45" i="7"/>
  <c r="A99" i="7"/>
  <c r="A46" i="7"/>
  <c r="A100" i="7"/>
  <c r="A47" i="7"/>
  <c r="A101" i="7"/>
  <c r="A48" i="7"/>
  <c r="A102" i="7"/>
  <c r="A49" i="7"/>
  <c r="A103" i="7"/>
  <c r="A50" i="7"/>
  <c r="A104" i="7"/>
  <c r="A51" i="7"/>
  <c r="A105" i="7"/>
  <c r="A52" i="7"/>
  <c r="A106" i="7"/>
  <c r="A53" i="7"/>
  <c r="A107" i="7"/>
  <c r="A54" i="7"/>
  <c r="A108" i="7"/>
  <c r="A55" i="7"/>
  <c r="A109" i="7"/>
  <c r="A56" i="7"/>
  <c r="A110" i="7"/>
  <c r="A57" i="7"/>
  <c r="A111" i="7"/>
  <c r="A58" i="7"/>
  <c r="A112" i="7"/>
  <c r="A59" i="7"/>
  <c r="A113" i="7"/>
  <c r="A60" i="7"/>
  <c r="A114" i="7"/>
  <c r="A61" i="7"/>
  <c r="A115" i="7"/>
  <c r="A62" i="7"/>
  <c r="A116" i="7"/>
  <c r="A63" i="7"/>
  <c r="A117" i="7"/>
  <c r="A64" i="7"/>
  <c r="A118" i="7"/>
  <c r="A18" i="7"/>
  <c r="A19" i="7"/>
  <c r="A20" i="7"/>
  <c r="A21" i="7"/>
  <c r="A22" i="7"/>
  <c r="A23" i="7"/>
  <c r="A24" i="7"/>
  <c r="A25" i="7"/>
  <c r="J53" i="12"/>
  <c r="J54" i="12"/>
  <c r="J55" i="12"/>
  <c r="J56" i="12"/>
  <c r="J57" i="12"/>
  <c r="A53" i="12"/>
  <c r="A107" i="12"/>
  <c r="A54" i="12"/>
  <c r="A108" i="12"/>
  <c r="A55" i="12"/>
  <c r="A109" i="12"/>
  <c r="A56" i="12"/>
  <c r="A110" i="12"/>
  <c r="A57" i="12"/>
  <c r="A111" i="12"/>
  <c r="A58" i="12"/>
  <c r="A112" i="12"/>
  <c r="A59" i="12"/>
  <c r="A113" i="12"/>
  <c r="A60" i="12"/>
  <c r="A114" i="12"/>
  <c r="A61" i="12"/>
  <c r="A115" i="12"/>
  <c r="A62" i="12"/>
  <c r="A116" i="12"/>
  <c r="A63" i="12"/>
  <c r="A117" i="12"/>
  <c r="A64" i="12"/>
  <c r="A118" i="12"/>
  <c r="H38" i="12"/>
  <c r="D38" i="12"/>
  <c r="I38" i="12"/>
  <c r="B65" i="12"/>
  <c r="K38" i="12"/>
  <c r="L38" i="12"/>
  <c r="H39" i="12"/>
  <c r="D39" i="12"/>
  <c r="I39" i="12"/>
  <c r="K39" i="12"/>
  <c r="L39" i="12"/>
  <c r="H40" i="12"/>
  <c r="D40" i="12"/>
  <c r="I40" i="12"/>
  <c r="K40" i="12"/>
  <c r="L40" i="12"/>
  <c r="H41" i="12"/>
  <c r="D41" i="12"/>
  <c r="I41" i="12"/>
  <c r="K41" i="12"/>
  <c r="L41" i="12"/>
  <c r="H42" i="12"/>
  <c r="D42" i="12"/>
  <c r="I42" i="12"/>
  <c r="K42" i="12"/>
  <c r="L42" i="12"/>
  <c r="H43" i="12"/>
  <c r="D43" i="12"/>
  <c r="I43" i="12"/>
  <c r="K43" i="12"/>
  <c r="L43" i="12"/>
  <c r="H44" i="12"/>
  <c r="D44" i="12"/>
  <c r="I44" i="12"/>
  <c r="K44" i="12"/>
  <c r="L44" i="12"/>
  <c r="H45" i="12"/>
  <c r="D45" i="12"/>
  <c r="I45" i="12"/>
  <c r="K45" i="12"/>
  <c r="L45" i="12"/>
  <c r="H46" i="12"/>
  <c r="D46" i="12"/>
  <c r="I46" i="12"/>
  <c r="K46" i="12"/>
  <c r="L46" i="12"/>
  <c r="H47" i="12"/>
  <c r="D47" i="12"/>
  <c r="I47" i="12"/>
  <c r="K47" i="12"/>
  <c r="L47" i="12"/>
  <c r="H48" i="12"/>
  <c r="D48" i="12"/>
  <c r="I48" i="12"/>
  <c r="K48" i="12"/>
  <c r="L48" i="12"/>
  <c r="H49" i="12"/>
  <c r="D49" i="12"/>
  <c r="I49" i="12"/>
  <c r="K49" i="12"/>
  <c r="L49" i="12"/>
  <c r="H50" i="12"/>
  <c r="D50" i="12"/>
  <c r="I50" i="12"/>
  <c r="K50" i="12"/>
  <c r="L50" i="12"/>
  <c r="H51" i="12"/>
  <c r="D51" i="12"/>
  <c r="I51" i="12"/>
  <c r="K51" i="12"/>
  <c r="L51" i="12"/>
  <c r="H52" i="12"/>
  <c r="D52" i="12"/>
  <c r="I52" i="12"/>
  <c r="K52" i="12"/>
  <c r="L52" i="12"/>
  <c r="M52" i="12"/>
  <c r="H53" i="12"/>
  <c r="I53" i="12"/>
  <c r="K53" i="12"/>
  <c r="L53" i="12"/>
  <c r="M53" i="12"/>
  <c r="H54" i="12"/>
  <c r="I54" i="12"/>
  <c r="K54" i="12"/>
  <c r="L54" i="12"/>
  <c r="M54" i="12"/>
  <c r="H55" i="12"/>
  <c r="I55" i="12"/>
  <c r="K55" i="12"/>
  <c r="L55" i="12"/>
  <c r="M55" i="12"/>
  <c r="H56" i="12"/>
  <c r="I56" i="12"/>
  <c r="K56" i="12"/>
  <c r="L56" i="12"/>
  <c r="M56" i="12"/>
  <c r="H57" i="12"/>
  <c r="I57" i="12"/>
  <c r="K57" i="12"/>
  <c r="L57" i="12"/>
  <c r="M57" i="12"/>
  <c r="H58" i="12"/>
  <c r="I58" i="12"/>
  <c r="K58" i="12"/>
  <c r="L58" i="12"/>
  <c r="M58" i="12"/>
  <c r="H59" i="12"/>
  <c r="I59" i="12"/>
  <c r="K59" i="12"/>
  <c r="L59" i="12"/>
  <c r="M59" i="12"/>
  <c r="H60" i="12"/>
  <c r="I60" i="12"/>
  <c r="K60" i="12"/>
  <c r="L60" i="12"/>
  <c r="M60" i="12"/>
  <c r="H61" i="12"/>
  <c r="I61" i="12"/>
  <c r="K61" i="12"/>
  <c r="L61" i="12"/>
  <c r="M61" i="12"/>
  <c r="H62" i="12"/>
  <c r="I62" i="12"/>
  <c r="K62" i="12"/>
  <c r="L62" i="12"/>
  <c r="M62" i="12"/>
  <c r="H63" i="12"/>
  <c r="I63" i="12"/>
  <c r="K63" i="12"/>
  <c r="L63" i="12"/>
  <c r="M63" i="12"/>
  <c r="H64" i="12"/>
  <c r="I64" i="12"/>
  <c r="K64" i="12"/>
  <c r="L64" i="12"/>
  <c r="M64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16" i="12"/>
  <c r="A17" i="12"/>
  <c r="A18" i="12"/>
  <c r="A19" i="12"/>
  <c r="A20" i="12"/>
  <c r="A21" i="12"/>
  <c r="A22" i="12"/>
  <c r="A23" i="12"/>
  <c r="A24" i="12"/>
  <c r="A25" i="12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H50" i="1"/>
  <c r="I50" i="1"/>
  <c r="B65" i="1"/>
  <c r="K50" i="1"/>
  <c r="L50" i="1"/>
  <c r="H51" i="1"/>
  <c r="I51" i="1"/>
  <c r="K51" i="1"/>
  <c r="L51" i="1"/>
  <c r="H52" i="1"/>
  <c r="I52" i="1"/>
  <c r="K52" i="1"/>
  <c r="L52" i="1"/>
  <c r="H53" i="1"/>
  <c r="I53" i="1"/>
  <c r="K53" i="1"/>
  <c r="L53" i="1"/>
  <c r="H54" i="1"/>
  <c r="I54" i="1"/>
  <c r="K54" i="1"/>
  <c r="L54" i="1"/>
  <c r="H55" i="1"/>
  <c r="I55" i="1"/>
  <c r="K55" i="1"/>
  <c r="L55" i="1"/>
  <c r="H56" i="1"/>
  <c r="I56" i="1"/>
  <c r="K56" i="1"/>
  <c r="L56" i="1"/>
  <c r="H57" i="1"/>
  <c r="I57" i="1"/>
  <c r="K57" i="1"/>
  <c r="L57" i="1"/>
  <c r="H58" i="1"/>
  <c r="I58" i="1"/>
  <c r="K58" i="1"/>
  <c r="L58" i="1"/>
  <c r="H59" i="1"/>
  <c r="I59" i="1"/>
  <c r="K59" i="1"/>
  <c r="L59" i="1"/>
  <c r="H60" i="1"/>
  <c r="I60" i="1"/>
  <c r="K60" i="1"/>
  <c r="L60" i="1"/>
  <c r="H61" i="1"/>
  <c r="I61" i="1"/>
  <c r="K61" i="1"/>
  <c r="L61" i="1"/>
  <c r="H62" i="1"/>
  <c r="I62" i="1"/>
  <c r="K62" i="1"/>
  <c r="L62" i="1"/>
  <c r="H63" i="1"/>
  <c r="I63" i="1"/>
  <c r="K63" i="1"/>
  <c r="L63" i="1"/>
  <c r="H64" i="1"/>
  <c r="I64" i="1"/>
  <c r="K64" i="1"/>
  <c r="L64" i="1"/>
  <c r="AF25" i="1"/>
  <c r="AH25" i="1"/>
  <c r="AI25" i="1"/>
  <c r="AJ25" i="1"/>
  <c r="AK25" i="1"/>
  <c r="AF24" i="1"/>
  <c r="AH24" i="1"/>
  <c r="AI24" i="1"/>
  <c r="AJ24" i="1"/>
  <c r="AK24" i="1"/>
  <c r="AF21" i="1"/>
  <c r="AH21" i="1"/>
  <c r="AI21" i="1"/>
  <c r="AJ21" i="1"/>
  <c r="AK21" i="1"/>
  <c r="AF22" i="1"/>
  <c r="AH22" i="1"/>
  <c r="AI22" i="1"/>
  <c r="AJ22" i="1"/>
  <c r="AK22" i="1"/>
  <c r="AF23" i="1"/>
  <c r="AH23" i="1"/>
  <c r="AI23" i="1"/>
  <c r="AJ23" i="1"/>
  <c r="AK23" i="1"/>
  <c r="AF18" i="1"/>
  <c r="AH18" i="1"/>
  <c r="AI18" i="1"/>
  <c r="AJ18" i="1"/>
  <c r="AK18" i="1"/>
  <c r="AF19" i="1"/>
  <c r="AH19" i="1"/>
  <c r="AI19" i="1"/>
  <c r="AJ19" i="1"/>
  <c r="AK19" i="1"/>
  <c r="AF20" i="1"/>
  <c r="AH20" i="1"/>
  <c r="AI20" i="1"/>
  <c r="AJ20" i="1"/>
  <c r="AK20" i="1"/>
  <c r="K130" i="12"/>
  <c r="I130" i="12"/>
  <c r="I127" i="12"/>
  <c r="K126" i="12"/>
  <c r="I126" i="12"/>
  <c r="K125" i="12"/>
  <c r="I125" i="12"/>
  <c r="K124" i="12"/>
  <c r="K130" i="1"/>
  <c r="I130" i="1"/>
  <c r="K129" i="1"/>
  <c r="I127" i="1"/>
  <c r="K126" i="1"/>
  <c r="I126" i="1"/>
  <c r="K125" i="1"/>
  <c r="I125" i="1"/>
  <c r="K124" i="1"/>
  <c r="B74" i="1"/>
  <c r="B76" i="1"/>
  <c r="F91" i="9"/>
  <c r="AG82" i="1"/>
  <c r="AE82" i="1"/>
  <c r="AC82" i="1"/>
  <c r="AA82" i="1"/>
  <c r="AH82" i="1"/>
  <c r="H73" i="8"/>
  <c r="I92" i="9"/>
  <c r="H92" i="9"/>
  <c r="H73" i="1"/>
  <c r="G92" i="9"/>
  <c r="F92" i="9"/>
  <c r="E92" i="9"/>
  <c r="E88" i="9"/>
  <c r="E101" i="9"/>
  <c r="D92" i="9"/>
  <c r="D88" i="9"/>
  <c r="D101" i="9"/>
  <c r="C92" i="9"/>
  <c r="C88" i="9"/>
  <c r="C101" i="9"/>
  <c r="B92" i="9"/>
  <c r="B88" i="9"/>
  <c r="B101" i="9"/>
  <c r="I91" i="9"/>
  <c r="H91" i="9"/>
  <c r="G91" i="9"/>
  <c r="E91" i="9"/>
  <c r="E100" i="9"/>
  <c r="D91" i="9"/>
  <c r="D100" i="9"/>
  <c r="C91" i="9"/>
  <c r="C100" i="9"/>
  <c r="B91" i="9"/>
  <c r="B100" i="9"/>
  <c r="I90" i="9"/>
  <c r="H90" i="9"/>
  <c r="G90" i="9"/>
  <c r="F90" i="9"/>
  <c r="E90" i="9"/>
  <c r="E99" i="9"/>
  <c r="D90" i="9"/>
  <c r="D99" i="9"/>
  <c r="C90" i="9"/>
  <c r="C99" i="9"/>
  <c r="B90" i="9"/>
  <c r="B99" i="9"/>
  <c r="I89" i="9"/>
  <c r="H89" i="9"/>
  <c r="G89" i="9"/>
  <c r="F89" i="9"/>
  <c r="E89" i="9"/>
  <c r="E98" i="9"/>
  <c r="D89" i="9"/>
  <c r="D98" i="9"/>
  <c r="C89" i="9"/>
  <c r="C98" i="9"/>
  <c r="B89" i="9"/>
  <c r="B98" i="9"/>
  <c r="I95" i="9"/>
  <c r="I96" i="9"/>
  <c r="H95" i="9"/>
  <c r="H96" i="9"/>
  <c r="G95" i="9"/>
  <c r="G96" i="9"/>
  <c r="F95" i="9"/>
  <c r="F96" i="9"/>
  <c r="A95" i="9"/>
  <c r="A96" i="9"/>
  <c r="A91" i="9"/>
  <c r="A92" i="9"/>
  <c r="B76" i="7"/>
  <c r="K71" i="7"/>
  <c r="L71" i="7"/>
  <c r="I126" i="7"/>
  <c r="I72" i="7"/>
  <c r="K72" i="7"/>
  <c r="L72" i="7"/>
  <c r="B76" i="12"/>
  <c r="K71" i="12"/>
  <c r="L71" i="12"/>
  <c r="I72" i="12"/>
  <c r="K72" i="12"/>
  <c r="L72" i="12"/>
  <c r="I71" i="1"/>
  <c r="K71" i="1"/>
  <c r="L71" i="1"/>
  <c r="I72" i="1"/>
  <c r="K72" i="1"/>
  <c r="L72" i="1"/>
  <c r="I130" i="8"/>
  <c r="I130" i="7"/>
  <c r="I127" i="7"/>
  <c r="K125" i="7"/>
  <c r="K126" i="7"/>
  <c r="K125" i="8"/>
  <c r="K126" i="8"/>
  <c r="B31" i="12"/>
  <c r="B31" i="7"/>
  <c r="B31" i="8"/>
  <c r="B31" i="1"/>
  <c r="D41" i="1"/>
  <c r="A9" i="7"/>
  <c r="A6" i="7"/>
  <c r="B22" i="13"/>
  <c r="D22" i="13"/>
  <c r="E22" i="13"/>
  <c r="B23" i="13"/>
  <c r="B107" i="13"/>
  <c r="B109" i="13"/>
  <c r="H30" i="12"/>
  <c r="H43" i="8"/>
  <c r="H39" i="1"/>
  <c r="D39" i="1"/>
  <c r="I39" i="1"/>
  <c r="H40" i="1"/>
  <c r="D40" i="1"/>
  <c r="I40" i="1"/>
  <c r="H44" i="1"/>
  <c r="H45" i="1"/>
  <c r="K45" i="1"/>
  <c r="L45" i="1"/>
  <c r="H46" i="1"/>
  <c r="D47" i="1"/>
  <c r="H47" i="1"/>
  <c r="I47" i="1"/>
  <c r="H49" i="1"/>
  <c r="A7" i="8"/>
  <c r="A9" i="12"/>
  <c r="A11" i="7"/>
  <c r="A15" i="7"/>
  <c r="A17" i="8"/>
  <c r="A28" i="12"/>
  <c r="AE109" i="13"/>
  <c r="B118" i="13"/>
  <c r="AK2" i="8"/>
  <c r="AJ2" i="8"/>
  <c r="AF2" i="8"/>
  <c r="AD2" i="8"/>
  <c r="AB2" i="8"/>
  <c r="Z2" i="8"/>
  <c r="AK2" i="7"/>
  <c r="AJ2" i="7"/>
  <c r="AF2" i="7"/>
  <c r="AD2" i="7"/>
  <c r="AB2" i="7"/>
  <c r="Z2" i="7"/>
  <c r="AK2" i="12"/>
  <c r="AJ2" i="12"/>
  <c r="AF2" i="12"/>
  <c r="AD2" i="12"/>
  <c r="AB2" i="12"/>
  <c r="Z2" i="12"/>
  <c r="X7" i="8"/>
  <c r="AC7" i="8"/>
  <c r="X11" i="8"/>
  <c r="X41" i="8"/>
  <c r="X9" i="8"/>
  <c r="X40" i="8"/>
  <c r="X8" i="8"/>
  <c r="X39" i="8"/>
  <c r="X41" i="7"/>
  <c r="X40" i="7"/>
  <c r="X39" i="7"/>
  <c r="X41" i="12"/>
  <c r="X40" i="12"/>
  <c r="AG82" i="8"/>
  <c r="AE82" i="8"/>
  <c r="AC82" i="8"/>
  <c r="AA82" i="8"/>
  <c r="AH82" i="8"/>
  <c r="Z82" i="8"/>
  <c r="AD73" i="8"/>
  <c r="AB73" i="8"/>
  <c r="Z73" i="8"/>
  <c r="AF73" i="1"/>
  <c r="AF73" i="8"/>
  <c r="AH73" i="8"/>
  <c r="AF70" i="1"/>
  <c r="AF70" i="8"/>
  <c r="AD70" i="8"/>
  <c r="AB70" i="8"/>
  <c r="Z70" i="8"/>
  <c r="AH70" i="8"/>
  <c r="AD64" i="8"/>
  <c r="AB64" i="8"/>
  <c r="Z64" i="8"/>
  <c r="AF64" i="8"/>
  <c r="AD63" i="8"/>
  <c r="AB63" i="8"/>
  <c r="Z63" i="8"/>
  <c r="AD62" i="8"/>
  <c r="AB62" i="8"/>
  <c r="Z62" i="8"/>
  <c r="AD61" i="8"/>
  <c r="AB61" i="8"/>
  <c r="Z61" i="8"/>
  <c r="AD60" i="8"/>
  <c r="AB60" i="8"/>
  <c r="Z60" i="8"/>
  <c r="AD59" i="8"/>
  <c r="AB59" i="8"/>
  <c r="Z59" i="8"/>
  <c r="AD58" i="8"/>
  <c r="AB58" i="8"/>
  <c r="Z58" i="8"/>
  <c r="AD52" i="8"/>
  <c r="AB52" i="8"/>
  <c r="Z52" i="8"/>
  <c r="AF52" i="8"/>
  <c r="AD51" i="8"/>
  <c r="AB51" i="8"/>
  <c r="Z51" i="8"/>
  <c r="AD50" i="8"/>
  <c r="AB50" i="8"/>
  <c r="Z50" i="8"/>
  <c r="AD49" i="8"/>
  <c r="AB49" i="8"/>
  <c r="Z49" i="8"/>
  <c r="AD48" i="8"/>
  <c r="AB48" i="8"/>
  <c r="Z48" i="8"/>
  <c r="AD47" i="8"/>
  <c r="AB47" i="8"/>
  <c r="Z47" i="8"/>
  <c r="AD46" i="8"/>
  <c r="AB46" i="8"/>
  <c r="Z46" i="8"/>
  <c r="AD45" i="8"/>
  <c r="AB45" i="8"/>
  <c r="Z45" i="8"/>
  <c r="AD44" i="8"/>
  <c r="AB44" i="8"/>
  <c r="Z44" i="8"/>
  <c r="AD43" i="8"/>
  <c r="AB43" i="8"/>
  <c r="Z43" i="8"/>
  <c r="AD42" i="8"/>
  <c r="AB42" i="8"/>
  <c r="Z42" i="8"/>
  <c r="AD29" i="8"/>
  <c r="AB29" i="8"/>
  <c r="Z29" i="8"/>
  <c r="AD28" i="8"/>
  <c r="AB28" i="8"/>
  <c r="Z28" i="8"/>
  <c r="AD27" i="8"/>
  <c r="AB27" i="8"/>
  <c r="Z27" i="8"/>
  <c r="AD26" i="8"/>
  <c r="AB26" i="8"/>
  <c r="Z26" i="8"/>
  <c r="AD17" i="8"/>
  <c r="Z17" i="8"/>
  <c r="AB17" i="8"/>
  <c r="AF17" i="8"/>
  <c r="AD16" i="8"/>
  <c r="AB16" i="8"/>
  <c r="Z16" i="8"/>
  <c r="AF16" i="8"/>
  <c r="AD15" i="8"/>
  <c r="AB15" i="8"/>
  <c r="Z15" i="8"/>
  <c r="AD14" i="8"/>
  <c r="AB14" i="8"/>
  <c r="Z14" i="8"/>
  <c r="AD13" i="8"/>
  <c r="AB13" i="8"/>
  <c r="Z13" i="8"/>
  <c r="AD12" i="8"/>
  <c r="AB12" i="8"/>
  <c r="Z12" i="8"/>
  <c r="X10" i="8"/>
  <c r="AD6" i="8"/>
  <c r="AB6" i="8"/>
  <c r="Z6" i="8"/>
  <c r="AF1" i="8"/>
  <c r="AD1" i="8"/>
  <c r="AK1" i="8"/>
  <c r="AB1" i="8"/>
  <c r="Z1" i="8"/>
  <c r="AD73" i="7"/>
  <c r="AB73" i="7"/>
  <c r="Z73" i="7"/>
  <c r="AF73" i="7"/>
  <c r="AH73" i="7"/>
  <c r="AH49" i="7"/>
  <c r="AF1" i="7"/>
  <c r="AD1" i="7"/>
  <c r="AK1" i="7"/>
  <c r="AB1" i="7"/>
  <c r="Z1" i="7"/>
  <c r="AF1" i="12"/>
  <c r="AD1" i="12"/>
  <c r="AK1" i="12"/>
  <c r="AB1" i="12"/>
  <c r="Z1" i="12"/>
  <c r="AJ1" i="12"/>
  <c r="AH64" i="12"/>
  <c r="AH61" i="12"/>
  <c r="AH48" i="12"/>
  <c r="AH47" i="12"/>
  <c r="AD73" i="12"/>
  <c r="AB73" i="12"/>
  <c r="AH70" i="12"/>
  <c r="Z73" i="12"/>
  <c r="AH58" i="12"/>
  <c r="AH51" i="12"/>
  <c r="AH43" i="12"/>
  <c r="AH70" i="1"/>
  <c r="A94" i="9"/>
  <c r="A93" i="9"/>
  <c r="A88" i="9"/>
  <c r="A72" i="13"/>
  <c r="A90" i="9"/>
  <c r="A57" i="13"/>
  <c r="A89" i="9"/>
  <c r="A73" i="13"/>
  <c r="A87" i="9"/>
  <c r="A86" i="9"/>
  <c r="A54" i="13"/>
  <c r="A120" i="13"/>
  <c r="A85" i="9"/>
  <c r="A84" i="9"/>
  <c r="A83" i="9"/>
  <c r="A69" i="13"/>
  <c r="A82" i="9"/>
  <c r="A81" i="9"/>
  <c r="A50" i="13"/>
  <c r="A116" i="13"/>
  <c r="A80" i="9"/>
  <c r="A79" i="9"/>
  <c r="A49" i="13"/>
  <c r="A115" i="13"/>
  <c r="A78" i="9"/>
  <c r="A65" i="13"/>
  <c r="A77" i="9"/>
  <c r="A76" i="9"/>
  <c r="A46" i="13"/>
  <c r="A112" i="13"/>
  <c r="A75" i="9"/>
  <c r="A74" i="9"/>
  <c r="A5" i="13"/>
  <c r="A73" i="9"/>
  <c r="A60" i="13"/>
  <c r="A72" i="9"/>
  <c r="A42" i="13"/>
  <c r="A108" i="13"/>
  <c r="AF13" i="1"/>
  <c r="AF12" i="1"/>
  <c r="AF64" i="1"/>
  <c r="AH64" i="1"/>
  <c r="AF63" i="1"/>
  <c r="AH63" i="1"/>
  <c r="AF62" i="1"/>
  <c r="AH62" i="1"/>
  <c r="AF61" i="1"/>
  <c r="AH61" i="1"/>
  <c r="AF60" i="1"/>
  <c r="AH60" i="1"/>
  <c r="AF59" i="1"/>
  <c r="AH59" i="1"/>
  <c r="AF58" i="1"/>
  <c r="AH58" i="1"/>
  <c r="AF57" i="1"/>
  <c r="AH57" i="1"/>
  <c r="AF56" i="1"/>
  <c r="AH56" i="1"/>
  <c r="AF55" i="1"/>
  <c r="AH55" i="1"/>
  <c r="AF49" i="1"/>
  <c r="AH49" i="1"/>
  <c r="AF48" i="1"/>
  <c r="AH48" i="1"/>
  <c r="AF47" i="1"/>
  <c r="AH47" i="1"/>
  <c r="AF46" i="1"/>
  <c r="AH46" i="1"/>
  <c r="AF45" i="1"/>
  <c r="AH45" i="1"/>
  <c r="AF44" i="1"/>
  <c r="AH44" i="1"/>
  <c r="AF43" i="1"/>
  <c r="AH43" i="1"/>
  <c r="AF42" i="1"/>
  <c r="AH42" i="1"/>
  <c r="AF29" i="1"/>
  <c r="AH29" i="1"/>
  <c r="AF28" i="1"/>
  <c r="AH28" i="1"/>
  <c r="AF27" i="1"/>
  <c r="AH27" i="1"/>
  <c r="AF26" i="1"/>
  <c r="AH26" i="1"/>
  <c r="AF17" i="1"/>
  <c r="AH17" i="1"/>
  <c r="AF16" i="1"/>
  <c r="AH16" i="1"/>
  <c r="AF15" i="1"/>
  <c r="AH15" i="1"/>
  <c r="AF14" i="1"/>
  <c r="AH14" i="1"/>
  <c r="AF6" i="1"/>
  <c r="AH6" i="1"/>
  <c r="AK1" i="1"/>
  <c r="AJ1" i="1"/>
  <c r="B3" i="11"/>
  <c r="G3" i="11"/>
  <c r="L3" i="11"/>
  <c r="R3" i="11"/>
  <c r="B3" i="10"/>
  <c r="G3" i="10"/>
  <c r="L3" i="10"/>
  <c r="R3" i="10"/>
  <c r="C3" i="9"/>
  <c r="G3" i="9"/>
  <c r="L3" i="9"/>
  <c r="R3" i="9"/>
  <c r="M4" i="7"/>
  <c r="M5" i="7"/>
  <c r="K31" i="7"/>
  <c r="A88" i="7"/>
  <c r="M89" i="7"/>
  <c r="M90" i="7"/>
  <c r="A121" i="7"/>
  <c r="M122" i="7"/>
  <c r="M123" i="7"/>
  <c r="M4" i="1"/>
  <c r="M5" i="1"/>
  <c r="H30" i="1"/>
  <c r="K31" i="1"/>
  <c r="H38" i="1"/>
  <c r="H42" i="1"/>
  <c r="K42" i="1"/>
  <c r="L42" i="1"/>
  <c r="H43" i="1"/>
  <c r="H48" i="1"/>
  <c r="A88" i="1"/>
  <c r="M89" i="1"/>
  <c r="M90" i="1"/>
  <c r="A121" i="1"/>
  <c r="M122" i="1"/>
  <c r="M123" i="1"/>
  <c r="M4" i="8"/>
  <c r="M5" i="8"/>
  <c r="K31" i="8"/>
  <c r="H45" i="8"/>
  <c r="K45" i="8"/>
  <c r="L45" i="8"/>
  <c r="A88" i="8"/>
  <c r="M89" i="8"/>
  <c r="M90" i="8"/>
  <c r="A121" i="8"/>
  <c r="M122" i="8"/>
  <c r="M123" i="8"/>
  <c r="M4" i="12"/>
  <c r="M5" i="12"/>
  <c r="A88" i="12"/>
  <c r="M89" i="12"/>
  <c r="M90" i="12"/>
  <c r="A121" i="12"/>
  <c r="M122" i="12"/>
  <c r="M123" i="12"/>
  <c r="H37" i="1"/>
  <c r="K37" i="1"/>
  <c r="L37" i="1"/>
  <c r="AH13" i="1"/>
  <c r="AH12" i="1"/>
  <c r="AF43" i="8"/>
  <c r="A38" i="13"/>
  <c r="A55" i="13"/>
  <c r="A39" i="13"/>
  <c r="A56" i="13"/>
  <c r="AB82" i="1"/>
  <c r="Z82" i="1"/>
  <c r="AH17" i="8"/>
  <c r="AH42" i="7"/>
  <c r="AH14" i="7"/>
  <c r="H37" i="7"/>
  <c r="AH73" i="1"/>
  <c r="AF73" i="12"/>
  <c r="AG73" i="12"/>
  <c r="K2" i="9"/>
  <c r="A1" i="7"/>
  <c r="A28" i="7"/>
  <c r="A8" i="13"/>
  <c r="A30" i="13"/>
  <c r="A32" i="13"/>
  <c r="A48" i="13"/>
  <c r="A114" i="13"/>
  <c r="A52" i="13"/>
  <c r="A118" i="13"/>
  <c r="A9" i="13"/>
  <c r="A11" i="13"/>
  <c r="A13" i="13"/>
  <c r="A31" i="13"/>
  <c r="A33" i="13"/>
  <c r="A35" i="13"/>
  <c r="A28" i="8"/>
  <c r="A7" i="12"/>
  <c r="A6" i="12"/>
  <c r="A8" i="7"/>
  <c r="A8" i="8"/>
  <c r="A8" i="12"/>
  <c r="A9" i="8"/>
  <c r="A11" i="8"/>
  <c r="A11" i="12"/>
  <c r="A12" i="8"/>
  <c r="A12" i="7"/>
  <c r="A12" i="12"/>
  <c r="A13" i="12"/>
  <c r="A15" i="8"/>
  <c r="A15" i="12"/>
  <c r="A16" i="7"/>
  <c r="A16" i="8"/>
  <c r="A27" i="7"/>
  <c r="A27" i="8"/>
  <c r="D37" i="7"/>
  <c r="A37" i="12"/>
  <c r="A91" i="12"/>
  <c r="A37" i="8"/>
  <c r="A91" i="8"/>
  <c r="A37" i="7"/>
  <c r="A91" i="7"/>
  <c r="A91" i="1"/>
  <c r="A93" i="12"/>
  <c r="A94" i="12"/>
  <c r="A95" i="12"/>
  <c r="A97" i="12"/>
  <c r="D42" i="1"/>
  <c r="I42" i="1"/>
  <c r="A98" i="12"/>
  <c r="A99" i="12"/>
  <c r="A100" i="12"/>
  <c r="A103" i="12"/>
  <c r="I48" i="1"/>
  <c r="A104" i="12"/>
  <c r="A105" i="12"/>
  <c r="D38" i="1"/>
  <c r="I38" i="1"/>
  <c r="B74" i="12"/>
  <c r="A101" i="12"/>
  <c r="A27" i="12"/>
  <c r="A7" i="7"/>
  <c r="A6" i="8"/>
  <c r="AH12" i="12"/>
  <c r="AF42" i="8"/>
  <c r="AH42" i="8"/>
  <c r="A66" i="13"/>
  <c r="AH42" i="12"/>
  <c r="AH63" i="12"/>
  <c r="A10" i="13"/>
  <c r="AH60" i="7"/>
  <c r="AH63" i="7"/>
  <c r="AA7" i="8"/>
  <c r="AH45" i="12"/>
  <c r="AH52" i="12"/>
  <c r="AJ1" i="8"/>
  <c r="A63" i="13"/>
  <c r="A74" i="13"/>
  <c r="A29" i="13"/>
  <c r="A7" i="13"/>
  <c r="AH50" i="7"/>
  <c r="A43" i="13"/>
  <c r="A109" i="13"/>
  <c r="A40" i="13"/>
  <c r="AH60" i="12"/>
  <c r="AH46" i="12"/>
  <c r="AH59" i="12"/>
  <c r="AH26" i="12"/>
  <c r="AE7" i="8"/>
  <c r="AF26" i="8"/>
  <c r="AH26" i="8"/>
  <c r="AF50" i="8"/>
  <c r="AH50" i="8"/>
  <c r="AF63" i="8"/>
  <c r="AH63" i="8"/>
  <c r="C22" i="13"/>
  <c r="D23" i="13"/>
  <c r="K31" i="12"/>
  <c r="A14" i="12"/>
  <c r="A14" i="7"/>
  <c r="A14" i="8"/>
  <c r="D37" i="1"/>
  <c r="C65" i="1"/>
  <c r="D43" i="1"/>
  <c r="I43" i="1"/>
  <c r="A106" i="12"/>
  <c r="A102" i="12"/>
  <c r="AC73" i="1"/>
  <c r="AA73" i="1"/>
  <c r="AE73" i="1"/>
  <c r="C65" i="7"/>
  <c r="C65" i="8"/>
  <c r="D37" i="8"/>
  <c r="K52" i="8"/>
  <c r="K48" i="8"/>
  <c r="C32" i="8"/>
  <c r="C32" i="12"/>
  <c r="AG73" i="1"/>
  <c r="B74" i="8"/>
  <c r="D37" i="12"/>
  <c r="A10" i="7"/>
  <c r="A10" i="8"/>
  <c r="A10" i="12"/>
  <c r="A26" i="12"/>
  <c r="A26" i="7"/>
  <c r="A26" i="8"/>
  <c r="D44" i="1"/>
  <c r="A96" i="12"/>
  <c r="A92" i="12"/>
  <c r="I49" i="1"/>
  <c r="C32" i="1"/>
  <c r="K42" i="8"/>
  <c r="B24" i="13"/>
  <c r="C107" i="13"/>
  <c r="K73" i="7"/>
  <c r="K37" i="7"/>
  <c r="A1" i="12"/>
  <c r="K2" i="11"/>
  <c r="A1" i="8"/>
  <c r="K2" i="10"/>
  <c r="E23" i="13"/>
  <c r="F107" i="13"/>
  <c r="C23" i="13"/>
  <c r="C65" i="12"/>
  <c r="A13" i="8"/>
  <c r="A13" i="7"/>
  <c r="A29" i="7"/>
  <c r="A29" i="12"/>
  <c r="A29" i="8"/>
  <c r="A17" i="7"/>
  <c r="D45" i="1"/>
  <c r="D46" i="1"/>
  <c r="C32" i="7"/>
  <c r="K124" i="8"/>
  <c r="I45" i="8"/>
  <c r="I44" i="1"/>
  <c r="I46" i="1"/>
  <c r="I43" i="8"/>
  <c r="A53" i="13"/>
  <c r="A119" i="13"/>
  <c r="A14" i="13"/>
  <c r="A36" i="13"/>
  <c r="A70" i="13"/>
  <c r="A3" i="13"/>
  <c r="A59" i="13"/>
  <c r="A25" i="13"/>
  <c r="A51" i="13"/>
  <c r="A117" i="13"/>
  <c r="A12" i="13"/>
  <c r="A34" i="13"/>
  <c r="A68" i="13"/>
  <c r="AH6" i="12"/>
  <c r="AH29" i="12"/>
  <c r="AH25" i="12"/>
  <c r="AH13" i="12"/>
  <c r="AH15" i="12"/>
  <c r="AH27" i="12"/>
  <c r="AH6" i="7"/>
  <c r="AH12" i="7"/>
  <c r="AH15" i="7"/>
  <c r="AH17" i="7"/>
  <c r="AH27" i="7"/>
  <c r="AH28" i="7"/>
  <c r="AH43" i="7"/>
  <c r="AH47" i="7"/>
  <c r="AH48" i="7"/>
  <c r="AH51" i="7"/>
  <c r="AH61" i="7"/>
  <c r="AH62" i="7"/>
  <c r="AH64" i="7"/>
  <c r="AF6" i="8"/>
  <c r="AH6" i="8"/>
  <c r="AF12" i="8"/>
  <c r="AH12" i="8"/>
  <c r="AF13" i="8"/>
  <c r="AH13" i="8"/>
  <c r="AF15" i="8"/>
  <c r="AH15" i="8"/>
  <c r="AF27" i="8"/>
  <c r="AH27" i="8"/>
  <c r="AF28" i="8"/>
  <c r="AH28" i="8"/>
  <c r="AF29" i="8"/>
  <c r="AH29" i="8"/>
  <c r="AF44" i="8"/>
  <c r="AH44" i="8"/>
  <c r="AF45" i="8"/>
  <c r="AH45" i="8"/>
  <c r="AF47" i="8"/>
  <c r="AH47" i="8"/>
  <c r="AF48" i="8"/>
  <c r="AH48" i="8"/>
  <c r="AF49" i="8"/>
  <c r="AH49" i="8"/>
  <c r="AF51" i="8"/>
  <c r="AH51" i="8"/>
  <c r="AF58" i="8"/>
  <c r="AH58" i="8"/>
  <c r="AF60" i="8"/>
  <c r="AH60" i="8"/>
  <c r="AF61" i="8"/>
  <c r="AH61" i="8"/>
  <c r="AF62" i="8"/>
  <c r="AH62" i="8"/>
  <c r="AB82" i="8"/>
  <c r="AH16" i="8"/>
  <c r="AH43" i="8"/>
  <c r="AH52" i="8"/>
  <c r="AH64" i="8"/>
  <c r="H48" i="8"/>
  <c r="L48" i="8"/>
  <c r="A45" i="13"/>
  <c r="A111" i="13"/>
  <c r="A62" i="13"/>
  <c r="A28" i="13"/>
  <c r="A47" i="13"/>
  <c r="A113" i="13"/>
  <c r="A64" i="13"/>
  <c r="AH24" i="12"/>
  <c r="H37" i="12"/>
  <c r="A6" i="13"/>
  <c r="AH28" i="12"/>
  <c r="AH14" i="12"/>
  <c r="A71" i="13"/>
  <c r="A37" i="13"/>
  <c r="A15" i="13"/>
  <c r="AH62" i="12"/>
  <c r="AH49" i="12"/>
  <c r="AF14" i="8"/>
  <c r="AH14" i="8"/>
  <c r="AF46" i="8"/>
  <c r="AH46" i="8"/>
  <c r="AF59" i="8"/>
  <c r="AH59" i="8"/>
  <c r="H30" i="7"/>
  <c r="H30" i="8"/>
  <c r="A67" i="13"/>
  <c r="AH73" i="12"/>
  <c r="AJ1" i="7"/>
  <c r="A27" i="13"/>
  <c r="A61" i="13"/>
  <c r="A44" i="13"/>
  <c r="A110" i="13"/>
  <c r="AH26" i="7"/>
  <c r="AH46" i="7"/>
  <c r="AH59" i="7"/>
  <c r="AE73" i="12"/>
  <c r="AK73" i="12"/>
  <c r="AC73" i="12"/>
  <c r="AA73" i="12"/>
  <c r="AH44" i="12"/>
  <c r="AH50" i="12"/>
  <c r="AH13" i="7"/>
  <c r="AH16" i="7"/>
  <c r="AH29" i="7"/>
  <c r="AH44" i="7"/>
  <c r="AH45" i="7"/>
  <c r="AH52" i="7"/>
  <c r="AH58" i="7"/>
  <c r="AH70" i="7"/>
  <c r="A26" i="13"/>
  <c r="A4" i="13"/>
  <c r="H47" i="8"/>
  <c r="I47" i="8"/>
  <c r="H44" i="8"/>
  <c r="H49" i="8"/>
  <c r="H41" i="1"/>
  <c r="F116" i="13"/>
  <c r="F117" i="13"/>
  <c r="F109" i="13"/>
  <c r="F110" i="13"/>
  <c r="F120" i="13"/>
  <c r="F108" i="13"/>
  <c r="F118" i="13"/>
  <c r="F115" i="13"/>
  <c r="F113" i="13"/>
  <c r="F119" i="13"/>
  <c r="K65" i="7"/>
  <c r="K41" i="1"/>
  <c r="L41" i="1"/>
  <c r="K38" i="1"/>
  <c r="L38" i="1"/>
  <c r="K48" i="1"/>
  <c r="L48" i="1"/>
  <c r="K40" i="1"/>
  <c r="L40" i="1"/>
  <c r="K46" i="1"/>
  <c r="L46" i="1"/>
  <c r="K47" i="1"/>
  <c r="L47" i="1"/>
  <c r="K44" i="1"/>
  <c r="L44" i="1"/>
  <c r="I37" i="1"/>
  <c r="D65" i="1"/>
  <c r="AI73" i="1"/>
  <c r="AJ73" i="1"/>
  <c r="D65" i="8"/>
  <c r="K43" i="1"/>
  <c r="L43" i="1"/>
  <c r="K37" i="12"/>
  <c r="K38" i="8"/>
  <c r="K40" i="8"/>
  <c r="K44" i="8"/>
  <c r="L44" i="8"/>
  <c r="K46" i="8"/>
  <c r="K50" i="8"/>
  <c r="D24" i="13"/>
  <c r="D107" i="13"/>
  <c r="E24" i="13"/>
  <c r="E107" i="13"/>
  <c r="K49" i="8"/>
  <c r="K51" i="8"/>
  <c r="K39" i="8"/>
  <c r="K41" i="8"/>
  <c r="K43" i="8"/>
  <c r="L43" i="8"/>
  <c r="B76" i="8"/>
  <c r="K47" i="8"/>
  <c r="L47" i="8"/>
  <c r="K37" i="8"/>
  <c r="AK73" i="1"/>
  <c r="B74" i="7"/>
  <c r="K74" i="7"/>
  <c r="C119" i="12"/>
  <c r="C24" i="13"/>
  <c r="K49" i="1"/>
  <c r="L49" i="1"/>
  <c r="D65" i="12"/>
  <c r="K74" i="8"/>
  <c r="K70" i="7"/>
  <c r="C119" i="8"/>
  <c r="D65" i="7"/>
  <c r="K39" i="1"/>
  <c r="AJ73" i="12"/>
  <c r="AI73" i="12"/>
  <c r="L37" i="12"/>
  <c r="I37" i="12"/>
  <c r="H46" i="8"/>
  <c r="AG73" i="7"/>
  <c r="AC73" i="7"/>
  <c r="AA73" i="7"/>
  <c r="AE73" i="7"/>
  <c r="I48" i="8"/>
  <c r="H50" i="8"/>
  <c r="I44" i="8"/>
  <c r="H52" i="8"/>
  <c r="H51" i="8"/>
  <c r="L49" i="8"/>
  <c r="I49" i="8"/>
  <c r="H38" i="8"/>
  <c r="I41" i="1"/>
  <c r="B16" i="13"/>
  <c r="C16" i="13"/>
  <c r="R19" i="13"/>
  <c r="DA43" i="13"/>
  <c r="DA42" i="13"/>
  <c r="G49" i="13"/>
  <c r="J45" i="13"/>
  <c r="L43" i="13"/>
  <c r="DA52" i="13"/>
  <c r="F46" i="13"/>
  <c r="CZ46" i="13"/>
  <c r="H48" i="13"/>
  <c r="CZ52" i="13"/>
  <c r="K43" i="13"/>
  <c r="DA49" i="13"/>
  <c r="I54" i="13"/>
  <c r="E82" i="9"/>
  <c r="E34" i="13"/>
  <c r="D82" i="9"/>
  <c r="D34" i="13"/>
  <c r="CX51" i="13"/>
  <c r="C83" i="9"/>
  <c r="C35" i="13"/>
  <c r="B83" i="9"/>
  <c r="B35" i="13"/>
  <c r="O52" i="13"/>
  <c r="L50" i="13"/>
  <c r="J48" i="13"/>
  <c r="C77" i="9"/>
  <c r="C30" i="13"/>
  <c r="B77" i="9"/>
  <c r="B30" i="13"/>
  <c r="R47" i="13"/>
  <c r="P52" i="13"/>
  <c r="C72" i="9"/>
  <c r="C25" i="13"/>
  <c r="B72" i="9"/>
  <c r="B25" i="13"/>
  <c r="P42" i="13"/>
  <c r="DA44" i="13"/>
  <c r="C75" i="9"/>
  <c r="C28" i="13"/>
  <c r="B75" i="9"/>
  <c r="B28" i="13"/>
  <c r="O45" i="13"/>
  <c r="H51" i="13"/>
  <c r="C86" i="9"/>
  <c r="C37" i="13"/>
  <c r="B86" i="9"/>
  <c r="B37" i="13"/>
  <c r="O54" i="13"/>
  <c r="G52" i="13"/>
  <c r="F53" i="13"/>
  <c r="E86" i="9"/>
  <c r="E37" i="13"/>
  <c r="D86" i="9"/>
  <c r="D37" i="13"/>
  <c r="CY54" i="13"/>
  <c r="I48" i="13"/>
  <c r="J51" i="13"/>
  <c r="N42" i="13"/>
  <c r="CZ53" i="13"/>
  <c r="C81" i="9"/>
  <c r="C33" i="13"/>
  <c r="B81" i="9"/>
  <c r="B33" i="13"/>
  <c r="P50" i="13"/>
  <c r="O42" i="13"/>
  <c r="L47" i="13"/>
  <c r="H42" i="13"/>
  <c r="C85" i="9"/>
  <c r="C36" i="13"/>
  <c r="B85" i="9"/>
  <c r="B36" i="13"/>
  <c r="Q53" i="13"/>
  <c r="N19" i="13"/>
  <c r="R50" i="13"/>
  <c r="E75" i="9"/>
  <c r="E28" i="13"/>
  <c r="D75" i="9"/>
  <c r="D28" i="13"/>
  <c r="CY45" i="13"/>
  <c r="G54" i="13"/>
  <c r="E79" i="9"/>
  <c r="E32" i="13"/>
  <c r="D79" i="9"/>
  <c r="D32" i="13"/>
  <c r="CX49" i="13"/>
  <c r="K46" i="13"/>
  <c r="C76" i="9"/>
  <c r="C29" i="13"/>
  <c r="B76" i="9"/>
  <c r="B29" i="13"/>
  <c r="N46" i="13"/>
  <c r="G19" i="13"/>
  <c r="G51" i="13"/>
  <c r="CZ51" i="13"/>
  <c r="G46" i="13"/>
  <c r="K52" i="13"/>
  <c r="F52" i="13"/>
  <c r="DA50" i="13"/>
  <c r="K54" i="13"/>
  <c r="C73" i="9"/>
  <c r="C26" i="13"/>
  <c r="B73" i="9"/>
  <c r="B26" i="13"/>
  <c r="Q43" i="13"/>
  <c r="E83" i="9"/>
  <c r="E35" i="13"/>
  <c r="D83" i="9"/>
  <c r="D35" i="13"/>
  <c r="CX52" i="13"/>
  <c r="G53" i="13"/>
  <c r="J44" i="13"/>
  <c r="I42" i="13"/>
  <c r="P53" i="13"/>
  <c r="N50" i="13"/>
  <c r="J52" i="13"/>
  <c r="O53" i="13"/>
  <c r="D16" i="13"/>
  <c r="E16" i="13"/>
  <c r="CX19" i="13"/>
  <c r="O47" i="13"/>
  <c r="G43" i="13"/>
  <c r="K42" i="13"/>
  <c r="P19" i="13"/>
  <c r="O19" i="13"/>
  <c r="H43" i="13"/>
  <c r="N52" i="13"/>
  <c r="G42" i="13"/>
  <c r="K44" i="13"/>
  <c r="E72" i="9"/>
  <c r="E25" i="13"/>
  <c r="D72" i="9"/>
  <c r="D25" i="13"/>
  <c r="CY42" i="13"/>
  <c r="J42" i="13"/>
  <c r="CZ48" i="13"/>
  <c r="K51" i="13"/>
  <c r="CZ19" i="13"/>
  <c r="I50" i="13"/>
  <c r="G48" i="13"/>
  <c r="O46" i="13"/>
  <c r="R54" i="13"/>
  <c r="DA47" i="13"/>
  <c r="F19" i="13"/>
  <c r="CY52" i="13"/>
  <c r="M42" i="13"/>
  <c r="F54" i="13"/>
  <c r="O43" i="13"/>
  <c r="E76" i="9"/>
  <c r="E29" i="13"/>
  <c r="D76" i="9"/>
  <c r="D29" i="13"/>
  <c r="CY46" i="13"/>
  <c r="L48" i="13"/>
  <c r="E73" i="9"/>
  <c r="E26" i="13"/>
  <c r="D73" i="9"/>
  <c r="D26" i="13"/>
  <c r="CX43" i="13"/>
  <c r="DA53" i="13"/>
  <c r="E81" i="9"/>
  <c r="E33" i="13"/>
  <c r="D81" i="9"/>
  <c r="D33" i="13"/>
  <c r="CY50" i="13"/>
  <c r="F45" i="13"/>
  <c r="C82" i="9"/>
  <c r="C34" i="13"/>
  <c r="B82" i="9"/>
  <c r="B34" i="13"/>
  <c r="Q51" i="13"/>
  <c r="R52" i="13"/>
  <c r="Q42" i="13"/>
  <c r="R51" i="13"/>
  <c r="DA54" i="13"/>
  <c r="Q46" i="13"/>
  <c r="CZ47" i="13"/>
  <c r="Q19" i="13"/>
  <c r="E78" i="9"/>
  <c r="E31" i="13"/>
  <c r="D78" i="9"/>
  <c r="D31" i="13"/>
  <c r="CY48" i="13"/>
  <c r="L49" i="13"/>
  <c r="C78" i="9"/>
  <c r="C31" i="13"/>
  <c r="B78" i="9"/>
  <c r="B31" i="13"/>
  <c r="N48" i="13"/>
  <c r="H47" i="13"/>
  <c r="M19" i="13"/>
  <c r="CX45" i="13"/>
  <c r="R45" i="13"/>
  <c r="Q47" i="13"/>
  <c r="P46" i="13"/>
  <c r="J19" i="13"/>
  <c r="M54" i="13"/>
  <c r="M53" i="13"/>
  <c r="C74" i="9"/>
  <c r="C27" i="13"/>
  <c r="B74" i="9"/>
  <c r="B27" i="13"/>
  <c r="O44" i="13"/>
  <c r="I43" i="13"/>
  <c r="C79" i="9"/>
  <c r="C32" i="13"/>
  <c r="B79" i="9"/>
  <c r="B32" i="13"/>
  <c r="N49" i="13"/>
  <c r="Q45" i="13"/>
  <c r="H45" i="13"/>
  <c r="K48" i="13"/>
  <c r="R46" i="13"/>
  <c r="M47" i="13"/>
  <c r="K49" i="13"/>
  <c r="R53" i="13"/>
  <c r="CX50" i="13"/>
  <c r="N43" i="13"/>
  <c r="CX48" i="13"/>
  <c r="P48" i="13"/>
  <c r="N51" i="13"/>
  <c r="L42" i="13"/>
  <c r="L54" i="13"/>
  <c r="E77" i="9"/>
  <c r="E30" i="13"/>
  <c r="D77" i="9"/>
  <c r="D30" i="13"/>
  <c r="CY47" i="13"/>
  <c r="I45" i="13"/>
  <c r="H46" i="13"/>
  <c r="I53" i="13"/>
  <c r="K53" i="13"/>
  <c r="G47" i="13"/>
  <c r="P47" i="13"/>
  <c r="L45" i="13"/>
  <c r="G50" i="13"/>
  <c r="L46" i="13"/>
  <c r="H49" i="13"/>
  <c r="DA45" i="13"/>
  <c r="CY51" i="13"/>
  <c r="CY43" i="13"/>
  <c r="F48" i="13"/>
  <c r="E85" i="9"/>
  <c r="E36" i="13"/>
  <c r="D85" i="9"/>
  <c r="D36" i="13"/>
  <c r="CX53" i="13"/>
  <c r="N53" i="13"/>
  <c r="E74" i="9"/>
  <c r="E27" i="13"/>
  <c r="D74" i="9"/>
  <c r="D27" i="13"/>
  <c r="CX44" i="13"/>
  <c r="O49" i="13"/>
  <c r="I52" i="13"/>
  <c r="H19" i="13"/>
  <c r="P49" i="13"/>
  <c r="P51" i="13"/>
  <c r="G45" i="13"/>
  <c r="F47" i="13"/>
  <c r="J53" i="13"/>
  <c r="L19" i="13"/>
  <c r="CX42" i="13"/>
  <c r="CZ45" i="13"/>
  <c r="Q50" i="13"/>
  <c r="M49" i="13"/>
  <c r="CX47" i="13"/>
  <c r="R49" i="13"/>
  <c r="CZ42" i="13"/>
  <c r="Q48" i="13"/>
  <c r="CZ44" i="13"/>
  <c r="I44" i="13"/>
  <c r="H50" i="13"/>
  <c r="I19" i="13"/>
  <c r="P54" i="13"/>
  <c r="F43" i="13"/>
  <c r="M52" i="13"/>
  <c r="M45" i="13"/>
  <c r="N54" i="13"/>
  <c r="J46" i="13"/>
  <c r="M44" i="13"/>
  <c r="K50" i="13"/>
  <c r="J43" i="13"/>
  <c r="CY49" i="13"/>
  <c r="M46" i="13"/>
  <c r="F49" i="13"/>
  <c r="R44" i="13"/>
  <c r="R43" i="13"/>
  <c r="I51" i="13"/>
  <c r="CZ43" i="13"/>
  <c r="L44" i="13"/>
  <c r="J49" i="13"/>
  <c r="CZ54" i="13"/>
  <c r="Q52" i="13"/>
  <c r="H44" i="13"/>
  <c r="Q54" i="13"/>
  <c r="F42" i="13"/>
  <c r="P43" i="13"/>
  <c r="O51" i="13"/>
  <c r="P44" i="13"/>
  <c r="DA19" i="13"/>
  <c r="K47" i="13"/>
  <c r="L51" i="13"/>
  <c r="N45" i="13"/>
  <c r="CX46" i="13"/>
  <c r="H53" i="13"/>
  <c r="M48" i="13"/>
  <c r="I46" i="13"/>
  <c r="F44" i="13"/>
  <c r="I49" i="13"/>
  <c r="J47" i="13"/>
  <c r="R48" i="13"/>
  <c r="J50" i="13"/>
  <c r="K45" i="13"/>
  <c r="CZ49" i="13"/>
  <c r="N44" i="13"/>
  <c r="G44" i="13"/>
  <c r="Q49" i="13"/>
  <c r="CY44" i="13"/>
  <c r="DA46" i="13"/>
  <c r="O48" i="13"/>
  <c r="I47" i="13"/>
  <c r="O50" i="13"/>
  <c r="K19" i="13"/>
  <c r="DA48" i="13"/>
  <c r="M43" i="13"/>
  <c r="DA51" i="13"/>
  <c r="F51" i="13"/>
  <c r="J54" i="13"/>
  <c r="CX54" i="13"/>
  <c r="CY19" i="13"/>
  <c r="R42" i="13"/>
  <c r="L53" i="13"/>
  <c r="P45" i="13"/>
  <c r="F50" i="13"/>
  <c r="H52" i="13"/>
  <c r="CZ50" i="13"/>
  <c r="Q44" i="13"/>
  <c r="M51" i="13"/>
  <c r="L52" i="13"/>
  <c r="N47" i="13"/>
  <c r="M50" i="13"/>
  <c r="H54" i="13"/>
  <c r="CY53" i="13"/>
  <c r="D119" i="8"/>
  <c r="D30" i="8"/>
  <c r="D32" i="8"/>
  <c r="K73" i="12"/>
  <c r="K70" i="12"/>
  <c r="K74" i="12"/>
  <c r="K70" i="1"/>
  <c r="K75" i="1"/>
  <c r="K73" i="1"/>
  <c r="K74" i="1"/>
  <c r="K65" i="8"/>
  <c r="C119" i="7"/>
  <c r="K124" i="7"/>
  <c r="K65" i="1"/>
  <c r="C119" i="1"/>
  <c r="K73" i="8"/>
  <c r="K70" i="8"/>
  <c r="K130" i="8"/>
  <c r="K119" i="12"/>
  <c r="K119" i="8"/>
  <c r="K65" i="12"/>
  <c r="D119" i="12"/>
  <c r="D30" i="12"/>
  <c r="D32" i="12"/>
  <c r="AK73" i="7"/>
  <c r="L46" i="8"/>
  <c r="I46" i="8"/>
  <c r="AC73" i="8"/>
  <c r="AG73" i="8"/>
  <c r="AE73" i="8"/>
  <c r="AA73" i="8"/>
  <c r="AJ73" i="7"/>
  <c r="AI73" i="7"/>
  <c r="I50" i="8"/>
  <c r="L50" i="8"/>
  <c r="I52" i="8"/>
  <c r="L52" i="8"/>
  <c r="L51" i="8"/>
  <c r="I51" i="8"/>
  <c r="L38" i="8"/>
  <c r="I38" i="8"/>
  <c r="K130" i="7"/>
  <c r="K119" i="7"/>
  <c r="K119" i="1"/>
  <c r="D119" i="7"/>
  <c r="D30" i="7"/>
  <c r="D32" i="7"/>
  <c r="B75" i="8"/>
  <c r="K75" i="8"/>
  <c r="K76" i="8"/>
  <c r="B75" i="12"/>
  <c r="K75" i="12"/>
  <c r="K76" i="12"/>
  <c r="D119" i="1"/>
  <c r="D30" i="1"/>
  <c r="D32" i="1"/>
  <c r="K76" i="1"/>
  <c r="AJ73" i="8"/>
  <c r="AI73" i="8"/>
  <c r="AK73" i="8"/>
  <c r="B75" i="7"/>
  <c r="K75" i="7"/>
  <c r="K76" i="7"/>
  <c r="AJ7" i="1"/>
  <c r="AD82" i="8"/>
  <c r="AF82" i="8"/>
  <c r="AF82" i="1"/>
  <c r="AD82" i="1"/>
  <c r="AJ7" i="8"/>
  <c r="I45" i="1"/>
  <c r="H41" i="8"/>
  <c r="H40" i="8"/>
  <c r="L39" i="1"/>
  <c r="L65" i="1"/>
  <c r="H39" i="8"/>
  <c r="I65" i="1"/>
  <c r="I37" i="7"/>
  <c r="L37" i="7"/>
  <c r="H37" i="8"/>
  <c r="AJ7" i="12"/>
  <c r="AJ7" i="7"/>
  <c r="C80" i="9"/>
  <c r="C84" i="9"/>
  <c r="I73" i="1"/>
  <c r="G75" i="9"/>
  <c r="C87" i="9"/>
  <c r="I65" i="12"/>
  <c r="L65" i="12"/>
  <c r="H42" i="8"/>
  <c r="L41" i="8"/>
  <c r="I41" i="8"/>
  <c r="L40" i="8"/>
  <c r="I40" i="8"/>
  <c r="L65" i="7"/>
  <c r="I65" i="7"/>
  <c r="I39" i="8"/>
  <c r="L39" i="8"/>
  <c r="L37" i="8"/>
  <c r="I37" i="8"/>
  <c r="AH83" i="1"/>
  <c r="I76" i="1"/>
  <c r="I70" i="1"/>
  <c r="C14" i="13"/>
  <c r="C4" i="13"/>
  <c r="O124" i="12"/>
  <c r="C17" i="13"/>
  <c r="C39" i="13"/>
  <c r="C10" i="13"/>
  <c r="C12" i="13"/>
  <c r="C7" i="13"/>
  <c r="C15" i="13"/>
  <c r="C5" i="13"/>
  <c r="C18" i="13"/>
  <c r="C40" i="13"/>
  <c r="G94" i="9"/>
  <c r="C8" i="13"/>
  <c r="I73" i="7"/>
  <c r="D87" i="9"/>
  <c r="H75" i="9"/>
  <c r="D84" i="9"/>
  <c r="D80" i="9"/>
  <c r="I73" i="12"/>
  <c r="B84" i="9"/>
  <c r="B87" i="9"/>
  <c r="B80" i="9"/>
  <c r="F87" i="9"/>
  <c r="F75" i="9"/>
  <c r="O127" i="12"/>
  <c r="G93" i="9"/>
  <c r="C9" i="13"/>
  <c r="C11" i="13"/>
  <c r="C6" i="13"/>
  <c r="L42" i="8"/>
  <c r="I42" i="8"/>
  <c r="L65" i="8"/>
  <c r="I65" i="8"/>
  <c r="L74" i="1"/>
  <c r="I70" i="7"/>
  <c r="I76" i="7"/>
  <c r="Y45" i="13"/>
  <c r="AP45" i="13"/>
  <c r="B7" i="13"/>
  <c r="F93" i="9"/>
  <c r="AC83" i="8"/>
  <c r="AG83" i="8"/>
  <c r="I75" i="9"/>
  <c r="AA83" i="8"/>
  <c r="E87" i="9"/>
  <c r="E84" i="9"/>
  <c r="E80" i="9"/>
  <c r="AE83" i="8"/>
  <c r="B4" i="13"/>
  <c r="AS4" i="13"/>
  <c r="AT4" i="13"/>
  <c r="BS4" i="13"/>
  <c r="BG4" i="13"/>
  <c r="BI4" i="13"/>
  <c r="BA4" i="13"/>
  <c r="BJ4" i="13"/>
  <c r="AV4" i="13"/>
  <c r="BQ4" i="13"/>
  <c r="BT4" i="13"/>
  <c r="AM4" i="13"/>
  <c r="BN4" i="13"/>
  <c r="AQ4" i="13"/>
  <c r="BB4" i="13"/>
  <c r="AF4" i="13"/>
  <c r="BO4" i="13"/>
  <c r="AJ4" i="13"/>
  <c r="AO4" i="13"/>
  <c r="AZ4" i="13"/>
  <c r="BH4" i="13"/>
  <c r="BR4" i="13"/>
  <c r="AW4" i="13"/>
  <c r="BU4" i="13"/>
  <c r="BC4" i="13"/>
  <c r="BF4" i="13"/>
  <c r="AX4" i="13"/>
  <c r="AP4" i="13"/>
  <c r="AU4" i="13"/>
  <c r="AY4" i="13"/>
  <c r="AN4" i="13"/>
  <c r="BE4" i="13"/>
  <c r="BL4" i="13"/>
  <c r="AG4" i="13"/>
  <c r="AI4" i="13"/>
  <c r="BK4" i="13"/>
  <c r="AK4" i="13"/>
  <c r="AE4" i="13"/>
  <c r="AR4" i="13"/>
  <c r="BD4" i="13"/>
  <c r="BP4" i="13"/>
  <c r="AH4" i="13"/>
  <c r="AL4" i="13"/>
  <c r="BM4" i="13"/>
  <c r="AM53" i="13"/>
  <c r="B15" i="13"/>
  <c r="AV54" i="13"/>
  <c r="B8" i="13"/>
  <c r="AF47" i="13"/>
  <c r="D10" i="13"/>
  <c r="BY32" i="13"/>
  <c r="D14" i="13"/>
  <c r="BG36" i="13"/>
  <c r="BA31" i="13"/>
  <c r="D9" i="13"/>
  <c r="D6" i="13"/>
  <c r="BD28" i="13"/>
  <c r="BR5" i="13"/>
  <c r="B5" i="13"/>
  <c r="AR5" i="13"/>
  <c r="BP5" i="13"/>
  <c r="BS5" i="13"/>
  <c r="BT5" i="13"/>
  <c r="AM5" i="13"/>
  <c r="BN5" i="13"/>
  <c r="AX5" i="13"/>
  <c r="AW5" i="13"/>
  <c r="BF5" i="13"/>
  <c r="BI5" i="13"/>
  <c r="AH5" i="13"/>
  <c r="AY5" i="13"/>
  <c r="AL5" i="13"/>
  <c r="AZ5" i="13"/>
  <c r="AQ5" i="13"/>
  <c r="AT5" i="13"/>
  <c r="BU5" i="13"/>
  <c r="BC5" i="13"/>
  <c r="AI5" i="13"/>
  <c r="BE5" i="13"/>
  <c r="AP5" i="13"/>
  <c r="BH5" i="13"/>
  <c r="AG5" i="13"/>
  <c r="AE5" i="13"/>
  <c r="AU5" i="13"/>
  <c r="BO5" i="13"/>
  <c r="BD5" i="13"/>
  <c r="AO5" i="13"/>
  <c r="AF5" i="13"/>
  <c r="AV5" i="13"/>
  <c r="BA5" i="13"/>
  <c r="BB5" i="13"/>
  <c r="BG5" i="13"/>
  <c r="BL5" i="13"/>
  <c r="AS5" i="13"/>
  <c r="BQ5" i="13"/>
  <c r="AK5" i="13"/>
  <c r="BK5" i="13"/>
  <c r="BJ5" i="13"/>
  <c r="BM5" i="13"/>
  <c r="AJ5" i="13"/>
  <c r="AN5" i="13"/>
  <c r="T46" i="13"/>
  <c r="AK46" i="13"/>
  <c r="AP46" i="13"/>
  <c r="AV46" i="13"/>
  <c r="AM46" i="13"/>
  <c r="W46" i="13"/>
  <c r="Z46" i="13"/>
  <c r="AE46" i="13"/>
  <c r="AH46" i="13"/>
  <c r="AG46" i="13"/>
  <c r="AS46" i="13"/>
  <c r="AI46" i="13"/>
  <c r="AW46" i="13"/>
  <c r="Y46" i="13"/>
  <c r="AA46" i="13"/>
  <c r="AQ46" i="13"/>
  <c r="AT46" i="13"/>
  <c r="AU46" i="13"/>
  <c r="AD46" i="13"/>
  <c r="C112" i="13"/>
  <c r="AN46" i="13"/>
  <c r="AY46" i="13"/>
  <c r="AZ46" i="13"/>
  <c r="V46" i="13"/>
  <c r="AJ46" i="13"/>
  <c r="U46" i="13"/>
  <c r="AR46" i="13"/>
  <c r="AC46" i="13"/>
  <c r="AO46" i="13"/>
  <c r="X46" i="13"/>
  <c r="AB46" i="13"/>
  <c r="AF46" i="13"/>
  <c r="S46" i="13"/>
  <c r="AL46" i="13"/>
  <c r="AX46" i="13"/>
  <c r="AY50" i="13"/>
  <c r="AC50" i="13"/>
  <c r="V50" i="13"/>
  <c r="BM33" i="13"/>
  <c r="AG50" i="13"/>
  <c r="B6" i="13"/>
  <c r="AH6" i="13"/>
  <c r="BE6" i="13"/>
  <c r="AW6" i="13"/>
  <c r="BH6" i="13"/>
  <c r="BB6" i="13"/>
  <c r="AT6" i="13"/>
  <c r="BR6" i="13"/>
  <c r="AY6" i="13"/>
  <c r="AM6" i="13"/>
  <c r="AZ6" i="13"/>
  <c r="BO6" i="13"/>
  <c r="BN6" i="13"/>
  <c r="AE6" i="13"/>
  <c r="AN6" i="13"/>
  <c r="AI6" i="13"/>
  <c r="AK6" i="13"/>
  <c r="BJ6" i="13"/>
  <c r="BM6" i="13"/>
  <c r="BQ6" i="13"/>
  <c r="AO6" i="13"/>
  <c r="AR6" i="13"/>
  <c r="BC6" i="13"/>
  <c r="AP6" i="13"/>
  <c r="BA6" i="13"/>
  <c r="BT6" i="13"/>
  <c r="BL6" i="13"/>
  <c r="AL6" i="13"/>
  <c r="BP6" i="13"/>
  <c r="AF6" i="13"/>
  <c r="AG6" i="13"/>
  <c r="AU6" i="13"/>
  <c r="AQ6" i="13"/>
  <c r="BF6" i="13"/>
  <c r="BU6" i="13"/>
  <c r="BG6" i="13"/>
  <c r="BK6" i="13"/>
  <c r="AV6" i="13"/>
  <c r="BD6" i="13"/>
  <c r="BS6" i="13"/>
  <c r="AX6" i="13"/>
  <c r="AJ6" i="13"/>
  <c r="BI6" i="13"/>
  <c r="AS6" i="13"/>
  <c r="B9" i="13"/>
  <c r="AW9" i="13"/>
  <c r="BE9" i="13"/>
  <c r="AP9" i="13"/>
  <c r="AX9" i="13"/>
  <c r="BA9" i="13"/>
  <c r="AJ9" i="13"/>
  <c r="BP9" i="13"/>
  <c r="AV9" i="13"/>
  <c r="AY9" i="13"/>
  <c r="AQ9" i="13"/>
  <c r="AS9" i="13"/>
  <c r="AE9" i="13"/>
  <c r="AK9" i="13"/>
  <c r="AT9" i="13"/>
  <c r="BS9" i="13"/>
  <c r="AI9" i="13"/>
  <c r="AM9" i="13"/>
  <c r="AO9" i="13"/>
  <c r="AF9" i="13"/>
  <c r="BT9" i="13"/>
  <c r="BR9" i="13"/>
  <c r="BK9" i="13"/>
  <c r="BL9" i="13"/>
  <c r="AL9" i="13"/>
  <c r="AU9" i="13"/>
  <c r="BD9" i="13"/>
  <c r="BH9" i="13"/>
  <c r="AR9" i="13"/>
  <c r="BG9" i="13"/>
  <c r="AZ9" i="13"/>
  <c r="BB9" i="13"/>
  <c r="AH9" i="13"/>
  <c r="BI9" i="13"/>
  <c r="BN9" i="13"/>
  <c r="BM9" i="13"/>
  <c r="BC9" i="13"/>
  <c r="AG9" i="13"/>
  <c r="BO9" i="13"/>
  <c r="BF9" i="13"/>
  <c r="BU9" i="13"/>
  <c r="BQ9" i="13"/>
  <c r="AN9" i="13"/>
  <c r="BJ9" i="13"/>
  <c r="AL50" i="13"/>
  <c r="B11" i="13"/>
  <c r="T49" i="13"/>
  <c r="B10" i="13"/>
  <c r="B14" i="13"/>
  <c r="AH53" i="13"/>
  <c r="D8" i="13"/>
  <c r="CC30" i="13"/>
  <c r="D11" i="13"/>
  <c r="BP33" i="13"/>
  <c r="D5" i="13"/>
  <c r="BJ27" i="13"/>
  <c r="B18" i="13"/>
  <c r="AI18" i="13"/>
  <c r="BP18" i="13"/>
  <c r="BF18" i="13"/>
  <c r="AZ18" i="13"/>
  <c r="BT18" i="13"/>
  <c r="BD18" i="13"/>
  <c r="BI18" i="13"/>
  <c r="AQ18" i="13"/>
  <c r="BG18" i="13"/>
  <c r="AN18" i="13"/>
  <c r="BQ18" i="13"/>
  <c r="AW18" i="13"/>
  <c r="BB18" i="13"/>
  <c r="BC18" i="13"/>
  <c r="AX18" i="13"/>
  <c r="AK18" i="13"/>
  <c r="BJ18" i="13"/>
  <c r="AU18" i="13"/>
  <c r="AY18" i="13"/>
  <c r="AE18" i="13"/>
  <c r="AH18" i="13"/>
  <c r="AM18" i="13"/>
  <c r="AP18" i="13"/>
  <c r="BK18" i="13"/>
  <c r="AV18" i="13"/>
  <c r="BU18" i="13"/>
  <c r="AJ18" i="13"/>
  <c r="AF18" i="13"/>
  <c r="BA18" i="13"/>
  <c r="BL18" i="13"/>
  <c r="BH18" i="13"/>
  <c r="BR18" i="13"/>
  <c r="BE18" i="13"/>
  <c r="AG18" i="13"/>
  <c r="AR18" i="13"/>
  <c r="BS18" i="13"/>
  <c r="BN18" i="13"/>
  <c r="BM18" i="13"/>
  <c r="AS18" i="13"/>
  <c r="AO18" i="13"/>
  <c r="AT18" i="13"/>
  <c r="BO18" i="13"/>
  <c r="AL18" i="13"/>
  <c r="W54" i="13"/>
  <c r="AR54" i="13"/>
  <c r="AZ54" i="13"/>
  <c r="AK54" i="13"/>
  <c r="V54" i="13"/>
  <c r="B12" i="13"/>
  <c r="AO12" i="13"/>
  <c r="BN12" i="13"/>
  <c r="BE12" i="13"/>
  <c r="AW12" i="13"/>
  <c r="AM12" i="13"/>
  <c r="AT12" i="13"/>
  <c r="BU12" i="13"/>
  <c r="BM12" i="13"/>
  <c r="AR12" i="13"/>
  <c r="BR12" i="13"/>
  <c r="AE12" i="13"/>
  <c r="BG12" i="13"/>
  <c r="BO12" i="13"/>
  <c r="AF12" i="13"/>
  <c r="AK12" i="13"/>
  <c r="BA12" i="13"/>
  <c r="BL12" i="13"/>
  <c r="AP12" i="13"/>
  <c r="BK12" i="13"/>
  <c r="BQ12" i="13"/>
  <c r="AL12" i="13"/>
  <c r="BT12" i="13"/>
  <c r="AJ12" i="13"/>
  <c r="AY12" i="13"/>
  <c r="AX12" i="13"/>
  <c r="AN12" i="13"/>
  <c r="AH12" i="13"/>
  <c r="BP12" i="13"/>
  <c r="AS12" i="13"/>
  <c r="BJ12" i="13"/>
  <c r="BF12" i="13"/>
  <c r="BI12" i="13"/>
  <c r="BS12" i="13"/>
  <c r="AI12" i="13"/>
  <c r="AZ12" i="13"/>
  <c r="AU12" i="13"/>
  <c r="AG12" i="13"/>
  <c r="BB12" i="13"/>
  <c r="AQ12" i="13"/>
  <c r="AV12" i="13"/>
  <c r="BH12" i="13"/>
  <c r="BD12" i="13"/>
  <c r="BC12" i="13"/>
  <c r="B17" i="13"/>
  <c r="AV17" i="13"/>
  <c r="AN17" i="13"/>
  <c r="AT17" i="13"/>
  <c r="AQ17" i="13"/>
  <c r="AW17" i="13"/>
  <c r="BF17" i="13"/>
  <c r="AU17" i="13"/>
  <c r="BH17" i="13"/>
  <c r="AE17" i="13"/>
  <c r="BD17" i="13"/>
  <c r="AP17" i="13"/>
  <c r="BS17" i="13"/>
  <c r="BG17" i="13"/>
  <c r="BE17" i="13"/>
  <c r="AS17" i="13"/>
  <c r="BK17" i="13"/>
  <c r="AM17" i="13"/>
  <c r="AY17" i="13"/>
  <c r="AG17" i="13"/>
  <c r="BI17" i="13"/>
  <c r="AL17" i="13"/>
  <c r="BC17" i="13"/>
  <c r="AO17" i="13"/>
  <c r="AJ17" i="13"/>
  <c r="BP17" i="13"/>
  <c r="BR17" i="13"/>
  <c r="BO17" i="13"/>
  <c r="BN17" i="13"/>
  <c r="BT17" i="13"/>
  <c r="AF17" i="13"/>
  <c r="AX17" i="13"/>
  <c r="BA17" i="13"/>
  <c r="BQ17" i="13"/>
  <c r="BM17" i="13"/>
  <c r="AH17" i="13"/>
  <c r="AZ17" i="13"/>
  <c r="BU17" i="13"/>
  <c r="AI17" i="13"/>
  <c r="AK17" i="13"/>
  <c r="BL17" i="13"/>
  <c r="BB17" i="13"/>
  <c r="BJ17" i="13"/>
  <c r="AR17" i="13"/>
  <c r="B40" i="13"/>
  <c r="D39" i="13"/>
  <c r="D17" i="13"/>
  <c r="AH83" i="12"/>
  <c r="AV43" i="13"/>
  <c r="AJ45" i="13"/>
  <c r="D4" i="13"/>
  <c r="BU26" i="13"/>
  <c r="BJ34" i="13"/>
  <c r="D12" i="13"/>
  <c r="BC40" i="13"/>
  <c r="AW40" i="13"/>
  <c r="BL40" i="13"/>
  <c r="BF40" i="13"/>
  <c r="BK40" i="13"/>
  <c r="AY40" i="13"/>
  <c r="BT40" i="13"/>
  <c r="AX40" i="13"/>
  <c r="AI40" i="13"/>
  <c r="BU40" i="13"/>
  <c r="AK40" i="13"/>
  <c r="AP40" i="13"/>
  <c r="BI40" i="13"/>
  <c r="BE40" i="13"/>
  <c r="AZ40" i="13"/>
  <c r="BR40" i="13"/>
  <c r="AO40" i="13"/>
  <c r="AF40" i="13"/>
  <c r="AE40" i="13"/>
  <c r="BJ40" i="13"/>
  <c r="BP40" i="13"/>
  <c r="AT40" i="13"/>
  <c r="AS40" i="13"/>
  <c r="BN40" i="13"/>
  <c r="BO40" i="13"/>
  <c r="BD40" i="13"/>
  <c r="BS40" i="13"/>
  <c r="BQ40" i="13"/>
  <c r="AJ40" i="13"/>
  <c r="BH40" i="13"/>
  <c r="AQ40" i="13"/>
  <c r="BB40" i="13"/>
  <c r="AV40" i="13"/>
  <c r="AH40" i="13"/>
  <c r="BG40" i="13"/>
  <c r="AM40" i="13"/>
  <c r="AN40" i="13"/>
  <c r="BA40" i="13"/>
  <c r="AL40" i="13"/>
  <c r="AG40" i="13"/>
  <c r="BM40" i="13"/>
  <c r="AU40" i="13"/>
  <c r="AR40" i="13"/>
  <c r="BB15" i="13"/>
  <c r="AF15" i="13"/>
  <c r="BN15" i="13"/>
  <c r="AE15" i="13"/>
  <c r="AH15" i="13"/>
  <c r="AY15" i="13"/>
  <c r="BL15" i="13"/>
  <c r="BH15" i="13"/>
  <c r="BF15" i="13"/>
  <c r="BQ15" i="13"/>
  <c r="AQ15" i="13"/>
  <c r="AW15" i="13"/>
  <c r="BI15" i="13"/>
  <c r="BP15" i="13"/>
  <c r="BD15" i="13"/>
  <c r="AV15" i="13"/>
  <c r="BE15" i="13"/>
  <c r="BA15" i="13"/>
  <c r="BO15" i="13"/>
  <c r="AI15" i="13"/>
  <c r="AL15" i="13"/>
  <c r="AS15" i="13"/>
  <c r="BK15" i="13"/>
  <c r="AT15" i="13"/>
  <c r="BU15" i="13"/>
  <c r="AN15" i="13"/>
  <c r="BS15" i="13"/>
  <c r="BR15" i="13"/>
  <c r="BT15" i="13"/>
  <c r="AO15" i="13"/>
  <c r="AK15" i="13"/>
  <c r="AJ15" i="13"/>
  <c r="AP15" i="13"/>
  <c r="AG15" i="13"/>
  <c r="BJ15" i="13"/>
  <c r="AU15" i="13"/>
  <c r="BM15" i="13"/>
  <c r="BG15" i="13"/>
  <c r="AZ15" i="13"/>
  <c r="BC15" i="13"/>
  <c r="AM15" i="13"/>
  <c r="AR15" i="13"/>
  <c r="AX15" i="13"/>
  <c r="CB34" i="13"/>
  <c r="BX34" i="13"/>
  <c r="BD34" i="13"/>
  <c r="BG34" i="13"/>
  <c r="BM34" i="13"/>
  <c r="AL51" i="13"/>
  <c r="BR34" i="13"/>
  <c r="BO34" i="13"/>
  <c r="BW34" i="13"/>
  <c r="AT51" i="13"/>
  <c r="BT34" i="13"/>
  <c r="AE51" i="13"/>
  <c r="BP34" i="13"/>
  <c r="BL34" i="13"/>
  <c r="BI34" i="13"/>
  <c r="BB34" i="13"/>
  <c r="BA34" i="13"/>
  <c r="BS34" i="13"/>
  <c r="BN34" i="13"/>
  <c r="BI39" i="13"/>
  <c r="BS39" i="13"/>
  <c r="B39" i="13"/>
  <c r="BC39" i="13"/>
  <c r="BB39" i="13"/>
  <c r="AT39" i="13"/>
  <c r="BM39" i="13"/>
  <c r="BL39" i="13"/>
  <c r="AN39" i="13"/>
  <c r="BE39" i="13"/>
  <c r="BP39" i="13"/>
  <c r="BJ39" i="13"/>
  <c r="AS39" i="13"/>
  <c r="AW39" i="13"/>
  <c r="BA39" i="13"/>
  <c r="AF39" i="13"/>
  <c r="AU39" i="13"/>
  <c r="BO39" i="13"/>
  <c r="BK39" i="13"/>
  <c r="AP39" i="13"/>
  <c r="AG39" i="13"/>
  <c r="AE39" i="13"/>
  <c r="BG39" i="13"/>
  <c r="AR39" i="13"/>
  <c r="AO39" i="13"/>
  <c r="AI39" i="13"/>
  <c r="AM39" i="13"/>
  <c r="BU39" i="13"/>
  <c r="AJ39" i="13"/>
  <c r="AL39" i="13"/>
  <c r="BR39" i="13"/>
  <c r="AV39" i="13"/>
  <c r="BT39" i="13"/>
  <c r="AZ39" i="13"/>
  <c r="AK39" i="13"/>
  <c r="BQ39" i="13"/>
  <c r="AQ39" i="13"/>
  <c r="BD39" i="13"/>
  <c r="AH39" i="13"/>
  <c r="BF39" i="13"/>
  <c r="AX39" i="13"/>
  <c r="AY39" i="13"/>
  <c r="BH39" i="13"/>
  <c r="BN39" i="13"/>
  <c r="F94" i="9"/>
  <c r="D40" i="13"/>
  <c r="D18" i="13"/>
  <c r="BS11" i="13"/>
  <c r="BK11" i="13"/>
  <c r="AX11" i="13"/>
  <c r="BG11" i="13"/>
  <c r="AN11" i="13"/>
  <c r="BJ11" i="13"/>
  <c r="AZ11" i="13"/>
  <c r="BP11" i="13"/>
  <c r="BE11" i="13"/>
  <c r="AY11" i="13"/>
  <c r="AM11" i="13"/>
  <c r="AR11" i="13"/>
  <c r="AV11" i="13"/>
  <c r="AL11" i="13"/>
  <c r="BU11" i="13"/>
  <c r="AH11" i="13"/>
  <c r="AO11" i="13"/>
  <c r="AI11" i="13"/>
  <c r="BN11" i="13"/>
  <c r="BC11" i="13"/>
  <c r="AT11" i="13"/>
  <c r="BF11" i="13"/>
  <c r="AQ11" i="13"/>
  <c r="AK11" i="13"/>
  <c r="AU11" i="13"/>
  <c r="BM11" i="13"/>
  <c r="BQ11" i="13"/>
  <c r="BI11" i="13"/>
  <c r="BD11" i="13"/>
  <c r="BB11" i="13"/>
  <c r="BH11" i="13"/>
  <c r="AP11" i="13"/>
  <c r="BT11" i="13"/>
  <c r="AS11" i="13"/>
  <c r="AW11" i="13"/>
  <c r="BR11" i="13"/>
  <c r="AE11" i="13"/>
  <c r="BO11" i="13"/>
  <c r="AG11" i="13"/>
  <c r="AF11" i="13"/>
  <c r="AJ11" i="13"/>
  <c r="BL11" i="13"/>
  <c r="BA11" i="13"/>
  <c r="D7" i="13"/>
  <c r="BP29" i="13"/>
  <c r="AH47" i="13"/>
  <c r="AK47" i="13"/>
  <c r="BK30" i="13"/>
  <c r="AJ47" i="13"/>
  <c r="BS10" i="13"/>
  <c r="BI10" i="13"/>
  <c r="AZ10" i="13"/>
  <c r="BJ10" i="13"/>
  <c r="BL10" i="13"/>
  <c r="BK10" i="13"/>
  <c r="AO10" i="13"/>
  <c r="BB10" i="13"/>
  <c r="BT10" i="13"/>
  <c r="BC10" i="13"/>
  <c r="AF10" i="13"/>
  <c r="BU10" i="13"/>
  <c r="BD10" i="13"/>
  <c r="BG10" i="13"/>
  <c r="BQ10" i="13"/>
  <c r="AH10" i="13"/>
  <c r="AW10" i="13"/>
  <c r="BE10" i="13"/>
  <c r="BM10" i="13"/>
  <c r="AI10" i="13"/>
  <c r="BA10" i="13"/>
  <c r="AV10" i="13"/>
  <c r="AJ10" i="13"/>
  <c r="BF10" i="13"/>
  <c r="AG10" i="13"/>
  <c r="BO10" i="13"/>
  <c r="BH10" i="13"/>
  <c r="AP10" i="13"/>
  <c r="AR10" i="13"/>
  <c r="AX10" i="13"/>
  <c r="AY10" i="13"/>
  <c r="AS10" i="13"/>
  <c r="AQ10" i="13"/>
  <c r="AK10" i="13"/>
  <c r="AT10" i="13"/>
  <c r="BP10" i="13"/>
  <c r="BR10" i="13"/>
  <c r="AN10" i="13"/>
  <c r="AE10" i="13"/>
  <c r="AU10" i="13"/>
  <c r="AM10" i="13"/>
  <c r="AL10" i="13"/>
  <c r="BN10" i="13"/>
  <c r="AR43" i="13"/>
  <c r="BO14" i="13"/>
  <c r="AV14" i="13"/>
  <c r="BM14" i="13"/>
  <c r="AT14" i="13"/>
  <c r="AR14" i="13"/>
  <c r="BD14" i="13"/>
  <c r="BK14" i="13"/>
  <c r="BH14" i="13"/>
  <c r="AU14" i="13"/>
  <c r="BP14" i="13"/>
  <c r="BG14" i="13"/>
  <c r="AN14" i="13"/>
  <c r="AE14" i="13"/>
  <c r="BL14" i="13"/>
  <c r="BS14" i="13"/>
  <c r="AY14" i="13"/>
  <c r="AX14" i="13"/>
  <c r="AK14" i="13"/>
  <c r="AM14" i="13"/>
  <c r="AO14" i="13"/>
  <c r="BF14" i="13"/>
  <c r="BT14" i="13"/>
  <c r="AP14" i="13"/>
  <c r="AS14" i="13"/>
  <c r="AW14" i="13"/>
  <c r="BN14" i="13"/>
  <c r="BU14" i="13"/>
  <c r="AZ14" i="13"/>
  <c r="AL14" i="13"/>
  <c r="BJ14" i="13"/>
  <c r="BR14" i="13"/>
  <c r="BA14" i="13"/>
  <c r="AH14" i="13"/>
  <c r="AG14" i="13"/>
  <c r="AJ14" i="13"/>
  <c r="BQ14" i="13"/>
  <c r="AQ14" i="13"/>
  <c r="BB14" i="13"/>
  <c r="AF14" i="13"/>
  <c r="BC14" i="13"/>
  <c r="BE14" i="13"/>
  <c r="AI14" i="13"/>
  <c r="BI14" i="13"/>
  <c r="H93" i="9"/>
  <c r="AI51" i="13"/>
  <c r="AT48" i="13"/>
  <c r="C13" i="13"/>
  <c r="D15" i="13"/>
  <c r="BQ37" i="13"/>
  <c r="AU8" i="13"/>
  <c r="BG8" i="13"/>
  <c r="BB8" i="13"/>
  <c r="AE8" i="13"/>
  <c r="BC8" i="13"/>
  <c r="BF8" i="13"/>
  <c r="AS8" i="13"/>
  <c r="AL8" i="13"/>
  <c r="AF8" i="13"/>
  <c r="AG8" i="13"/>
  <c r="BQ8" i="13"/>
  <c r="BA8" i="13"/>
  <c r="AN8" i="13"/>
  <c r="BP8" i="13"/>
  <c r="AM8" i="13"/>
  <c r="BK8" i="13"/>
  <c r="AW8" i="13"/>
  <c r="BI8" i="13"/>
  <c r="AV8" i="13"/>
  <c r="BD8" i="13"/>
  <c r="BT8" i="13"/>
  <c r="AJ8" i="13"/>
  <c r="BM8" i="13"/>
  <c r="BO8" i="13"/>
  <c r="BR8" i="13"/>
  <c r="AY8" i="13"/>
  <c r="BH8" i="13"/>
  <c r="AZ8" i="13"/>
  <c r="AK8" i="13"/>
  <c r="BL8" i="13"/>
  <c r="AX8" i="13"/>
  <c r="AH8" i="13"/>
  <c r="AO8" i="13"/>
  <c r="AI8" i="13"/>
  <c r="AR8" i="13"/>
  <c r="BJ8" i="13"/>
  <c r="AT8" i="13"/>
  <c r="BN8" i="13"/>
  <c r="BE8" i="13"/>
  <c r="AQ8" i="13"/>
  <c r="AP8" i="13"/>
  <c r="BS8" i="13"/>
  <c r="BU8" i="13"/>
  <c r="BV27" i="13"/>
  <c r="BX27" i="13"/>
  <c r="BC27" i="13"/>
  <c r="AH44" i="13"/>
  <c r="AT44" i="13"/>
  <c r="X44" i="13"/>
  <c r="AY44" i="13"/>
  <c r="Z44" i="13"/>
  <c r="BY27" i="13"/>
  <c r="S44" i="13"/>
  <c r="AN44" i="13"/>
  <c r="AQ44" i="13"/>
  <c r="AC44" i="13"/>
  <c r="W44" i="13"/>
  <c r="AS44" i="13"/>
  <c r="AR44" i="13"/>
  <c r="BL27" i="13"/>
  <c r="CB27" i="13"/>
  <c r="CF27" i="13"/>
  <c r="AD44" i="13"/>
  <c r="C110" i="13"/>
  <c r="AG44" i="13"/>
  <c r="BD27" i="13"/>
  <c r="CE27" i="13"/>
  <c r="AI44" i="13"/>
  <c r="BA27" i="13"/>
  <c r="BZ27" i="13"/>
  <c r="AB44" i="13"/>
  <c r="AU44" i="13"/>
  <c r="AL44" i="13"/>
  <c r="AV44" i="13"/>
  <c r="AK44" i="13"/>
  <c r="AW44" i="13"/>
  <c r="AF44" i="13"/>
  <c r="T44" i="13"/>
  <c r="AO44" i="13"/>
  <c r="AP44" i="13"/>
  <c r="AA44" i="13"/>
  <c r="AE44" i="13"/>
  <c r="AX44" i="13"/>
  <c r="AZ44" i="13"/>
  <c r="CA27" i="13"/>
  <c r="BT27" i="13"/>
  <c r="AM44" i="13"/>
  <c r="V44" i="13"/>
  <c r="Y44" i="13"/>
  <c r="U44" i="13"/>
  <c r="BE27" i="13"/>
  <c r="AJ44" i="13"/>
  <c r="AU7" i="13"/>
  <c r="BA7" i="13"/>
  <c r="BG7" i="13"/>
  <c r="AP7" i="13"/>
  <c r="BR7" i="13"/>
  <c r="AY7" i="13"/>
  <c r="AV7" i="13"/>
  <c r="AI7" i="13"/>
  <c r="AW7" i="13"/>
  <c r="BE7" i="13"/>
  <c r="AX7" i="13"/>
  <c r="AL7" i="13"/>
  <c r="BO7" i="13"/>
  <c r="BF7" i="13"/>
  <c r="BT7" i="13"/>
  <c r="AJ7" i="13"/>
  <c r="AK7" i="13"/>
  <c r="BU7" i="13"/>
  <c r="BD7" i="13"/>
  <c r="BQ7" i="13"/>
  <c r="BH7" i="13"/>
  <c r="AM7" i="13"/>
  <c r="BL7" i="13"/>
  <c r="BJ7" i="13"/>
  <c r="AR7" i="13"/>
  <c r="AT7" i="13"/>
  <c r="AF7" i="13"/>
  <c r="AQ7" i="13"/>
  <c r="AZ7" i="13"/>
  <c r="AS7" i="13"/>
  <c r="BN7" i="13"/>
  <c r="AO7" i="13"/>
  <c r="BK7" i="13"/>
  <c r="BP7" i="13"/>
  <c r="BS7" i="13"/>
  <c r="BM7" i="13"/>
  <c r="AE7" i="13"/>
  <c r="AG7" i="13"/>
  <c r="AN7" i="13"/>
  <c r="BB7" i="13"/>
  <c r="BI7" i="13"/>
  <c r="AH7" i="13"/>
  <c r="BC7" i="13"/>
  <c r="CE32" i="13"/>
  <c r="BI32" i="13"/>
  <c r="AC49" i="13"/>
  <c r="BT32" i="13"/>
  <c r="BZ32" i="13"/>
  <c r="CF32" i="13"/>
  <c r="C3" i="13"/>
  <c r="H94" i="9"/>
  <c r="AH83" i="7"/>
  <c r="I74" i="1"/>
  <c r="L75" i="1"/>
  <c r="BR32" i="13"/>
  <c r="BO32" i="13"/>
  <c r="BE32" i="13"/>
  <c r="BD26" i="13"/>
  <c r="AA54" i="13"/>
  <c r="U54" i="13"/>
  <c r="U15" i="13"/>
  <c r="U71" i="13"/>
  <c r="V45" i="13"/>
  <c r="V6" i="13"/>
  <c r="V62" i="13"/>
  <c r="BX32" i="13"/>
  <c r="BV32" i="13"/>
  <c r="CG32" i="13"/>
  <c r="BD32" i="13"/>
  <c r="AY51" i="13"/>
  <c r="BZ34" i="13"/>
  <c r="BF34" i="13"/>
  <c r="CG34" i="13"/>
  <c r="CC34" i="13"/>
  <c r="BK34" i="13"/>
  <c r="CD34" i="13"/>
  <c r="BY34" i="13"/>
  <c r="BH34" i="13"/>
  <c r="BU34" i="13"/>
  <c r="AQ54" i="13"/>
  <c r="AQ71" i="13"/>
  <c r="AJ54" i="13"/>
  <c r="AS54" i="13"/>
  <c r="X54" i="13"/>
  <c r="X15" i="13"/>
  <c r="X71" i="13"/>
  <c r="AI54" i="13"/>
  <c r="AO50" i="13"/>
  <c r="AA50" i="13"/>
  <c r="AH45" i="13"/>
  <c r="AH62" i="13"/>
  <c r="BR30" i="13"/>
  <c r="AM54" i="13"/>
  <c r="AP54" i="13"/>
  <c r="L70" i="1"/>
  <c r="CD32" i="13"/>
  <c r="BU32" i="13"/>
  <c r="BM32" i="13"/>
  <c r="BF32" i="13"/>
  <c r="BK32" i="13"/>
  <c r="CB26" i="13"/>
  <c r="BY30" i="13"/>
  <c r="BO30" i="13"/>
  <c r="BC34" i="13"/>
  <c r="CE34" i="13"/>
  <c r="BV34" i="13"/>
  <c r="AN51" i="13"/>
  <c r="CF34" i="13"/>
  <c r="BE34" i="13"/>
  <c r="CA34" i="13"/>
  <c r="BQ34" i="13"/>
  <c r="S54" i="13"/>
  <c r="AE54" i="13"/>
  <c r="AH54" i="13"/>
  <c r="AH71" i="13"/>
  <c r="AT54" i="13"/>
  <c r="AT71" i="13"/>
  <c r="AD54" i="13"/>
  <c r="C120" i="13"/>
  <c r="BX33" i="13"/>
  <c r="CG33" i="13"/>
  <c r="AD53" i="13"/>
  <c r="C119" i="13"/>
  <c r="AU45" i="13"/>
  <c r="BR36" i="13"/>
  <c r="BV30" i="13"/>
  <c r="AA47" i="13"/>
  <c r="AA8" i="13"/>
  <c r="AA64" i="13"/>
  <c r="AP47" i="13"/>
  <c r="CC29" i="13"/>
  <c r="BE36" i="13"/>
  <c r="AA43" i="13"/>
  <c r="AA4" i="13"/>
  <c r="AA60" i="13"/>
  <c r="BE30" i="13"/>
  <c r="AB47" i="13"/>
  <c r="AV47" i="13"/>
  <c r="AS47" i="13"/>
  <c r="AS64" i="13"/>
  <c r="BA30" i="13"/>
  <c r="BQ30" i="13"/>
  <c r="U47" i="13"/>
  <c r="U8" i="13"/>
  <c r="U64" i="13"/>
  <c r="BC30" i="13"/>
  <c r="AU51" i="13"/>
  <c r="CG37" i="13"/>
  <c r="AH50" i="13"/>
  <c r="AH67" i="13"/>
  <c r="AW50" i="13"/>
  <c r="AU50" i="13"/>
  <c r="AZ50" i="13"/>
  <c r="AZ67" i="13"/>
  <c r="AT50" i="13"/>
  <c r="AT67" i="13"/>
  <c r="X53" i="13"/>
  <c r="AF53" i="13"/>
  <c r="Z53" i="13"/>
  <c r="Z14" i="13"/>
  <c r="Z70" i="13"/>
  <c r="CB28" i="13"/>
  <c r="BX28" i="13"/>
  <c r="AR45" i="13"/>
  <c r="AV45" i="13"/>
  <c r="CE36" i="13"/>
  <c r="BL28" i="13"/>
  <c r="BG30" i="13"/>
  <c r="CG30" i="13"/>
  <c r="S47" i="13"/>
  <c r="CB30" i="13"/>
  <c r="BC36" i="13"/>
  <c r="BO28" i="13"/>
  <c r="BF28" i="13"/>
  <c r="AT43" i="13"/>
  <c r="AT60" i="13"/>
  <c r="Y47" i="13"/>
  <c r="CA30" i="13"/>
  <c r="BD30" i="13"/>
  <c r="AO47" i="13"/>
  <c r="AT47" i="13"/>
  <c r="BN30" i="13"/>
  <c r="W47" i="13"/>
  <c r="W8" i="13"/>
  <c r="W64" i="13"/>
  <c r="AK51" i="13"/>
  <c r="AK68" i="13"/>
  <c r="U50" i="13"/>
  <c r="AE50" i="13"/>
  <c r="AE67" i="13"/>
  <c r="AJ50" i="13"/>
  <c r="AJ67" i="13"/>
  <c r="BC33" i="13"/>
  <c r="AV53" i="13"/>
  <c r="BY36" i="13"/>
  <c r="CD36" i="13"/>
  <c r="AL45" i="13"/>
  <c r="BT28" i="13"/>
  <c r="BM28" i="13"/>
  <c r="AX45" i="13"/>
  <c r="AX62" i="13"/>
  <c r="BU31" i="13"/>
  <c r="BY31" i="13"/>
  <c r="Y43" i="13"/>
  <c r="Y4" i="13"/>
  <c r="Y60" i="13"/>
  <c r="W43" i="13"/>
  <c r="W4" i="13"/>
  <c r="W60" i="13"/>
  <c r="BR37" i="13"/>
  <c r="BA33" i="13"/>
  <c r="BJ33" i="13"/>
  <c r="AA53" i="13"/>
  <c r="AA14" i="13"/>
  <c r="AA70" i="13"/>
  <c r="BB31" i="13"/>
  <c r="BJ31" i="13"/>
  <c r="BG31" i="13"/>
  <c r="BQ31" i="13"/>
  <c r="BP32" i="13"/>
  <c r="BQ32" i="13"/>
  <c r="BB32" i="13"/>
  <c r="BL32" i="13"/>
  <c r="CA32" i="13"/>
  <c r="BW32" i="13"/>
  <c r="BC32" i="13"/>
  <c r="BH32" i="13"/>
  <c r="BI27" i="13"/>
  <c r="BM27" i="13"/>
  <c r="BH27" i="13"/>
  <c r="BB27" i="13"/>
  <c r="CC27" i="13"/>
  <c r="BF27" i="13"/>
  <c r="BS27" i="13"/>
  <c r="CG27" i="13"/>
  <c r="BQ27" i="13"/>
  <c r="BU27" i="13"/>
  <c r="BK27" i="13"/>
  <c r="BO27" i="13"/>
  <c r="BP27" i="13"/>
  <c r="AN43" i="13"/>
  <c r="AN60" i="13"/>
  <c r="BV26" i="13"/>
  <c r="AY43" i="13"/>
  <c r="AY60" i="13"/>
  <c r="AZ43" i="13"/>
  <c r="AZ60" i="13"/>
  <c r="BY26" i="13"/>
  <c r="W51" i="13"/>
  <c r="W12" i="13"/>
  <c r="W68" i="13"/>
  <c r="S51" i="13"/>
  <c r="AX51" i="13"/>
  <c r="AX68" i="13"/>
  <c r="X51" i="13"/>
  <c r="X12" i="13"/>
  <c r="X68" i="13"/>
  <c r="BD37" i="13"/>
  <c r="AW54" i="13"/>
  <c r="AW71" i="13"/>
  <c r="CD37" i="13"/>
  <c r="BH37" i="13"/>
  <c r="AX54" i="13"/>
  <c r="AX71" i="13"/>
  <c r="AU54" i="13"/>
  <c r="AU71" i="13"/>
  <c r="Y54" i="13"/>
  <c r="Y15" i="13"/>
  <c r="Y71" i="13"/>
  <c r="T54" i="13"/>
  <c r="T15" i="13"/>
  <c r="T71" i="13"/>
  <c r="AB54" i="13"/>
  <c r="AB15" i="13"/>
  <c r="AB71" i="13"/>
  <c r="AN54" i="13"/>
  <c r="AN71" i="13"/>
  <c r="AM50" i="13"/>
  <c r="AM67" i="13"/>
  <c r="CE33" i="13"/>
  <c r="CD33" i="13"/>
  <c r="AR50" i="13"/>
  <c r="X50" i="13"/>
  <c r="X11" i="13"/>
  <c r="X67" i="13"/>
  <c r="BE33" i="13"/>
  <c r="BG33" i="13"/>
  <c r="BT33" i="13"/>
  <c r="AV50" i="13"/>
  <c r="AV67" i="13"/>
  <c r="BD29" i="13"/>
  <c r="AC53" i="13"/>
  <c r="AC14" i="13"/>
  <c r="AC70" i="13"/>
  <c r="BV36" i="13"/>
  <c r="AU53" i="13"/>
  <c r="AU70" i="13"/>
  <c r="S53" i="13"/>
  <c r="S14" i="13"/>
  <c r="S70" i="13"/>
  <c r="AK53" i="13"/>
  <c r="AK70" i="13"/>
  <c r="AS53" i="13"/>
  <c r="AS70" i="13"/>
  <c r="BW31" i="13"/>
  <c r="BF31" i="13"/>
  <c r="BC31" i="13"/>
  <c r="BM31" i="13"/>
  <c r="BI31" i="13"/>
  <c r="Z45" i="13"/>
  <c r="Z6" i="13"/>
  <c r="Z62" i="13"/>
  <c r="BI28" i="13"/>
  <c r="BZ28" i="13"/>
  <c r="AZ45" i="13"/>
  <c r="AZ62" i="13"/>
  <c r="AB45" i="13"/>
  <c r="AB6" i="13"/>
  <c r="AB62" i="13"/>
  <c r="AS45" i="13"/>
  <c r="AS62" i="13"/>
  <c r="AT45" i="13"/>
  <c r="AT62" i="13"/>
  <c r="BD31" i="13"/>
  <c r="BH31" i="13"/>
  <c r="BV31" i="13"/>
  <c r="AJ43" i="13"/>
  <c r="AX43" i="13"/>
  <c r="AX60" i="13"/>
  <c r="BR33" i="13"/>
  <c r="BC29" i="13"/>
  <c r="AB53" i="13"/>
  <c r="AB14" i="13"/>
  <c r="AB70" i="13"/>
  <c r="BG32" i="13"/>
  <c r="CC32" i="13"/>
  <c r="BA32" i="13"/>
  <c r="BJ32" i="13"/>
  <c r="CB32" i="13"/>
  <c r="BN32" i="13"/>
  <c r="BS32" i="13"/>
  <c r="X49" i="13"/>
  <c r="X10" i="13"/>
  <c r="X66" i="13"/>
  <c r="BW27" i="13"/>
  <c r="BG27" i="13"/>
  <c r="CD27" i="13"/>
  <c r="BN27" i="13"/>
  <c r="BR27" i="13"/>
  <c r="AD43" i="13"/>
  <c r="C109" i="13"/>
  <c r="BG26" i="13"/>
  <c r="AC43" i="13"/>
  <c r="AC4" i="13"/>
  <c r="AC60" i="13"/>
  <c r="T51" i="13"/>
  <c r="T12" i="13"/>
  <c r="T68" i="13"/>
  <c r="Y51" i="13"/>
  <c r="Y12" i="13"/>
  <c r="Y68" i="13"/>
  <c r="AJ51" i="13"/>
  <c r="AJ68" i="13"/>
  <c r="AO51" i="13"/>
  <c r="AO68" i="13"/>
  <c r="BJ37" i="13"/>
  <c r="AL54" i="13"/>
  <c r="AG54" i="13"/>
  <c r="AG71" i="13"/>
  <c r="AO54" i="13"/>
  <c r="AO71" i="13"/>
  <c r="AY54" i="13"/>
  <c r="AY71" i="13"/>
  <c r="AF54" i="13"/>
  <c r="Z54" i="13"/>
  <c r="Z15" i="13"/>
  <c r="Z71" i="13"/>
  <c r="AC54" i="13"/>
  <c r="BO33" i="13"/>
  <c r="BI33" i="13"/>
  <c r="BB33" i="13"/>
  <c r="BY29" i="13"/>
  <c r="AP53" i="13"/>
  <c r="AP70" i="13"/>
  <c r="AL53" i="13"/>
  <c r="AL70" i="13"/>
  <c r="AR53" i="13"/>
  <c r="AR70" i="13"/>
  <c r="AW53" i="13"/>
  <c r="AW70" i="13"/>
  <c r="AT53" i="13"/>
  <c r="AT70" i="13"/>
  <c r="AH83" i="8"/>
  <c r="BX31" i="13"/>
  <c r="BZ31" i="13"/>
  <c r="AK48" i="13"/>
  <c r="AK65" i="13"/>
  <c r="AN45" i="13"/>
  <c r="AN62" i="13"/>
  <c r="AD45" i="13"/>
  <c r="C111" i="13"/>
  <c r="AG45" i="13"/>
  <c r="AG62" i="13"/>
  <c r="AQ45" i="13"/>
  <c r="BV28" i="13"/>
  <c r="BH28" i="13"/>
  <c r="J4" i="13"/>
  <c r="J60" i="13"/>
  <c r="O4" i="13"/>
  <c r="O60" i="13"/>
  <c r="R4" i="13"/>
  <c r="R60" i="13"/>
  <c r="M4" i="13"/>
  <c r="M60" i="13"/>
  <c r="V4" i="13"/>
  <c r="AB4" i="13"/>
  <c r="H4" i="13"/>
  <c r="H60" i="13"/>
  <c r="Q4" i="13"/>
  <c r="Q60" i="13"/>
  <c r="L4" i="13"/>
  <c r="L60" i="13"/>
  <c r="G4" i="13"/>
  <c r="G60" i="13"/>
  <c r="F4" i="13"/>
  <c r="F60" i="13"/>
  <c r="I4" i="13"/>
  <c r="I60" i="13"/>
  <c r="X4" i="13"/>
  <c r="S4" i="13"/>
  <c r="AD4" i="13"/>
  <c r="P4" i="13"/>
  <c r="P60" i="13"/>
  <c r="Z4" i="13"/>
  <c r="K4" i="13"/>
  <c r="K60" i="13"/>
  <c r="N4" i="13"/>
  <c r="N60" i="13"/>
  <c r="U4" i="13"/>
  <c r="T4" i="13"/>
  <c r="M18" i="13"/>
  <c r="AD18" i="13"/>
  <c r="L18" i="13"/>
  <c r="AB18" i="13"/>
  <c r="W18" i="13"/>
  <c r="AC18" i="13"/>
  <c r="AA18" i="13"/>
  <c r="P18" i="13"/>
  <c r="I18" i="13"/>
  <c r="H18" i="13"/>
  <c r="U18" i="13"/>
  <c r="J18" i="13"/>
  <c r="Y18" i="13"/>
  <c r="G18" i="13"/>
  <c r="S18" i="13"/>
  <c r="T18" i="13"/>
  <c r="R18" i="13"/>
  <c r="F18" i="13"/>
  <c r="N18" i="13"/>
  <c r="Q18" i="13"/>
  <c r="Z18" i="13"/>
  <c r="V18" i="13"/>
  <c r="X18" i="13"/>
  <c r="K18" i="13"/>
  <c r="O18" i="13"/>
  <c r="E39" i="13"/>
  <c r="E17" i="13"/>
  <c r="CG54" i="13"/>
  <c r="CG71" i="13"/>
  <c r="CF54" i="13"/>
  <c r="CF71" i="13"/>
  <c r="BX54" i="13"/>
  <c r="BX71" i="13"/>
  <c r="BG54" i="13"/>
  <c r="BG71" i="13"/>
  <c r="CC54" i="13"/>
  <c r="CC71" i="13"/>
  <c r="BP54" i="13"/>
  <c r="BP71" i="13"/>
  <c r="BJ54" i="13"/>
  <c r="BJ71" i="13"/>
  <c r="BT54" i="13"/>
  <c r="BT71" i="13"/>
  <c r="BI54" i="13"/>
  <c r="BI71" i="13"/>
  <c r="BL54" i="13"/>
  <c r="BL71" i="13"/>
  <c r="BQ54" i="13"/>
  <c r="BQ71" i="13"/>
  <c r="BU54" i="13"/>
  <c r="BA54" i="13"/>
  <c r="BA71" i="13"/>
  <c r="BW54" i="13"/>
  <c r="BW71" i="13"/>
  <c r="BD54" i="13"/>
  <c r="BD71" i="13"/>
  <c r="CD54" i="13"/>
  <c r="CD71" i="13"/>
  <c r="CE54" i="13"/>
  <c r="CE71" i="13"/>
  <c r="BR54" i="13"/>
  <c r="BR71" i="13"/>
  <c r="BK54" i="13"/>
  <c r="BK71" i="13"/>
  <c r="BZ54" i="13"/>
  <c r="BZ71" i="13"/>
  <c r="BY54" i="13"/>
  <c r="BY71" i="13"/>
  <c r="BF54" i="13"/>
  <c r="BF71" i="13"/>
  <c r="BC54" i="13"/>
  <c r="BC71" i="13"/>
  <c r="BS54" i="13"/>
  <c r="BS71" i="13"/>
  <c r="BH54" i="13"/>
  <c r="BH71" i="13"/>
  <c r="CA54" i="13"/>
  <c r="CA71" i="13"/>
  <c r="BV54" i="13"/>
  <c r="BV71" i="13"/>
  <c r="BO54" i="13"/>
  <c r="BO71" i="13"/>
  <c r="BM54" i="13"/>
  <c r="BM71" i="13"/>
  <c r="CB54" i="13"/>
  <c r="CB71" i="13"/>
  <c r="BN54" i="13"/>
  <c r="BN71" i="13"/>
  <c r="BB54" i="13"/>
  <c r="BB71" i="13"/>
  <c r="BE54" i="13"/>
  <c r="BE71" i="13"/>
  <c r="CF37" i="13"/>
  <c r="CC37" i="13"/>
  <c r="BP37" i="13"/>
  <c r="BW37" i="13"/>
  <c r="BT37" i="13"/>
  <c r="BE37" i="13"/>
  <c r="BL37" i="13"/>
  <c r="BY37" i="13"/>
  <c r="BA37" i="13"/>
  <c r="BK37" i="13"/>
  <c r="BZ37" i="13"/>
  <c r="BI37" i="13"/>
  <c r="CB37" i="13"/>
  <c r="BC37" i="13"/>
  <c r="CE37" i="13"/>
  <c r="BU37" i="13"/>
  <c r="M31" i="13"/>
  <c r="I31" i="13"/>
  <c r="P31" i="13"/>
  <c r="K31" i="13"/>
  <c r="O31" i="13"/>
  <c r="L31" i="13"/>
  <c r="G31" i="13"/>
  <c r="N31" i="13"/>
  <c r="J31" i="13"/>
  <c r="H31" i="13"/>
  <c r="R31" i="13"/>
  <c r="Q31" i="13"/>
  <c r="S31" i="13"/>
  <c r="AH31" i="13"/>
  <c r="AJ31" i="13"/>
  <c r="AB31" i="13"/>
  <c r="AV31" i="13"/>
  <c r="AQ31" i="13"/>
  <c r="AE31" i="13"/>
  <c r="Y31" i="13"/>
  <c r="AW31" i="13"/>
  <c r="AI31" i="13"/>
  <c r="AF31" i="13"/>
  <c r="AL31" i="13"/>
  <c r="T31" i="13"/>
  <c r="AY31" i="13"/>
  <c r="AR31" i="13"/>
  <c r="AG31" i="13"/>
  <c r="AC31" i="13"/>
  <c r="AX31" i="13"/>
  <c r="W31" i="13"/>
  <c r="AD31" i="13"/>
  <c r="F31" i="13"/>
  <c r="AS31" i="13"/>
  <c r="U31" i="13"/>
  <c r="AZ31" i="13"/>
  <c r="Z31" i="13"/>
  <c r="AM31" i="13"/>
  <c r="AT31" i="13"/>
  <c r="X31" i="13"/>
  <c r="AK31" i="13"/>
  <c r="V31" i="13"/>
  <c r="AT65" i="13"/>
  <c r="AU31" i="13"/>
  <c r="AA31" i="13"/>
  <c r="AO31" i="13"/>
  <c r="AP31" i="13"/>
  <c r="AN31" i="13"/>
  <c r="AN48" i="13"/>
  <c r="AN65" i="13"/>
  <c r="AZ48" i="13"/>
  <c r="AZ65" i="13"/>
  <c r="U48" i="13"/>
  <c r="U9" i="13"/>
  <c r="U65" i="13"/>
  <c r="AE48" i="13"/>
  <c r="AE65" i="13"/>
  <c r="AJ48" i="13"/>
  <c r="AJ65" i="13"/>
  <c r="W48" i="13"/>
  <c r="W9" i="13"/>
  <c r="W65" i="13"/>
  <c r="V48" i="13"/>
  <c r="V9" i="13"/>
  <c r="V65" i="13"/>
  <c r="X48" i="13"/>
  <c r="X9" i="13"/>
  <c r="X65" i="13"/>
  <c r="AG48" i="13"/>
  <c r="AG65" i="13"/>
  <c r="AI48" i="13"/>
  <c r="AI65" i="13"/>
  <c r="Z48" i="13"/>
  <c r="Z9" i="13"/>
  <c r="Z65" i="13"/>
  <c r="AU48" i="13"/>
  <c r="AU65" i="13"/>
  <c r="AV48" i="13"/>
  <c r="AV65" i="13"/>
  <c r="AQ48" i="13"/>
  <c r="AQ65" i="13"/>
  <c r="S48" i="13"/>
  <c r="S9" i="13"/>
  <c r="S65" i="13"/>
  <c r="AF48" i="13"/>
  <c r="AF65" i="13"/>
  <c r="Y48" i="13"/>
  <c r="Y9" i="13"/>
  <c r="Y65" i="13"/>
  <c r="AW48" i="13"/>
  <c r="AW65" i="13"/>
  <c r="AM48" i="13"/>
  <c r="AM65" i="13"/>
  <c r="AL48" i="13"/>
  <c r="AL65" i="13"/>
  <c r="AH48" i="13"/>
  <c r="AH65" i="13"/>
  <c r="AD48" i="13"/>
  <c r="C114" i="13"/>
  <c r="T48" i="13"/>
  <c r="T9" i="13"/>
  <c r="T65" i="13"/>
  <c r="AC48" i="13"/>
  <c r="AC9" i="13"/>
  <c r="AC65" i="13"/>
  <c r="AR48" i="13"/>
  <c r="AR65" i="13"/>
  <c r="BP46" i="13"/>
  <c r="BP63" i="13"/>
  <c r="BY46" i="13"/>
  <c r="BY63" i="13"/>
  <c r="BE46" i="13"/>
  <c r="BE63" i="13"/>
  <c r="BT46" i="13"/>
  <c r="BT63" i="13"/>
  <c r="BH46" i="13"/>
  <c r="BH63" i="13"/>
  <c r="CE46" i="13"/>
  <c r="CE63" i="13"/>
  <c r="BF46" i="13"/>
  <c r="BF63" i="13"/>
  <c r="BJ46" i="13"/>
  <c r="BJ63" i="13"/>
  <c r="BL46" i="13"/>
  <c r="BL63" i="13"/>
  <c r="BW46" i="13"/>
  <c r="BW63" i="13"/>
  <c r="BM46" i="13"/>
  <c r="BM63" i="13"/>
  <c r="BG46" i="13"/>
  <c r="BG63" i="13"/>
  <c r="BN46" i="13"/>
  <c r="BN63" i="13"/>
  <c r="BV46" i="13"/>
  <c r="BV63" i="13"/>
  <c r="BR46" i="13"/>
  <c r="BR63" i="13"/>
  <c r="BD46" i="13"/>
  <c r="BD63" i="13"/>
  <c r="BS46" i="13"/>
  <c r="BS63" i="13"/>
  <c r="CA46" i="13"/>
  <c r="CA63" i="13"/>
  <c r="BA46" i="13"/>
  <c r="BA63" i="13"/>
  <c r="CG46" i="13"/>
  <c r="CG63" i="13"/>
  <c r="CF46" i="13"/>
  <c r="CF63" i="13"/>
  <c r="BQ46" i="13"/>
  <c r="BQ63" i="13"/>
  <c r="CB46" i="13"/>
  <c r="CB63" i="13"/>
  <c r="BU46" i="13"/>
  <c r="BO46" i="13"/>
  <c r="BO63" i="13"/>
  <c r="CC46" i="13"/>
  <c r="CC63" i="13"/>
  <c r="BX46" i="13"/>
  <c r="BX63" i="13"/>
  <c r="BK46" i="13"/>
  <c r="BK63" i="13"/>
  <c r="BZ46" i="13"/>
  <c r="BZ63" i="13"/>
  <c r="CD46" i="13"/>
  <c r="CD63" i="13"/>
  <c r="BI46" i="13"/>
  <c r="BI63" i="13"/>
  <c r="BB46" i="13"/>
  <c r="BB63" i="13"/>
  <c r="BC46" i="13"/>
  <c r="BC63" i="13"/>
  <c r="CF29" i="13"/>
  <c r="CD29" i="13"/>
  <c r="BF29" i="13"/>
  <c r="CA29" i="13"/>
  <c r="BR29" i="13"/>
  <c r="CE29" i="13"/>
  <c r="BM29" i="13"/>
  <c r="BK29" i="13"/>
  <c r="CB29" i="13"/>
  <c r="BL29" i="13"/>
  <c r="BV29" i="13"/>
  <c r="BX29" i="13"/>
  <c r="BJ29" i="13"/>
  <c r="BG29" i="13"/>
  <c r="CG29" i="13"/>
  <c r="BH29" i="13"/>
  <c r="BA29" i="13"/>
  <c r="BZ29" i="13"/>
  <c r="BT29" i="13"/>
  <c r="BE29" i="13"/>
  <c r="BW29" i="13"/>
  <c r="BO29" i="13"/>
  <c r="BQ29" i="13"/>
  <c r="CG4" i="13"/>
  <c r="CP4" i="13"/>
  <c r="CA4" i="13"/>
  <c r="CL4" i="13"/>
  <c r="BV4" i="13"/>
  <c r="CD4" i="13"/>
  <c r="CH4" i="13"/>
  <c r="CQ4" i="13"/>
  <c r="CF4" i="13"/>
  <c r="CK4" i="13"/>
  <c r="BW4" i="13"/>
  <c r="CE4" i="13"/>
  <c r="CC4" i="13"/>
  <c r="CO4" i="13"/>
  <c r="BZ4" i="13"/>
  <c r="BX4" i="13"/>
  <c r="CJ4" i="13"/>
  <c r="E4" i="13"/>
  <c r="CR4" i="13"/>
  <c r="CM4" i="13"/>
  <c r="CN4" i="13"/>
  <c r="CB4" i="13"/>
  <c r="CI4" i="13"/>
  <c r="BY4" i="13"/>
  <c r="AO26" i="13"/>
  <c r="Y26" i="13"/>
  <c r="O26" i="13"/>
  <c r="AD26" i="13"/>
  <c r="Z26" i="13"/>
  <c r="L26" i="13"/>
  <c r="AB26" i="13"/>
  <c r="P26" i="13"/>
  <c r="F26" i="13"/>
  <c r="AI26" i="13"/>
  <c r="AX26" i="13"/>
  <c r="AP26" i="13"/>
  <c r="W26" i="13"/>
  <c r="T26" i="13"/>
  <c r="AW26" i="13"/>
  <c r="I26" i="13"/>
  <c r="M26" i="13"/>
  <c r="AQ26" i="13"/>
  <c r="AK26" i="13"/>
  <c r="AJ26" i="13"/>
  <c r="AH26" i="13"/>
  <c r="AS26" i="13"/>
  <c r="X26" i="13"/>
  <c r="H26" i="13"/>
  <c r="S26" i="13"/>
  <c r="AV26" i="13"/>
  <c r="Q26" i="13"/>
  <c r="AR26" i="13"/>
  <c r="AF26" i="13"/>
  <c r="J26" i="13"/>
  <c r="AN26" i="13"/>
  <c r="U26" i="13"/>
  <c r="AZ26" i="13"/>
  <c r="AE26" i="13"/>
  <c r="AK43" i="13"/>
  <c r="AK60" i="13"/>
  <c r="AR60" i="13"/>
  <c r="AJ60" i="13"/>
  <c r="AY26" i="13"/>
  <c r="K26" i="13"/>
  <c r="N26" i="13"/>
  <c r="AM26" i="13"/>
  <c r="V26" i="13"/>
  <c r="AC26" i="13"/>
  <c r="AT26" i="13"/>
  <c r="AG26" i="13"/>
  <c r="R26" i="13"/>
  <c r="AU26" i="13"/>
  <c r="AV60" i="13"/>
  <c r="AA26" i="13"/>
  <c r="AL26" i="13"/>
  <c r="G26" i="13"/>
  <c r="V43" i="13"/>
  <c r="V60" i="13"/>
  <c r="AQ43" i="13"/>
  <c r="AQ60" i="13"/>
  <c r="AG43" i="13"/>
  <c r="AG60" i="13"/>
  <c r="AW43" i="13"/>
  <c r="AW60" i="13"/>
  <c r="Z43" i="13"/>
  <c r="Z60" i="13"/>
  <c r="AS43" i="13"/>
  <c r="AS60" i="13"/>
  <c r="AB43" i="13"/>
  <c r="AB60" i="13"/>
  <c r="AE43" i="13"/>
  <c r="AE60" i="13"/>
  <c r="AI43" i="13"/>
  <c r="AI60" i="13"/>
  <c r="T43" i="13"/>
  <c r="T60" i="13"/>
  <c r="S43" i="13"/>
  <c r="S60" i="13"/>
  <c r="U43" i="13"/>
  <c r="U60" i="13"/>
  <c r="AU43" i="13"/>
  <c r="AU60" i="13"/>
  <c r="AL43" i="13"/>
  <c r="AL60" i="13"/>
  <c r="AM43" i="13"/>
  <c r="AM60" i="13"/>
  <c r="AO43" i="13"/>
  <c r="AO60" i="13"/>
  <c r="X43" i="13"/>
  <c r="X60" i="13"/>
  <c r="CN39" i="13"/>
  <c r="CJ39" i="13"/>
  <c r="CD39" i="13"/>
  <c r="CK39" i="13"/>
  <c r="CI39" i="13"/>
  <c r="CG39" i="13"/>
  <c r="CF39" i="13"/>
  <c r="BY39" i="13"/>
  <c r="CE39" i="13"/>
  <c r="CP39" i="13"/>
  <c r="CA39" i="13"/>
  <c r="CB39" i="13"/>
  <c r="BV39" i="13"/>
  <c r="BX39" i="13"/>
  <c r="CH39" i="13"/>
  <c r="CR39" i="13"/>
  <c r="BW39" i="13"/>
  <c r="CC39" i="13"/>
  <c r="CL39" i="13"/>
  <c r="CQ39" i="13"/>
  <c r="CO39" i="13"/>
  <c r="CM39" i="13"/>
  <c r="BZ39" i="13"/>
  <c r="M40" i="13"/>
  <c r="W40" i="13"/>
  <c r="I40" i="13"/>
  <c r="AB40" i="13"/>
  <c r="K40" i="13"/>
  <c r="P40" i="13"/>
  <c r="T40" i="13"/>
  <c r="AC40" i="13"/>
  <c r="F40" i="13"/>
  <c r="G40" i="13"/>
  <c r="AA40" i="13"/>
  <c r="X40" i="13"/>
  <c r="S40" i="13"/>
  <c r="J40" i="13"/>
  <c r="U40" i="13"/>
  <c r="L40" i="13"/>
  <c r="O40" i="13"/>
  <c r="H40" i="13"/>
  <c r="Y40" i="13"/>
  <c r="N40" i="13"/>
  <c r="Z40" i="13"/>
  <c r="Q40" i="13"/>
  <c r="V40" i="13"/>
  <c r="R40" i="13"/>
  <c r="AD40" i="13"/>
  <c r="BJ47" i="13"/>
  <c r="BJ64" i="13"/>
  <c r="BM47" i="13"/>
  <c r="BM64" i="13"/>
  <c r="BC47" i="13"/>
  <c r="BC64" i="13"/>
  <c r="CC47" i="13"/>
  <c r="CC64" i="13"/>
  <c r="BX47" i="13"/>
  <c r="BX64" i="13"/>
  <c r="BA47" i="13"/>
  <c r="BA64" i="13"/>
  <c r="BZ47" i="13"/>
  <c r="BZ64" i="13"/>
  <c r="CD47" i="13"/>
  <c r="CD64" i="13"/>
  <c r="BO47" i="13"/>
  <c r="BO64" i="13"/>
  <c r="BK47" i="13"/>
  <c r="BK64" i="13"/>
  <c r="CB47" i="13"/>
  <c r="CB64" i="13"/>
  <c r="BT47" i="13"/>
  <c r="BT64" i="13"/>
  <c r="BV47" i="13"/>
  <c r="BV64" i="13"/>
  <c r="CF47" i="13"/>
  <c r="CF64" i="13"/>
  <c r="BR47" i="13"/>
  <c r="BR64" i="13"/>
  <c r="BW47" i="13"/>
  <c r="BW64" i="13"/>
  <c r="CG47" i="13"/>
  <c r="CG64" i="13"/>
  <c r="BP47" i="13"/>
  <c r="BP64" i="13"/>
  <c r="CA47" i="13"/>
  <c r="CA64" i="13"/>
  <c r="BL47" i="13"/>
  <c r="BL64" i="13"/>
  <c r="BU47" i="13"/>
  <c r="CE47" i="13"/>
  <c r="CE64" i="13"/>
  <c r="BE47" i="13"/>
  <c r="BE64" i="13"/>
  <c r="BI47" i="13"/>
  <c r="BI64" i="13"/>
  <c r="BY47" i="13"/>
  <c r="BY64" i="13"/>
  <c r="BD47" i="13"/>
  <c r="BD64" i="13"/>
  <c r="BN47" i="13"/>
  <c r="BN64" i="13"/>
  <c r="BG47" i="13"/>
  <c r="BG64" i="13"/>
  <c r="BF47" i="13"/>
  <c r="BF64" i="13"/>
  <c r="BH47" i="13"/>
  <c r="BH64" i="13"/>
  <c r="BS47" i="13"/>
  <c r="BS64" i="13"/>
  <c r="BQ47" i="13"/>
  <c r="BQ64" i="13"/>
  <c r="BB47" i="13"/>
  <c r="BB64" i="13"/>
  <c r="BL30" i="13"/>
  <c r="BU30" i="13"/>
  <c r="BF30" i="13"/>
  <c r="BX30" i="13"/>
  <c r="CF30" i="13"/>
  <c r="BT30" i="13"/>
  <c r="BZ30" i="13"/>
  <c r="BS30" i="13"/>
  <c r="BW30" i="13"/>
  <c r="BJ30" i="13"/>
  <c r="BB30" i="13"/>
  <c r="CD30" i="13"/>
  <c r="BP30" i="13"/>
  <c r="BH30" i="13"/>
  <c r="CE30" i="13"/>
  <c r="AD5" i="13"/>
  <c r="K5" i="13"/>
  <c r="K61" i="13"/>
  <c r="V5" i="13"/>
  <c r="Z5" i="13"/>
  <c r="G5" i="13"/>
  <c r="G61" i="13"/>
  <c r="Q5" i="13"/>
  <c r="Q61" i="13"/>
  <c r="X5" i="13"/>
  <c r="W5" i="13"/>
  <c r="U5" i="13"/>
  <c r="Y5" i="13"/>
  <c r="R5" i="13"/>
  <c r="R61" i="13"/>
  <c r="I5" i="13"/>
  <c r="I61" i="13"/>
  <c r="L5" i="13"/>
  <c r="L61" i="13"/>
  <c r="H5" i="13"/>
  <c r="H61" i="13"/>
  <c r="N5" i="13"/>
  <c r="N61" i="13"/>
  <c r="M5" i="13"/>
  <c r="M61" i="13"/>
  <c r="J5" i="13"/>
  <c r="J61" i="13"/>
  <c r="AA5" i="13"/>
  <c r="O5" i="13"/>
  <c r="O61" i="13"/>
  <c r="P5" i="13"/>
  <c r="P61" i="13"/>
  <c r="AB5" i="13"/>
  <c r="AC5" i="13"/>
  <c r="T5" i="13"/>
  <c r="F5" i="13"/>
  <c r="F61" i="13"/>
  <c r="S5" i="13"/>
  <c r="T11" i="13"/>
  <c r="I11" i="13"/>
  <c r="I67" i="13"/>
  <c r="V11" i="13"/>
  <c r="N11" i="13"/>
  <c r="N67" i="13"/>
  <c r="M11" i="13"/>
  <c r="M67" i="13"/>
  <c r="AC11" i="13"/>
  <c r="W11" i="13"/>
  <c r="G11" i="13"/>
  <c r="G67" i="13"/>
  <c r="Q11" i="13"/>
  <c r="Q67" i="13"/>
  <c r="AA11" i="13"/>
  <c r="O11" i="13"/>
  <c r="O67" i="13"/>
  <c r="Y11" i="13"/>
  <c r="S11" i="13"/>
  <c r="H11" i="13"/>
  <c r="H67" i="13"/>
  <c r="Z11" i="13"/>
  <c r="U11" i="13"/>
  <c r="L11" i="13"/>
  <c r="L67" i="13"/>
  <c r="AB11" i="13"/>
  <c r="P11" i="13"/>
  <c r="P67" i="13"/>
  <c r="K11" i="13"/>
  <c r="K67" i="13"/>
  <c r="J11" i="13"/>
  <c r="J67" i="13"/>
  <c r="F11" i="13"/>
  <c r="F67" i="13"/>
  <c r="R11" i="13"/>
  <c r="R67" i="13"/>
  <c r="AD11" i="13"/>
  <c r="CK6" i="13"/>
  <c r="CC6" i="13"/>
  <c r="CB6" i="13"/>
  <c r="BY6" i="13"/>
  <c r="CH6" i="13"/>
  <c r="CN6" i="13"/>
  <c r="CF6" i="13"/>
  <c r="BZ6" i="13"/>
  <c r="CP6" i="13"/>
  <c r="E6" i="13"/>
  <c r="CR6" i="13"/>
  <c r="CE6" i="13"/>
  <c r="CD6" i="13"/>
  <c r="CL6" i="13"/>
  <c r="BV6" i="13"/>
  <c r="CI6" i="13"/>
  <c r="CA6" i="13"/>
  <c r="CG6" i="13"/>
  <c r="CO6" i="13"/>
  <c r="CJ6" i="13"/>
  <c r="BW6" i="13"/>
  <c r="BX6" i="13"/>
  <c r="CQ6" i="13"/>
  <c r="CM6" i="13"/>
  <c r="BX14" i="13"/>
  <c r="E14" i="13"/>
  <c r="CR14" i="13"/>
  <c r="CK14" i="13"/>
  <c r="BZ14" i="13"/>
  <c r="BW14" i="13"/>
  <c r="CA14" i="13"/>
  <c r="CG14" i="13"/>
  <c r="CD14" i="13"/>
  <c r="CF14" i="13"/>
  <c r="CH14" i="13"/>
  <c r="CC14" i="13"/>
  <c r="CO14" i="13"/>
  <c r="CB14" i="13"/>
  <c r="CJ14" i="13"/>
  <c r="BV14" i="13"/>
  <c r="BY14" i="13"/>
  <c r="CQ14" i="13"/>
  <c r="CP14" i="13"/>
  <c r="CM14" i="13"/>
  <c r="CN14" i="13"/>
  <c r="CL14" i="13"/>
  <c r="CE14" i="13"/>
  <c r="CI14" i="13"/>
  <c r="AC8" i="13"/>
  <c r="X8" i="13"/>
  <c r="F8" i="13"/>
  <c r="F64" i="13"/>
  <c r="R8" i="13"/>
  <c r="R64" i="13"/>
  <c r="Q8" i="13"/>
  <c r="Q64" i="13"/>
  <c r="AD8" i="13"/>
  <c r="V8" i="13"/>
  <c r="Y8" i="13"/>
  <c r="Z8" i="13"/>
  <c r="H8" i="13"/>
  <c r="H64" i="13"/>
  <c r="O8" i="13"/>
  <c r="O64" i="13"/>
  <c r="P8" i="13"/>
  <c r="P64" i="13"/>
  <c r="S8" i="13"/>
  <c r="AB8" i="13"/>
  <c r="J8" i="13"/>
  <c r="J64" i="13"/>
  <c r="M8" i="13"/>
  <c r="M64" i="13"/>
  <c r="T8" i="13"/>
  <c r="G8" i="13"/>
  <c r="G64" i="13"/>
  <c r="I8" i="13"/>
  <c r="I64" i="13"/>
  <c r="L8" i="13"/>
  <c r="L64" i="13"/>
  <c r="K8" i="13"/>
  <c r="K64" i="13"/>
  <c r="N8" i="13"/>
  <c r="N64" i="13"/>
  <c r="AU42" i="13"/>
  <c r="B3" i="13"/>
  <c r="CJ32" i="13"/>
  <c r="E10" i="13"/>
  <c r="CP28" i="13"/>
  <c r="CL31" i="13"/>
  <c r="E9" i="13"/>
  <c r="AO49" i="13"/>
  <c r="AO66" i="13"/>
  <c r="AH49" i="13"/>
  <c r="AH66" i="13"/>
  <c r="AQ49" i="13"/>
  <c r="AQ66" i="13"/>
  <c r="AW49" i="13"/>
  <c r="AW66" i="13"/>
  <c r="W49" i="13"/>
  <c r="W10" i="13"/>
  <c r="W66" i="13"/>
  <c r="AP49" i="13"/>
  <c r="AP66" i="13"/>
  <c r="V49" i="13"/>
  <c r="V10" i="13"/>
  <c r="V66" i="13"/>
  <c r="BN26" i="13"/>
  <c r="CE26" i="13"/>
  <c r="BE26" i="13"/>
  <c r="CG26" i="13"/>
  <c r="BN37" i="13"/>
  <c r="BV37" i="13"/>
  <c r="BX37" i="13"/>
  <c r="BM37" i="13"/>
  <c r="CA37" i="13"/>
  <c r="BN29" i="13"/>
  <c r="BB29" i="13"/>
  <c r="BS29" i="13"/>
  <c r="AO48" i="13"/>
  <c r="AO65" i="13"/>
  <c r="AP48" i="13"/>
  <c r="AP65" i="13"/>
  <c r="AX48" i="13"/>
  <c r="AX65" i="13"/>
  <c r="AB48" i="13"/>
  <c r="AB9" i="13"/>
  <c r="AB65" i="13"/>
  <c r="CE43" i="13"/>
  <c r="CE60" i="13"/>
  <c r="BG43" i="13"/>
  <c r="BG60" i="13"/>
  <c r="BW43" i="13"/>
  <c r="BW60" i="13"/>
  <c r="BZ43" i="13"/>
  <c r="BZ60" i="13"/>
  <c r="BU43" i="13"/>
  <c r="BT43" i="13"/>
  <c r="BT60" i="13"/>
  <c r="CB43" i="13"/>
  <c r="CB60" i="13"/>
  <c r="BI43" i="13"/>
  <c r="BI60" i="13"/>
  <c r="BR43" i="13"/>
  <c r="BR60" i="13"/>
  <c r="BL43" i="13"/>
  <c r="BL60" i="13"/>
  <c r="CC43" i="13"/>
  <c r="CC60" i="13"/>
  <c r="BS43" i="13"/>
  <c r="BS60" i="13"/>
  <c r="CA43" i="13"/>
  <c r="CA60" i="13"/>
  <c r="CG43" i="13"/>
  <c r="CG60" i="13"/>
  <c r="BE43" i="13"/>
  <c r="BE60" i="13"/>
  <c r="BY43" i="13"/>
  <c r="BY60" i="13"/>
  <c r="BO43" i="13"/>
  <c r="BO60" i="13"/>
  <c r="BV43" i="13"/>
  <c r="BV60" i="13"/>
  <c r="BB43" i="13"/>
  <c r="BB60" i="13"/>
  <c r="BA43" i="13"/>
  <c r="BA60" i="13"/>
  <c r="BM43" i="13"/>
  <c r="BM60" i="13"/>
  <c r="BJ43" i="13"/>
  <c r="BJ60" i="13"/>
  <c r="BX43" i="13"/>
  <c r="BX60" i="13"/>
  <c r="CD43" i="13"/>
  <c r="CD60" i="13"/>
  <c r="BF43" i="13"/>
  <c r="BF60" i="13"/>
  <c r="BH43" i="13"/>
  <c r="BH60" i="13"/>
  <c r="BD43" i="13"/>
  <c r="BD60" i="13"/>
  <c r="BN43" i="13"/>
  <c r="BN60" i="13"/>
  <c r="BC43" i="13"/>
  <c r="BC60" i="13"/>
  <c r="BQ43" i="13"/>
  <c r="BQ60" i="13"/>
  <c r="BK43" i="13"/>
  <c r="BK60" i="13"/>
  <c r="BP43" i="13"/>
  <c r="BP60" i="13"/>
  <c r="CF43" i="13"/>
  <c r="CF60" i="13"/>
  <c r="BK26" i="13"/>
  <c r="BA26" i="13"/>
  <c r="BI26" i="13"/>
  <c r="CC26" i="13"/>
  <c r="BL26" i="13"/>
  <c r="BW26" i="13"/>
  <c r="BS26" i="13"/>
  <c r="BC26" i="13"/>
  <c r="BQ26" i="13"/>
  <c r="CA26" i="13"/>
  <c r="CF26" i="13"/>
  <c r="BH26" i="13"/>
  <c r="BX26" i="13"/>
  <c r="BJ26" i="13"/>
  <c r="BP26" i="13"/>
  <c r="CM17" i="13"/>
  <c r="BX17" i="13"/>
  <c r="BY17" i="13"/>
  <c r="CI17" i="13"/>
  <c r="CB17" i="13"/>
  <c r="CO17" i="13"/>
  <c r="CF17" i="13"/>
  <c r="CQ17" i="13"/>
  <c r="CN17" i="13"/>
  <c r="CD17" i="13"/>
  <c r="CP17" i="13"/>
  <c r="CJ17" i="13"/>
  <c r="BZ17" i="13"/>
  <c r="CH17" i="13"/>
  <c r="CG17" i="13"/>
  <c r="CR17" i="13"/>
  <c r="CK17" i="13"/>
  <c r="BV17" i="13"/>
  <c r="CA17" i="13"/>
  <c r="BW17" i="13"/>
  <c r="CC17" i="13"/>
  <c r="CL17" i="13"/>
  <c r="CE17" i="13"/>
  <c r="CA5" i="13"/>
  <c r="BW5" i="13"/>
  <c r="CI5" i="13"/>
  <c r="CE5" i="13"/>
  <c r="CG5" i="13"/>
  <c r="CL5" i="13"/>
  <c r="CD5" i="13"/>
  <c r="BV5" i="13"/>
  <c r="E5" i="13"/>
  <c r="CR5" i="13"/>
  <c r="CK5" i="13"/>
  <c r="CN5" i="13"/>
  <c r="CB5" i="13"/>
  <c r="CF5" i="13"/>
  <c r="CH5" i="13"/>
  <c r="CC5" i="13"/>
  <c r="CO5" i="13"/>
  <c r="BZ5" i="13"/>
  <c r="CQ5" i="13"/>
  <c r="BY5" i="13"/>
  <c r="CP5" i="13"/>
  <c r="BX5" i="13"/>
  <c r="CM5" i="13"/>
  <c r="CJ5" i="13"/>
  <c r="CL11" i="13"/>
  <c r="CA11" i="13"/>
  <c r="BZ11" i="13"/>
  <c r="CD11" i="13"/>
  <c r="CB11" i="13"/>
  <c r="BX11" i="13"/>
  <c r="CO11" i="13"/>
  <c r="CG11" i="13"/>
  <c r="CN11" i="13"/>
  <c r="CC11" i="13"/>
  <c r="CJ11" i="13"/>
  <c r="CP11" i="13"/>
  <c r="E11" i="13"/>
  <c r="CR11" i="13"/>
  <c r="BY11" i="13"/>
  <c r="BW11" i="13"/>
  <c r="BV11" i="13"/>
  <c r="CQ11" i="13"/>
  <c r="CK11" i="13"/>
  <c r="CI11" i="13"/>
  <c r="CF11" i="13"/>
  <c r="CE11" i="13"/>
  <c r="CH11" i="13"/>
  <c r="CM11" i="13"/>
  <c r="H14" i="13"/>
  <c r="H70" i="13"/>
  <c r="N14" i="13"/>
  <c r="N70" i="13"/>
  <c r="Q14" i="13"/>
  <c r="Q70" i="13"/>
  <c r="F14" i="13"/>
  <c r="F70" i="13"/>
  <c r="M14" i="13"/>
  <c r="M70" i="13"/>
  <c r="X14" i="13"/>
  <c r="G14" i="13"/>
  <c r="G70" i="13"/>
  <c r="W14" i="13"/>
  <c r="AD14" i="13"/>
  <c r="T14" i="13"/>
  <c r="O14" i="13"/>
  <c r="O70" i="13"/>
  <c r="V14" i="13"/>
  <c r="L14" i="13"/>
  <c r="L70" i="13"/>
  <c r="P14" i="13"/>
  <c r="P70" i="13"/>
  <c r="Y14" i="13"/>
  <c r="K14" i="13"/>
  <c r="K70" i="13"/>
  <c r="U14" i="13"/>
  <c r="J14" i="13"/>
  <c r="J70" i="13"/>
  <c r="R14" i="13"/>
  <c r="R70" i="13"/>
  <c r="I14" i="13"/>
  <c r="I70" i="13"/>
  <c r="V32" i="13"/>
  <c r="AU32" i="13"/>
  <c r="M32" i="13"/>
  <c r="AY32" i="13"/>
  <c r="X32" i="13"/>
  <c r="R32" i="13"/>
  <c r="H32" i="13"/>
  <c r="K32" i="13"/>
  <c r="J32" i="13"/>
  <c r="AL32" i="13"/>
  <c r="N32" i="13"/>
  <c r="P32" i="13"/>
  <c r="F32" i="13"/>
  <c r="Z32" i="13"/>
  <c r="I32" i="13"/>
  <c r="O32" i="13"/>
  <c r="T10" i="13"/>
  <c r="T66" i="13"/>
  <c r="AC10" i="13"/>
  <c r="AC66" i="13"/>
  <c r="AQ32" i="13"/>
  <c r="AL49" i="13"/>
  <c r="AL66" i="13"/>
  <c r="AB32" i="13"/>
  <c r="T32" i="13"/>
  <c r="AE32" i="13"/>
  <c r="AA32" i="13"/>
  <c r="AV32" i="13"/>
  <c r="L32" i="13"/>
  <c r="AJ32" i="13"/>
  <c r="W32" i="13"/>
  <c r="AW32" i="13"/>
  <c r="U32" i="13"/>
  <c r="AN32" i="13"/>
  <c r="AX32" i="13"/>
  <c r="AO32" i="13"/>
  <c r="G32" i="13"/>
  <c r="S32" i="13"/>
  <c r="AS32" i="13"/>
  <c r="AH32" i="13"/>
  <c r="AF32" i="13"/>
  <c r="AZ32" i="13"/>
  <c r="AM32" i="13"/>
  <c r="AP32" i="13"/>
  <c r="Y32" i="13"/>
  <c r="AG32" i="13"/>
  <c r="AK32" i="13"/>
  <c r="AD32" i="13"/>
  <c r="Q32" i="13"/>
  <c r="AR32" i="13"/>
  <c r="AC32" i="13"/>
  <c r="AT32" i="13"/>
  <c r="AI32" i="13"/>
  <c r="Z49" i="13"/>
  <c r="Z10" i="13"/>
  <c r="Z66" i="13"/>
  <c r="AY49" i="13"/>
  <c r="AY66" i="13"/>
  <c r="AD49" i="13"/>
  <c r="C115" i="13"/>
  <c r="S49" i="13"/>
  <c r="S10" i="13"/>
  <c r="S66" i="13"/>
  <c r="AJ49" i="13"/>
  <c r="AJ66" i="13"/>
  <c r="AX49" i="13"/>
  <c r="AX66" i="13"/>
  <c r="AM49" i="13"/>
  <c r="AM66" i="13"/>
  <c r="AZ49" i="13"/>
  <c r="AZ66" i="13"/>
  <c r="AK49" i="13"/>
  <c r="AK66" i="13"/>
  <c r="AF49" i="13"/>
  <c r="AF66" i="13"/>
  <c r="AG49" i="13"/>
  <c r="AG66" i="13"/>
  <c r="Y49" i="13"/>
  <c r="Y10" i="13"/>
  <c r="Y66" i="13"/>
  <c r="AU49" i="13"/>
  <c r="AU66" i="13"/>
  <c r="AB49" i="13"/>
  <c r="AB10" i="13"/>
  <c r="AB66" i="13"/>
  <c r="U49" i="13"/>
  <c r="U10" i="13"/>
  <c r="U66" i="13"/>
  <c r="AN49" i="13"/>
  <c r="AN66" i="13"/>
  <c r="AT49" i="13"/>
  <c r="AT66" i="13"/>
  <c r="AS49" i="13"/>
  <c r="AS66" i="13"/>
  <c r="AI49" i="13"/>
  <c r="AI66" i="13"/>
  <c r="AE49" i="13"/>
  <c r="AE66" i="13"/>
  <c r="I93" i="9"/>
  <c r="CO15" i="13"/>
  <c r="CG15" i="13"/>
  <c r="CI15" i="13"/>
  <c r="CN15" i="13"/>
  <c r="CM15" i="13"/>
  <c r="CQ15" i="13"/>
  <c r="BV15" i="13"/>
  <c r="E15" i="13"/>
  <c r="CR15" i="13"/>
  <c r="CB15" i="13"/>
  <c r="CA15" i="13"/>
  <c r="BY15" i="13"/>
  <c r="CF15" i="13"/>
  <c r="CL15" i="13"/>
  <c r="CP15" i="13"/>
  <c r="BZ15" i="13"/>
  <c r="CK15" i="13"/>
  <c r="CC15" i="13"/>
  <c r="BX15" i="13"/>
  <c r="CE15" i="13"/>
  <c r="CD15" i="13"/>
  <c r="CH15" i="13"/>
  <c r="CJ15" i="13"/>
  <c r="BW15" i="13"/>
  <c r="L9" i="13"/>
  <c r="L65" i="13"/>
  <c r="I9" i="13"/>
  <c r="I65" i="13"/>
  <c r="P9" i="13"/>
  <c r="P65" i="13"/>
  <c r="R9" i="13"/>
  <c r="R65" i="13"/>
  <c r="AD9" i="13"/>
  <c r="J9" i="13"/>
  <c r="J65" i="13"/>
  <c r="F9" i="13"/>
  <c r="F65" i="13"/>
  <c r="G9" i="13"/>
  <c r="G65" i="13"/>
  <c r="AA9" i="13"/>
  <c r="K9" i="13"/>
  <c r="K65" i="13"/>
  <c r="H9" i="13"/>
  <c r="H65" i="13"/>
  <c r="N9" i="13"/>
  <c r="N65" i="13"/>
  <c r="Q9" i="13"/>
  <c r="Q65" i="13"/>
  <c r="O9" i="13"/>
  <c r="O65" i="13"/>
  <c r="M9" i="13"/>
  <c r="M65" i="13"/>
  <c r="B13" i="13"/>
  <c r="BV7" i="13"/>
  <c r="BZ7" i="13"/>
  <c r="CO7" i="13"/>
  <c r="E7" i="13"/>
  <c r="CR7" i="13"/>
  <c r="CK7" i="13"/>
  <c r="CH7" i="13"/>
  <c r="CJ7" i="13"/>
  <c r="BW7" i="13"/>
  <c r="CI7" i="13"/>
  <c r="CA7" i="13"/>
  <c r="CL7" i="13"/>
  <c r="CM7" i="13"/>
  <c r="BX7" i="13"/>
  <c r="CE7" i="13"/>
  <c r="CQ7" i="13"/>
  <c r="CG7" i="13"/>
  <c r="CN7" i="13"/>
  <c r="CD7" i="13"/>
  <c r="CP7" i="13"/>
  <c r="CC7" i="13"/>
  <c r="BY7" i="13"/>
  <c r="CB7" i="13"/>
  <c r="CF7" i="13"/>
  <c r="CM18" i="13"/>
  <c r="CD18" i="13"/>
  <c r="BY18" i="13"/>
  <c r="CH18" i="13"/>
  <c r="CC18" i="13"/>
  <c r="CF18" i="13"/>
  <c r="CK18" i="13"/>
  <c r="CL18" i="13"/>
  <c r="CI18" i="13"/>
  <c r="CB18" i="13"/>
  <c r="CE18" i="13"/>
  <c r="E18" i="13"/>
  <c r="CR18" i="13"/>
  <c r="CN18" i="13"/>
  <c r="CP18" i="13"/>
  <c r="CJ18" i="13"/>
  <c r="BV18" i="13"/>
  <c r="CA18" i="13"/>
  <c r="CG18" i="13"/>
  <c r="BW18" i="13"/>
  <c r="CQ18" i="13"/>
  <c r="BX18" i="13"/>
  <c r="BZ18" i="13"/>
  <c r="CO18" i="13"/>
  <c r="BR26" i="13"/>
  <c r="BZ26" i="13"/>
  <c r="BT26" i="13"/>
  <c r="BG37" i="13"/>
  <c r="BO37" i="13"/>
  <c r="AY48" i="13"/>
  <c r="AY65" i="13"/>
  <c r="AA48" i="13"/>
  <c r="AA65" i="13"/>
  <c r="AR49" i="13"/>
  <c r="AR66" i="13"/>
  <c r="AV49" i="13"/>
  <c r="AV66" i="13"/>
  <c r="AA49" i="13"/>
  <c r="AA10" i="13"/>
  <c r="AA66" i="13"/>
  <c r="CD26" i="13"/>
  <c r="BO26" i="13"/>
  <c r="BM26" i="13"/>
  <c r="BB26" i="13"/>
  <c r="AF43" i="13"/>
  <c r="AF60" i="13"/>
  <c r="AP43" i="13"/>
  <c r="AP60" i="13"/>
  <c r="BF26" i="13"/>
  <c r="AH43" i="13"/>
  <c r="AH60" i="13"/>
  <c r="BM30" i="13"/>
  <c r="BI30" i="13"/>
  <c r="BS37" i="13"/>
  <c r="BB37" i="13"/>
  <c r="BF37" i="13"/>
  <c r="BU29" i="13"/>
  <c r="BI29" i="13"/>
  <c r="AS48" i="13"/>
  <c r="AS65" i="13"/>
  <c r="BK53" i="13"/>
  <c r="BK70" i="13"/>
  <c r="BV53" i="13"/>
  <c r="BV70" i="13"/>
  <c r="BP53" i="13"/>
  <c r="BP70" i="13"/>
  <c r="BI53" i="13"/>
  <c r="BI70" i="13"/>
  <c r="CB53" i="13"/>
  <c r="CB70" i="13"/>
  <c r="BT53" i="13"/>
  <c r="BT70" i="13"/>
  <c r="CE53" i="13"/>
  <c r="CE70" i="13"/>
  <c r="BC53" i="13"/>
  <c r="BC70" i="13"/>
  <c r="CC53" i="13"/>
  <c r="CC70" i="13"/>
  <c r="BL53" i="13"/>
  <c r="BL70" i="13"/>
  <c r="BG53" i="13"/>
  <c r="BG70" i="13"/>
  <c r="BN53" i="13"/>
  <c r="BN70" i="13"/>
  <c r="BS53" i="13"/>
  <c r="BS70" i="13"/>
  <c r="BH53" i="13"/>
  <c r="BH70" i="13"/>
  <c r="BX53" i="13"/>
  <c r="BX70" i="13"/>
  <c r="BJ53" i="13"/>
  <c r="BJ70" i="13"/>
  <c r="BW53" i="13"/>
  <c r="BW70" i="13"/>
  <c r="BF53" i="13"/>
  <c r="BF70" i="13"/>
  <c r="CD53" i="13"/>
  <c r="CD70" i="13"/>
  <c r="BZ53" i="13"/>
  <c r="BZ70" i="13"/>
  <c r="BM53" i="13"/>
  <c r="BM70" i="13"/>
  <c r="BE53" i="13"/>
  <c r="BE70" i="13"/>
  <c r="CA53" i="13"/>
  <c r="CA70" i="13"/>
  <c r="BR53" i="13"/>
  <c r="BR70" i="13"/>
  <c r="BA53" i="13"/>
  <c r="BA70" i="13"/>
  <c r="BY53" i="13"/>
  <c r="BY70" i="13"/>
  <c r="CG53" i="13"/>
  <c r="CG70" i="13"/>
  <c r="BQ53" i="13"/>
  <c r="BQ70" i="13"/>
  <c r="CF53" i="13"/>
  <c r="CF70" i="13"/>
  <c r="BO53" i="13"/>
  <c r="BO70" i="13"/>
  <c r="BU53" i="13"/>
  <c r="BB53" i="13"/>
  <c r="BB70" i="13"/>
  <c r="BD53" i="13"/>
  <c r="BD70" i="13"/>
  <c r="CF25" i="13"/>
  <c r="D3" i="13"/>
  <c r="BN25" i="13"/>
  <c r="BJ25" i="13"/>
  <c r="BY25" i="13"/>
  <c r="BA25" i="13"/>
  <c r="BT25" i="13"/>
  <c r="CD25" i="13"/>
  <c r="BV25" i="13"/>
  <c r="BD25" i="13"/>
  <c r="CE25" i="13"/>
  <c r="CA25" i="13"/>
  <c r="BR25" i="13"/>
  <c r="BF25" i="13"/>
  <c r="BB25" i="13"/>
  <c r="S42" i="13"/>
  <c r="CG25" i="13"/>
  <c r="BS25" i="13"/>
  <c r="U42" i="13"/>
  <c r="BO25" i="13"/>
  <c r="BI25" i="13"/>
  <c r="AF42" i="13"/>
  <c r="BG25" i="13"/>
  <c r="BU25" i="13"/>
  <c r="BQ25" i="13"/>
  <c r="BW25" i="13"/>
  <c r="BX25" i="13"/>
  <c r="BP25" i="13"/>
  <c r="CC25" i="13"/>
  <c r="BK25" i="13"/>
  <c r="BZ25" i="13"/>
  <c r="BH25" i="13"/>
  <c r="I94" i="9"/>
  <c r="R17" i="13"/>
  <c r="Z17" i="13"/>
  <c r="W17" i="13"/>
  <c r="H17" i="13"/>
  <c r="I17" i="13"/>
  <c r="T17" i="13"/>
  <c r="O17" i="13"/>
  <c r="AB17" i="13"/>
  <c r="V17" i="13"/>
  <c r="L17" i="13"/>
  <c r="J17" i="13"/>
  <c r="AD17" i="13"/>
  <c r="Q17" i="13"/>
  <c r="P17" i="13"/>
  <c r="K17" i="13"/>
  <c r="AA17" i="13"/>
  <c r="M17" i="13"/>
  <c r="Y17" i="13"/>
  <c r="X17" i="13"/>
  <c r="AC17" i="13"/>
  <c r="N17" i="13"/>
  <c r="F17" i="13"/>
  <c r="G17" i="13"/>
  <c r="S17" i="13"/>
  <c r="U17" i="13"/>
  <c r="BO13" i="13"/>
  <c r="AW13" i="13"/>
  <c r="BK13" i="13"/>
  <c r="BD13" i="13"/>
  <c r="AN13" i="13"/>
  <c r="AE13" i="13"/>
  <c r="BP13" i="13"/>
  <c r="BJ13" i="13"/>
  <c r="BE13" i="13"/>
  <c r="AL13" i="13"/>
  <c r="BM13" i="13"/>
  <c r="AU13" i="13"/>
  <c r="BN13" i="13"/>
  <c r="AT13" i="13"/>
  <c r="BR13" i="13"/>
  <c r="AQ13" i="13"/>
  <c r="AH13" i="13"/>
  <c r="AI13" i="13"/>
  <c r="AY13" i="13"/>
  <c r="BQ13" i="13"/>
  <c r="AZ13" i="13"/>
  <c r="AM13" i="13"/>
  <c r="AG13" i="13"/>
  <c r="BC13" i="13"/>
  <c r="AF13" i="13"/>
  <c r="BI13" i="13"/>
  <c r="AO13" i="13"/>
  <c r="BU13" i="13"/>
  <c r="AJ13" i="13"/>
  <c r="AP13" i="13"/>
  <c r="AS13" i="13"/>
  <c r="BG13" i="13"/>
  <c r="BF13" i="13"/>
  <c r="AK13" i="13"/>
  <c r="AR13" i="13"/>
  <c r="BL13" i="13"/>
  <c r="BT13" i="13"/>
  <c r="AV13" i="13"/>
  <c r="BS13" i="13"/>
  <c r="BB13" i="13"/>
  <c r="AX13" i="13"/>
  <c r="BA13" i="13"/>
  <c r="BH13" i="13"/>
  <c r="H12" i="13"/>
  <c r="H68" i="13"/>
  <c r="N12" i="13"/>
  <c r="N68" i="13"/>
  <c r="R12" i="13"/>
  <c r="R68" i="13"/>
  <c r="I12" i="13"/>
  <c r="I68" i="13"/>
  <c r="P12" i="13"/>
  <c r="P68" i="13"/>
  <c r="V12" i="13"/>
  <c r="AD12" i="13"/>
  <c r="L12" i="13"/>
  <c r="L68" i="13"/>
  <c r="U12" i="13"/>
  <c r="S12" i="13"/>
  <c r="O12" i="13"/>
  <c r="O68" i="13"/>
  <c r="AB12" i="13"/>
  <c r="G12" i="13"/>
  <c r="G68" i="13"/>
  <c r="AA12" i="13"/>
  <c r="K12" i="13"/>
  <c r="K68" i="13"/>
  <c r="Z12" i="13"/>
  <c r="AC12" i="13"/>
  <c r="Q12" i="13"/>
  <c r="Q68" i="13"/>
  <c r="J12" i="13"/>
  <c r="J68" i="13"/>
  <c r="M12" i="13"/>
  <c r="M68" i="13"/>
  <c r="F12" i="13"/>
  <c r="F68" i="13"/>
  <c r="CF51" i="13"/>
  <c r="CF68" i="13"/>
  <c r="BN51" i="13"/>
  <c r="BN68" i="13"/>
  <c r="BX51" i="13"/>
  <c r="BX68" i="13"/>
  <c r="BJ51" i="13"/>
  <c r="BJ68" i="13"/>
  <c r="BW51" i="13"/>
  <c r="BW68" i="13"/>
  <c r="BV51" i="13"/>
  <c r="BV68" i="13"/>
  <c r="BO51" i="13"/>
  <c r="BO68" i="13"/>
  <c r="BD51" i="13"/>
  <c r="BD68" i="13"/>
  <c r="BZ51" i="13"/>
  <c r="BZ68" i="13"/>
  <c r="BE51" i="13"/>
  <c r="BE68" i="13"/>
  <c r="BR51" i="13"/>
  <c r="BR68" i="13"/>
  <c r="CE51" i="13"/>
  <c r="CE68" i="13"/>
  <c r="BS51" i="13"/>
  <c r="BS68" i="13"/>
  <c r="BP51" i="13"/>
  <c r="BP68" i="13"/>
  <c r="BG51" i="13"/>
  <c r="BG68" i="13"/>
  <c r="BM51" i="13"/>
  <c r="BM68" i="13"/>
  <c r="BY51" i="13"/>
  <c r="BY68" i="13"/>
  <c r="CG51" i="13"/>
  <c r="CG68" i="13"/>
  <c r="BU51" i="13"/>
  <c r="BC51" i="13"/>
  <c r="BC68" i="13"/>
  <c r="BT51" i="13"/>
  <c r="BT68" i="13"/>
  <c r="CB51" i="13"/>
  <c r="CB68" i="13"/>
  <c r="BQ51" i="13"/>
  <c r="BQ68" i="13"/>
  <c r="CD51" i="13"/>
  <c r="CD68" i="13"/>
  <c r="BF51" i="13"/>
  <c r="BF68" i="13"/>
  <c r="CC51" i="13"/>
  <c r="CC68" i="13"/>
  <c r="BH51" i="13"/>
  <c r="BH68" i="13"/>
  <c r="BL51" i="13"/>
  <c r="BL68" i="13"/>
  <c r="BI51" i="13"/>
  <c r="BI68" i="13"/>
  <c r="BA51" i="13"/>
  <c r="BA68" i="13"/>
  <c r="CA51" i="13"/>
  <c r="CA68" i="13"/>
  <c r="BK51" i="13"/>
  <c r="BK68" i="13"/>
  <c r="BB51" i="13"/>
  <c r="BB68" i="13"/>
  <c r="N28" i="13"/>
  <c r="I28" i="13"/>
  <c r="R28" i="13"/>
  <c r="P28" i="13"/>
  <c r="L28" i="13"/>
  <c r="J28" i="13"/>
  <c r="F28" i="13"/>
  <c r="O28" i="13"/>
  <c r="M28" i="13"/>
  <c r="Q28" i="13"/>
  <c r="AM28" i="13"/>
  <c r="AG28" i="13"/>
  <c r="AN28" i="13"/>
  <c r="AO28" i="13"/>
  <c r="V28" i="13"/>
  <c r="AS28" i="13"/>
  <c r="AQ62" i="13"/>
  <c r="AP62" i="13"/>
  <c r="AU62" i="13"/>
  <c r="AW28" i="13"/>
  <c r="K28" i="13"/>
  <c r="U28" i="13"/>
  <c r="T28" i="13"/>
  <c r="AR28" i="13"/>
  <c r="Y28" i="13"/>
  <c r="AY28" i="13"/>
  <c r="AJ28" i="13"/>
  <c r="AV62" i="13"/>
  <c r="AP28" i="13"/>
  <c r="AH28" i="13"/>
  <c r="H28" i="13"/>
  <c r="Z28" i="13"/>
  <c r="AV28" i="13"/>
  <c r="AE28" i="13"/>
  <c r="AL62" i="13"/>
  <c r="G28" i="13"/>
  <c r="AI28" i="13"/>
  <c r="AF28" i="13"/>
  <c r="AC28" i="13"/>
  <c r="AT28" i="13"/>
  <c r="X28" i="13"/>
  <c r="AR62" i="13"/>
  <c r="AX28" i="13"/>
  <c r="Y6" i="13"/>
  <c r="Y62" i="13"/>
  <c r="AL28" i="13"/>
  <c r="AK28" i="13"/>
  <c r="AU28" i="13"/>
  <c r="AA28" i="13"/>
  <c r="AD28" i="13"/>
  <c r="S28" i="13"/>
  <c r="AQ28" i="13"/>
  <c r="AB28" i="13"/>
  <c r="W28" i="13"/>
  <c r="AJ62" i="13"/>
  <c r="AZ28" i="13"/>
  <c r="I70" i="12"/>
  <c r="I76" i="12"/>
  <c r="BI44" i="13"/>
  <c r="BI61" i="13"/>
  <c r="BR44" i="13"/>
  <c r="BR61" i="13"/>
  <c r="BB44" i="13"/>
  <c r="BB61" i="13"/>
  <c r="CA44" i="13"/>
  <c r="CA61" i="13"/>
  <c r="CE44" i="13"/>
  <c r="CE61" i="13"/>
  <c r="BA44" i="13"/>
  <c r="BA61" i="13"/>
  <c r="CG44" i="13"/>
  <c r="CG61" i="13"/>
  <c r="BM44" i="13"/>
  <c r="BM61" i="13"/>
  <c r="BX44" i="13"/>
  <c r="BX61" i="13"/>
  <c r="BN44" i="13"/>
  <c r="BN61" i="13"/>
  <c r="CF44" i="13"/>
  <c r="CF61" i="13"/>
  <c r="CC44" i="13"/>
  <c r="CC61" i="13"/>
  <c r="BT44" i="13"/>
  <c r="BT61" i="13"/>
  <c r="BD44" i="13"/>
  <c r="BD61" i="13"/>
  <c r="BO44" i="13"/>
  <c r="BO61" i="13"/>
  <c r="BW44" i="13"/>
  <c r="BW61" i="13"/>
  <c r="BZ44" i="13"/>
  <c r="BZ61" i="13"/>
  <c r="BG44" i="13"/>
  <c r="BG61" i="13"/>
  <c r="BJ44" i="13"/>
  <c r="BJ61" i="13"/>
  <c r="BV44" i="13"/>
  <c r="BV61" i="13"/>
  <c r="BF44" i="13"/>
  <c r="BF61" i="13"/>
  <c r="BP44" i="13"/>
  <c r="BP61" i="13"/>
  <c r="BU44" i="13"/>
  <c r="BQ44" i="13"/>
  <c r="BQ61" i="13"/>
  <c r="BY44" i="13"/>
  <c r="BY61" i="13"/>
  <c r="BH44" i="13"/>
  <c r="BH61" i="13"/>
  <c r="BS44" i="13"/>
  <c r="BS61" i="13"/>
  <c r="BK44" i="13"/>
  <c r="BK61" i="13"/>
  <c r="BC44" i="13"/>
  <c r="BC61" i="13"/>
  <c r="BE44" i="13"/>
  <c r="BE61" i="13"/>
  <c r="BL44" i="13"/>
  <c r="BL61" i="13"/>
  <c r="CD44" i="13"/>
  <c r="CD61" i="13"/>
  <c r="CB44" i="13"/>
  <c r="CB61" i="13"/>
  <c r="BZ50" i="13"/>
  <c r="BZ67" i="13"/>
  <c r="BB50" i="13"/>
  <c r="BB67" i="13"/>
  <c r="CG50" i="13"/>
  <c r="CG67" i="13"/>
  <c r="BF50" i="13"/>
  <c r="BF67" i="13"/>
  <c r="CE50" i="13"/>
  <c r="CE67" i="13"/>
  <c r="BA50" i="13"/>
  <c r="BA67" i="13"/>
  <c r="BQ50" i="13"/>
  <c r="BQ67" i="13"/>
  <c r="BV50" i="13"/>
  <c r="BV67" i="13"/>
  <c r="BP50" i="13"/>
  <c r="BP67" i="13"/>
  <c r="BL50" i="13"/>
  <c r="BL67" i="13"/>
  <c r="BI50" i="13"/>
  <c r="BI67" i="13"/>
  <c r="BM50" i="13"/>
  <c r="BM67" i="13"/>
  <c r="BY50" i="13"/>
  <c r="BY67" i="13"/>
  <c r="BN50" i="13"/>
  <c r="BN67" i="13"/>
  <c r="BG50" i="13"/>
  <c r="BG67" i="13"/>
  <c r="BU50" i="13"/>
  <c r="BR50" i="13"/>
  <c r="BR67" i="13"/>
  <c r="CA50" i="13"/>
  <c r="CA67" i="13"/>
  <c r="BT50" i="13"/>
  <c r="BT67" i="13"/>
  <c r="BJ50" i="13"/>
  <c r="BJ67" i="13"/>
  <c r="BO50" i="13"/>
  <c r="BO67" i="13"/>
  <c r="CB50" i="13"/>
  <c r="CB67" i="13"/>
  <c r="BD50" i="13"/>
  <c r="BD67" i="13"/>
  <c r="BE50" i="13"/>
  <c r="BE67" i="13"/>
  <c r="CF50" i="13"/>
  <c r="CF67" i="13"/>
  <c r="BC50" i="13"/>
  <c r="BC67" i="13"/>
  <c r="BW50" i="13"/>
  <c r="BW67" i="13"/>
  <c r="BK50" i="13"/>
  <c r="BK67" i="13"/>
  <c r="BH50" i="13"/>
  <c r="BH67" i="13"/>
  <c r="BS50" i="13"/>
  <c r="BS67" i="13"/>
  <c r="CC50" i="13"/>
  <c r="CC67" i="13"/>
  <c r="BX50" i="13"/>
  <c r="BX67" i="13"/>
  <c r="CD50" i="13"/>
  <c r="CD67" i="13"/>
  <c r="K36" i="13"/>
  <c r="N36" i="13"/>
  <c r="H36" i="13"/>
  <c r="P36" i="13"/>
  <c r="O36" i="13"/>
  <c r="Q36" i="13"/>
  <c r="I36" i="13"/>
  <c r="M36" i="13"/>
  <c r="R36" i="13"/>
  <c r="J36" i="13"/>
  <c r="G36" i="13"/>
  <c r="AS36" i="13"/>
  <c r="AN36" i="13"/>
  <c r="AY36" i="13"/>
  <c r="U36" i="13"/>
  <c r="AH36" i="13"/>
  <c r="X70" i="13"/>
  <c r="AO36" i="13"/>
  <c r="Y36" i="13"/>
  <c r="AV70" i="13"/>
  <c r="AP36" i="13"/>
  <c r="F36" i="13"/>
  <c r="AH70" i="13"/>
  <c r="X36" i="13"/>
  <c r="AL36" i="13"/>
  <c r="AK36" i="13"/>
  <c r="AD36" i="13"/>
  <c r="AX36" i="13"/>
  <c r="AA36" i="13"/>
  <c r="AG36" i="13"/>
  <c r="S36" i="13"/>
  <c r="T36" i="13"/>
  <c r="V36" i="13"/>
  <c r="AU36" i="13"/>
  <c r="AR36" i="13"/>
  <c r="AQ36" i="13"/>
  <c r="AJ36" i="13"/>
  <c r="AW36" i="13"/>
  <c r="AB36" i="13"/>
  <c r="AV36" i="13"/>
  <c r="AC36" i="13"/>
  <c r="AZ36" i="13"/>
  <c r="AF36" i="13"/>
  <c r="Z36" i="13"/>
  <c r="AI36" i="13"/>
  <c r="AF70" i="13"/>
  <c r="AT36" i="13"/>
  <c r="W36" i="13"/>
  <c r="AE36" i="13"/>
  <c r="L36" i="13"/>
  <c r="AM36" i="13"/>
  <c r="AM70" i="13"/>
  <c r="AD70" i="13"/>
  <c r="K10" i="13"/>
  <c r="K66" i="13"/>
  <c r="L10" i="13"/>
  <c r="L66" i="13"/>
  <c r="J10" i="13"/>
  <c r="J66" i="13"/>
  <c r="P10" i="13"/>
  <c r="P66" i="13"/>
  <c r="AD10" i="13"/>
  <c r="G10" i="13"/>
  <c r="G66" i="13"/>
  <c r="I10" i="13"/>
  <c r="I66" i="13"/>
  <c r="O10" i="13"/>
  <c r="O66" i="13"/>
  <c r="M10" i="13"/>
  <c r="M66" i="13"/>
  <c r="N10" i="13"/>
  <c r="N66" i="13"/>
  <c r="R10" i="13"/>
  <c r="R66" i="13"/>
  <c r="F10" i="13"/>
  <c r="F66" i="13"/>
  <c r="Q10" i="13"/>
  <c r="Q66" i="13"/>
  <c r="H10" i="13"/>
  <c r="H66" i="13"/>
  <c r="BX48" i="13"/>
  <c r="BX65" i="13"/>
  <c r="CU31" i="13"/>
  <c r="CM31" i="13"/>
  <c r="BA48" i="13"/>
  <c r="BA65" i="13"/>
  <c r="CC48" i="13"/>
  <c r="CC65" i="13"/>
  <c r="BT48" i="13"/>
  <c r="BT65" i="13"/>
  <c r="CD48" i="13"/>
  <c r="CD65" i="13"/>
  <c r="BJ48" i="13"/>
  <c r="BJ65" i="13"/>
  <c r="BQ48" i="13"/>
  <c r="BQ65" i="13"/>
  <c r="BI48" i="13"/>
  <c r="BI65" i="13"/>
  <c r="BZ48" i="13"/>
  <c r="BZ65" i="13"/>
  <c r="BK48" i="13"/>
  <c r="BK65" i="13"/>
  <c r="BV48" i="13"/>
  <c r="BV65" i="13"/>
  <c r="BG48" i="13"/>
  <c r="BG65" i="13"/>
  <c r="BF48" i="13"/>
  <c r="BF65" i="13"/>
  <c r="CE48" i="13"/>
  <c r="CE65" i="13"/>
  <c r="CO31" i="13"/>
  <c r="CA48" i="13"/>
  <c r="CA65" i="13"/>
  <c r="BM48" i="13"/>
  <c r="BM65" i="13"/>
  <c r="BD48" i="13"/>
  <c r="BD65" i="13"/>
  <c r="BW48" i="13"/>
  <c r="BW65" i="13"/>
  <c r="BL48" i="13"/>
  <c r="BL65" i="13"/>
  <c r="BY48" i="13"/>
  <c r="BY65" i="13"/>
  <c r="CK31" i="13"/>
  <c r="BR48" i="13"/>
  <c r="BR65" i="13"/>
  <c r="BN48" i="13"/>
  <c r="BN65" i="13"/>
  <c r="BS48" i="13"/>
  <c r="BS65" i="13"/>
  <c r="BP48" i="13"/>
  <c r="BP65" i="13"/>
  <c r="BB48" i="13"/>
  <c r="BB65" i="13"/>
  <c r="CB48" i="13"/>
  <c r="CB65" i="13"/>
  <c r="CF48" i="13"/>
  <c r="CF65" i="13"/>
  <c r="CW31" i="13"/>
  <c r="BO48" i="13"/>
  <c r="BO65" i="13"/>
  <c r="BC48" i="13"/>
  <c r="BC65" i="13"/>
  <c r="BH48" i="13"/>
  <c r="BH65" i="13"/>
  <c r="BE48" i="13"/>
  <c r="BE65" i="13"/>
  <c r="BU48" i="13"/>
  <c r="CG48" i="13"/>
  <c r="CG65" i="13"/>
  <c r="CM10" i="13"/>
  <c r="CD10" i="13"/>
  <c r="CQ10" i="13"/>
  <c r="CC10" i="13"/>
  <c r="CB10" i="13"/>
  <c r="CO10" i="13"/>
  <c r="CA10" i="13"/>
  <c r="CG10" i="13"/>
  <c r="CL10" i="13"/>
  <c r="CR10" i="13"/>
  <c r="CE10" i="13"/>
  <c r="BX10" i="13"/>
  <c r="CF10" i="13"/>
  <c r="CI10" i="13"/>
  <c r="BW10" i="13"/>
  <c r="BY10" i="13"/>
  <c r="CJ10" i="13"/>
  <c r="CN10" i="13"/>
  <c r="CH10" i="13"/>
  <c r="BV10" i="13"/>
  <c r="CP10" i="13"/>
  <c r="BZ10" i="13"/>
  <c r="CK10" i="13"/>
  <c r="W15" i="13"/>
  <c r="Q15" i="13"/>
  <c r="Q71" i="13"/>
  <c r="AD15" i="13"/>
  <c r="J15" i="13"/>
  <c r="J71" i="13"/>
  <c r="K15" i="13"/>
  <c r="K71" i="13"/>
  <c r="I15" i="13"/>
  <c r="I71" i="13"/>
  <c r="M15" i="13"/>
  <c r="M71" i="13"/>
  <c r="N15" i="13"/>
  <c r="N71" i="13"/>
  <c r="F15" i="13"/>
  <c r="F71" i="13"/>
  <c r="P15" i="13"/>
  <c r="P71" i="13"/>
  <c r="AC15" i="13"/>
  <c r="O15" i="13"/>
  <c r="O71" i="13"/>
  <c r="L15" i="13"/>
  <c r="L71" i="13"/>
  <c r="G15" i="13"/>
  <c r="G71" i="13"/>
  <c r="V15" i="13"/>
  <c r="S15" i="13"/>
  <c r="R15" i="13"/>
  <c r="R71" i="13"/>
  <c r="AA15" i="13"/>
  <c r="H15" i="13"/>
  <c r="H71" i="13"/>
  <c r="CI33" i="13"/>
  <c r="CM27" i="13"/>
  <c r="E8" i="13"/>
  <c r="CO30" i="13"/>
  <c r="T7" i="13"/>
  <c r="W7" i="13"/>
  <c r="P7" i="13"/>
  <c r="P63" i="13"/>
  <c r="O7" i="13"/>
  <c r="O63" i="13"/>
  <c r="U7" i="13"/>
  <c r="AD7" i="13"/>
  <c r="AC7" i="13"/>
  <c r="V7" i="13"/>
  <c r="L7" i="13"/>
  <c r="L63" i="13"/>
  <c r="N7" i="13"/>
  <c r="N63" i="13"/>
  <c r="F7" i="13"/>
  <c r="F63" i="13"/>
  <c r="Y7" i="13"/>
  <c r="R7" i="13"/>
  <c r="R63" i="13"/>
  <c r="Q7" i="13"/>
  <c r="Q63" i="13"/>
  <c r="AA7" i="13"/>
  <c r="AB7" i="13"/>
  <c r="Z7" i="13"/>
  <c r="X7" i="13"/>
  <c r="J7" i="13"/>
  <c r="J63" i="13"/>
  <c r="G7" i="13"/>
  <c r="G63" i="13"/>
  <c r="K7" i="13"/>
  <c r="K63" i="13"/>
  <c r="H7" i="13"/>
  <c r="H63" i="13"/>
  <c r="M7" i="13"/>
  <c r="M63" i="13"/>
  <c r="I7" i="13"/>
  <c r="I63" i="13"/>
  <c r="S7" i="13"/>
  <c r="BS36" i="13"/>
  <c r="BT36" i="13"/>
  <c r="BJ36" i="13"/>
  <c r="BN28" i="13"/>
  <c r="CG28" i="13"/>
  <c r="CD28" i="13"/>
  <c r="BR28" i="13"/>
  <c r="BB28" i="13"/>
  <c r="BG28" i="13"/>
  <c r="BK28" i="13"/>
  <c r="AI47" i="13"/>
  <c r="AI64" i="13"/>
  <c r="AE47" i="13"/>
  <c r="AE64" i="13"/>
  <c r="X47" i="13"/>
  <c r="X64" i="13"/>
  <c r="AW47" i="13"/>
  <c r="AW64" i="13"/>
  <c r="T47" i="13"/>
  <c r="T64" i="13"/>
  <c r="AL47" i="13"/>
  <c r="AL64" i="13"/>
  <c r="Z47" i="13"/>
  <c r="Z64" i="13"/>
  <c r="AM47" i="13"/>
  <c r="AM64" i="13"/>
  <c r="AD47" i="13"/>
  <c r="C113" i="13"/>
  <c r="AG51" i="13"/>
  <c r="AG68" i="13"/>
  <c r="U51" i="13"/>
  <c r="V51" i="13"/>
  <c r="V68" i="13"/>
  <c r="AC51" i="13"/>
  <c r="AC68" i="13"/>
  <c r="AQ51" i="13"/>
  <c r="AQ68" i="13"/>
  <c r="AW51" i="13"/>
  <c r="AW68" i="13"/>
  <c r="BH33" i="13"/>
  <c r="BN33" i="13"/>
  <c r="BS33" i="13"/>
  <c r="AS50" i="13"/>
  <c r="AS67" i="13"/>
  <c r="Y50" i="13"/>
  <c r="Y67" i="13"/>
  <c r="BF33" i="13"/>
  <c r="CC33" i="13"/>
  <c r="AN50" i="13"/>
  <c r="AN67" i="13"/>
  <c r="S50" i="13"/>
  <c r="T50" i="13"/>
  <c r="BK33" i="13"/>
  <c r="AK50" i="13"/>
  <c r="AK67" i="13"/>
  <c r="BV33" i="13"/>
  <c r="AP50" i="13"/>
  <c r="BL33" i="13"/>
  <c r="BX36" i="13"/>
  <c r="BP36" i="13"/>
  <c r="AO53" i="13"/>
  <c r="AO70" i="13"/>
  <c r="AZ53" i="13"/>
  <c r="AZ70" i="13"/>
  <c r="BU36" i="13"/>
  <c r="AX53" i="13"/>
  <c r="AX70" i="13"/>
  <c r="CG36" i="13"/>
  <c r="AJ53" i="13"/>
  <c r="AJ70" i="13"/>
  <c r="BM36" i="13"/>
  <c r="BA36" i="13"/>
  <c r="AI53" i="13"/>
  <c r="AI70" i="13"/>
  <c r="AY53" i="13"/>
  <c r="AY70" i="13"/>
  <c r="W53" i="13"/>
  <c r="W70" i="13"/>
  <c r="V53" i="13"/>
  <c r="V70" i="13"/>
  <c r="CA36" i="13"/>
  <c r="BK36" i="13"/>
  <c r="AE53" i="13"/>
  <c r="AE70" i="13"/>
  <c r="BI36" i="13"/>
  <c r="CF31" i="13"/>
  <c r="BO31" i="13"/>
  <c r="CE31" i="13"/>
  <c r="CD31" i="13"/>
  <c r="CB31" i="13"/>
  <c r="BN31" i="13"/>
  <c r="BT31" i="13"/>
  <c r="BP31" i="13"/>
  <c r="AF45" i="13"/>
  <c r="AF62" i="13"/>
  <c r="AK45" i="13"/>
  <c r="AK62" i="13"/>
  <c r="AM45" i="13"/>
  <c r="AM62" i="13"/>
  <c r="AY45" i="13"/>
  <c r="AY62" i="13"/>
  <c r="U45" i="13"/>
  <c r="U6" i="13"/>
  <c r="U62" i="13"/>
  <c r="BC28" i="13"/>
  <c r="CC28" i="13"/>
  <c r="W45" i="13"/>
  <c r="W6" i="13"/>
  <c r="W62" i="13"/>
  <c r="AI45" i="13"/>
  <c r="AI62" i="13"/>
  <c r="AW45" i="13"/>
  <c r="AW62" i="13"/>
  <c r="BJ28" i="13"/>
  <c r="S45" i="13"/>
  <c r="S6" i="13"/>
  <c r="S62" i="13"/>
  <c r="AA45" i="13"/>
  <c r="AA6" i="13"/>
  <c r="AA62" i="13"/>
  <c r="BQ28" i="13"/>
  <c r="CO28" i="13"/>
  <c r="BI45" i="13"/>
  <c r="BI62" i="13"/>
  <c r="CC45" i="13"/>
  <c r="CC62" i="13"/>
  <c r="BM45" i="13"/>
  <c r="BM62" i="13"/>
  <c r="BV45" i="13"/>
  <c r="BV62" i="13"/>
  <c r="BW45" i="13"/>
  <c r="BW62" i="13"/>
  <c r="BE45" i="13"/>
  <c r="BE62" i="13"/>
  <c r="BN45" i="13"/>
  <c r="BN62" i="13"/>
  <c r="BX45" i="13"/>
  <c r="BX62" i="13"/>
  <c r="BB45" i="13"/>
  <c r="BB62" i="13"/>
  <c r="BH45" i="13"/>
  <c r="BH62" i="13"/>
  <c r="BP45" i="13"/>
  <c r="BP62" i="13"/>
  <c r="BK45" i="13"/>
  <c r="BK62" i="13"/>
  <c r="BL45" i="13"/>
  <c r="BL62" i="13"/>
  <c r="BZ45" i="13"/>
  <c r="BZ62" i="13"/>
  <c r="BT45" i="13"/>
  <c r="BT62" i="13"/>
  <c r="CF45" i="13"/>
  <c r="CF62" i="13"/>
  <c r="BQ45" i="13"/>
  <c r="BQ62" i="13"/>
  <c r="CG45" i="13"/>
  <c r="CG62" i="13"/>
  <c r="CB45" i="13"/>
  <c r="CB62" i="13"/>
  <c r="CA45" i="13"/>
  <c r="CA62" i="13"/>
  <c r="CE45" i="13"/>
  <c r="CE62" i="13"/>
  <c r="BO45" i="13"/>
  <c r="BO62" i="13"/>
  <c r="BD45" i="13"/>
  <c r="BD62" i="13"/>
  <c r="BG45" i="13"/>
  <c r="BG62" i="13"/>
  <c r="BR45" i="13"/>
  <c r="BR62" i="13"/>
  <c r="BC45" i="13"/>
  <c r="BC62" i="13"/>
  <c r="BU45" i="13"/>
  <c r="BS45" i="13"/>
  <c r="BS62" i="13"/>
  <c r="BJ45" i="13"/>
  <c r="BJ62" i="13"/>
  <c r="BF45" i="13"/>
  <c r="BF62" i="13"/>
  <c r="BY45" i="13"/>
  <c r="BY62" i="13"/>
  <c r="CD45" i="13"/>
  <c r="CD62" i="13"/>
  <c r="BA45" i="13"/>
  <c r="BA62" i="13"/>
  <c r="AD30" i="13"/>
  <c r="J30" i="13"/>
  <c r="T30" i="13"/>
  <c r="AY30" i="13"/>
  <c r="AU30" i="13"/>
  <c r="X30" i="13"/>
  <c r="AR30" i="13"/>
  <c r="AJ30" i="13"/>
  <c r="L30" i="13"/>
  <c r="G30" i="13"/>
  <c r="AE30" i="13"/>
  <c r="V30" i="13"/>
  <c r="I30" i="13"/>
  <c r="Q30" i="13"/>
  <c r="AP30" i="13"/>
  <c r="AA30" i="13"/>
  <c r="N30" i="13"/>
  <c r="AH30" i="13"/>
  <c r="M30" i="13"/>
  <c r="H30" i="13"/>
  <c r="Y30" i="13"/>
  <c r="O30" i="13"/>
  <c r="AM30" i="13"/>
  <c r="W30" i="13"/>
  <c r="AG30" i="13"/>
  <c r="AS30" i="13"/>
  <c r="F30" i="13"/>
  <c r="AV30" i="13"/>
  <c r="AC30" i="13"/>
  <c r="U30" i="13"/>
  <c r="AN30" i="13"/>
  <c r="AL30" i="13"/>
  <c r="AZ30" i="13"/>
  <c r="AO30" i="13"/>
  <c r="AQ30" i="13"/>
  <c r="Z30" i="13"/>
  <c r="AB30" i="13"/>
  <c r="AT30" i="13"/>
  <c r="AK64" i="13"/>
  <c r="Y64" i="13"/>
  <c r="AI30" i="13"/>
  <c r="S30" i="13"/>
  <c r="P30" i="13"/>
  <c r="AF64" i="13"/>
  <c r="AH64" i="13"/>
  <c r="AP64" i="13"/>
  <c r="AK30" i="13"/>
  <c r="AF30" i="13"/>
  <c r="AO64" i="13"/>
  <c r="AB64" i="13"/>
  <c r="AJ64" i="13"/>
  <c r="R30" i="13"/>
  <c r="AX30" i="13"/>
  <c r="S64" i="13"/>
  <c r="AW30" i="13"/>
  <c r="AT64" i="13"/>
  <c r="K30" i="13"/>
  <c r="AV64" i="13"/>
  <c r="E12" i="13"/>
  <c r="CM34" i="13"/>
  <c r="CH37" i="13"/>
  <c r="AO3" i="13"/>
  <c r="AS3" i="13"/>
  <c r="AP3" i="13"/>
  <c r="AN3" i="13"/>
  <c r="AW3" i="13"/>
  <c r="BL3" i="13"/>
  <c r="BJ3" i="13"/>
  <c r="BP3" i="13"/>
  <c r="AX3" i="13"/>
  <c r="AM3" i="13"/>
  <c r="BA3" i="13"/>
  <c r="BN3" i="13"/>
  <c r="BF3" i="13"/>
  <c r="BH3" i="13"/>
  <c r="AU3" i="13"/>
  <c r="AR3" i="13"/>
  <c r="AL3" i="13"/>
  <c r="BK3" i="13"/>
  <c r="AQ3" i="13"/>
  <c r="AZ3" i="13"/>
  <c r="AG3" i="13"/>
  <c r="AT3" i="13"/>
  <c r="AV3" i="13"/>
  <c r="BD3" i="13"/>
  <c r="BT3" i="13"/>
  <c r="AK3" i="13"/>
  <c r="BE3" i="13"/>
  <c r="AY3" i="13"/>
  <c r="AF3" i="13"/>
  <c r="BM3" i="13"/>
  <c r="BI3" i="13"/>
  <c r="AH3" i="13"/>
  <c r="BU3" i="13"/>
  <c r="BB3" i="13"/>
  <c r="BQ3" i="13"/>
  <c r="BR3" i="13"/>
  <c r="BG3" i="13"/>
  <c r="BS3" i="13"/>
  <c r="AI3" i="13"/>
  <c r="BC3" i="13"/>
  <c r="BO3" i="13"/>
  <c r="AE3" i="13"/>
  <c r="AJ3" i="13"/>
  <c r="E40" i="13"/>
  <c r="R39" i="13"/>
  <c r="T39" i="13"/>
  <c r="AC39" i="13"/>
  <c r="S39" i="13"/>
  <c r="U39" i="13"/>
  <c r="O39" i="13"/>
  <c r="M39" i="13"/>
  <c r="V39" i="13"/>
  <c r="G39" i="13"/>
  <c r="K39" i="13"/>
  <c r="AB39" i="13"/>
  <c r="F39" i="13"/>
  <c r="X39" i="13"/>
  <c r="H39" i="13"/>
  <c r="Z39" i="13"/>
  <c r="N39" i="13"/>
  <c r="AD39" i="13"/>
  <c r="AA39" i="13"/>
  <c r="W39" i="13"/>
  <c r="J39" i="13"/>
  <c r="I39" i="13"/>
  <c r="Y39" i="13"/>
  <c r="Q39" i="13"/>
  <c r="L39" i="13"/>
  <c r="P39" i="13"/>
  <c r="AG52" i="13"/>
  <c r="AO52" i="13"/>
  <c r="AD52" i="13"/>
  <c r="C118" i="13"/>
  <c r="AW52" i="13"/>
  <c r="AU52" i="13"/>
  <c r="AZ52" i="13"/>
  <c r="AM52" i="13"/>
  <c r="AF52" i="13"/>
  <c r="AL52" i="13"/>
  <c r="AC52" i="13"/>
  <c r="Y52" i="13"/>
  <c r="S52" i="13"/>
  <c r="T52" i="13"/>
  <c r="AB52" i="13"/>
  <c r="AN52" i="13"/>
  <c r="W52" i="13"/>
  <c r="AY52" i="13"/>
  <c r="U52" i="13"/>
  <c r="AK52" i="13"/>
  <c r="X52" i="13"/>
  <c r="AR52" i="13"/>
  <c r="AX52" i="13"/>
  <c r="AA52" i="13"/>
  <c r="Z52" i="13"/>
  <c r="AI52" i="13"/>
  <c r="AS52" i="13"/>
  <c r="AT52" i="13"/>
  <c r="AE52" i="13"/>
  <c r="AV52" i="13"/>
  <c r="AP52" i="13"/>
  <c r="AQ52" i="13"/>
  <c r="AJ52" i="13"/>
  <c r="AH52" i="13"/>
  <c r="V52" i="13"/>
  <c r="J34" i="13"/>
  <c r="H34" i="13"/>
  <c r="K34" i="13"/>
  <c r="F34" i="13"/>
  <c r="N34" i="13"/>
  <c r="O34" i="13"/>
  <c r="L34" i="13"/>
  <c r="Q34" i="13"/>
  <c r="P34" i="13"/>
  <c r="G34" i="13"/>
  <c r="I34" i="13"/>
  <c r="M34" i="13"/>
  <c r="AT68" i="13"/>
  <c r="AK34" i="13"/>
  <c r="AM34" i="13"/>
  <c r="AN68" i="13"/>
  <c r="AP34" i="13"/>
  <c r="AE68" i="13"/>
  <c r="AJ34" i="13"/>
  <c r="U34" i="13"/>
  <c r="R34" i="13"/>
  <c r="W34" i="13"/>
  <c r="AQ34" i="13"/>
  <c r="AX34" i="13"/>
  <c r="AW34" i="13"/>
  <c r="AI68" i="13"/>
  <c r="AZ34" i="13"/>
  <c r="X34" i="13"/>
  <c r="AI34" i="13"/>
  <c r="T34" i="13"/>
  <c r="AF34" i="13"/>
  <c r="AR34" i="13"/>
  <c r="AU68" i="13"/>
  <c r="U68" i="13"/>
  <c r="AY68" i="13"/>
  <c r="AV34" i="13"/>
  <c r="AG34" i="13"/>
  <c r="AY34" i="13"/>
  <c r="AL34" i="13"/>
  <c r="Z34" i="13"/>
  <c r="AL68" i="13"/>
  <c r="AC34" i="13"/>
  <c r="AB34" i="13"/>
  <c r="AO34" i="13"/>
  <c r="Y34" i="13"/>
  <c r="AD34" i="13"/>
  <c r="AU34" i="13"/>
  <c r="S68" i="13"/>
  <c r="S34" i="13"/>
  <c r="AT34" i="13"/>
  <c r="AS34" i="13"/>
  <c r="AH34" i="13"/>
  <c r="AN34" i="13"/>
  <c r="AE34" i="13"/>
  <c r="V34" i="13"/>
  <c r="AA34" i="13"/>
  <c r="CO40" i="13"/>
  <c r="CN40" i="13"/>
  <c r="CE40" i="13"/>
  <c r="BV40" i="13"/>
  <c r="CJ40" i="13"/>
  <c r="CQ40" i="13"/>
  <c r="CK40" i="13"/>
  <c r="CC40" i="13"/>
  <c r="CB40" i="13"/>
  <c r="CR40" i="13"/>
  <c r="CD40" i="13"/>
  <c r="BY40" i="13"/>
  <c r="BW40" i="13"/>
  <c r="CH40" i="13"/>
  <c r="CF40" i="13"/>
  <c r="BZ40" i="13"/>
  <c r="CI40" i="13"/>
  <c r="CL40" i="13"/>
  <c r="CA40" i="13"/>
  <c r="CG40" i="13"/>
  <c r="BX40" i="13"/>
  <c r="CP40" i="13"/>
  <c r="CM40" i="13"/>
  <c r="CN12" i="13"/>
  <c r="CK12" i="13"/>
  <c r="CH12" i="13"/>
  <c r="CI12" i="13"/>
  <c r="CO12" i="13"/>
  <c r="CD12" i="13"/>
  <c r="CP12" i="13"/>
  <c r="BZ12" i="13"/>
  <c r="BW12" i="13"/>
  <c r="CM12" i="13"/>
  <c r="CJ12" i="13"/>
  <c r="BY12" i="13"/>
  <c r="CB12" i="13"/>
  <c r="BX12" i="13"/>
  <c r="CL12" i="13"/>
  <c r="CG12" i="13"/>
  <c r="CE12" i="13"/>
  <c r="CR12" i="13"/>
  <c r="CA12" i="13"/>
  <c r="CQ12" i="13"/>
  <c r="CC12" i="13"/>
  <c r="CF12" i="13"/>
  <c r="BV12" i="13"/>
  <c r="M6" i="13"/>
  <c r="M62" i="13"/>
  <c r="AD6" i="13"/>
  <c r="P6" i="13"/>
  <c r="P62" i="13"/>
  <c r="J6" i="13"/>
  <c r="J62" i="13"/>
  <c r="F6" i="13"/>
  <c r="F62" i="13"/>
  <c r="X6" i="13"/>
  <c r="H6" i="13"/>
  <c r="H62" i="13"/>
  <c r="G6" i="13"/>
  <c r="G62" i="13"/>
  <c r="N6" i="13"/>
  <c r="N62" i="13"/>
  <c r="L6" i="13"/>
  <c r="L62" i="13"/>
  <c r="T6" i="13"/>
  <c r="K6" i="13"/>
  <c r="K62" i="13"/>
  <c r="O6" i="13"/>
  <c r="O62" i="13"/>
  <c r="I6" i="13"/>
  <c r="I62" i="13"/>
  <c r="Q6" i="13"/>
  <c r="Q62" i="13"/>
  <c r="R6" i="13"/>
  <c r="R62" i="13"/>
  <c r="AC6" i="13"/>
  <c r="C38" i="13"/>
  <c r="D13" i="13"/>
  <c r="CF35" i="13"/>
  <c r="CP8" i="13"/>
  <c r="CM8" i="13"/>
  <c r="BW8" i="13"/>
  <c r="CI8" i="13"/>
  <c r="CR8" i="13"/>
  <c r="CG8" i="13"/>
  <c r="CF8" i="13"/>
  <c r="BY8" i="13"/>
  <c r="BZ8" i="13"/>
  <c r="CA8" i="13"/>
  <c r="CO8" i="13"/>
  <c r="BX8" i="13"/>
  <c r="CN8" i="13"/>
  <c r="CK8" i="13"/>
  <c r="CQ8" i="13"/>
  <c r="CE8" i="13"/>
  <c r="CL8" i="13"/>
  <c r="CC8" i="13"/>
  <c r="CD8" i="13"/>
  <c r="BV8" i="13"/>
  <c r="CB8" i="13"/>
  <c r="CJ8" i="13"/>
  <c r="CH8" i="13"/>
  <c r="F27" i="13"/>
  <c r="O27" i="13"/>
  <c r="Q27" i="13"/>
  <c r="G27" i="13"/>
  <c r="I27" i="13"/>
  <c r="J27" i="13"/>
  <c r="K27" i="13"/>
  <c r="N27" i="13"/>
  <c r="M27" i="13"/>
  <c r="P27" i="13"/>
  <c r="AM27" i="13"/>
  <c r="Y27" i="13"/>
  <c r="AI61" i="13"/>
  <c r="AR27" i="13"/>
  <c r="Z27" i="13"/>
  <c r="AI27" i="13"/>
  <c r="AP27" i="13"/>
  <c r="AV27" i="13"/>
  <c r="W27" i="13"/>
  <c r="AZ27" i="13"/>
  <c r="AE27" i="13"/>
  <c r="AT27" i="13"/>
  <c r="AJ61" i="13"/>
  <c r="R27" i="13"/>
  <c r="AG27" i="13"/>
  <c r="AJ27" i="13"/>
  <c r="AO27" i="13"/>
  <c r="AA27" i="13"/>
  <c r="AH61" i="13"/>
  <c r="AT61" i="13"/>
  <c r="X61" i="13"/>
  <c r="V27" i="13"/>
  <c r="S27" i="13"/>
  <c r="AY61" i="13"/>
  <c r="Z61" i="13"/>
  <c r="S61" i="13"/>
  <c r="AL27" i="13"/>
  <c r="AD27" i="13"/>
  <c r="AN61" i="13"/>
  <c r="AQ61" i="13"/>
  <c r="AC61" i="13"/>
  <c r="AC27" i="13"/>
  <c r="AW27" i="13"/>
  <c r="T27" i="13"/>
  <c r="W61" i="13"/>
  <c r="AS61" i="13"/>
  <c r="AR61" i="13"/>
  <c r="AP61" i="13"/>
  <c r="AA61" i="13"/>
  <c r="U61" i="13"/>
  <c r="AH27" i="13"/>
  <c r="V61" i="13"/>
  <c r="AE61" i="13"/>
  <c r="AQ27" i="13"/>
  <c r="Y61" i="13"/>
  <c r="AX61" i="13"/>
  <c r="AM61" i="13"/>
  <c r="AZ61" i="13"/>
  <c r="U27" i="13"/>
  <c r="AK27" i="13"/>
  <c r="AU27" i="13"/>
  <c r="AS27" i="13"/>
  <c r="AG61" i="13"/>
  <c r="L27" i="13"/>
  <c r="AF27" i="13"/>
  <c r="AX27" i="13"/>
  <c r="H27" i="13"/>
  <c r="AB61" i="13"/>
  <c r="AU61" i="13"/>
  <c r="AL61" i="13"/>
  <c r="AK61" i="13"/>
  <c r="AW61" i="13"/>
  <c r="AY27" i="13"/>
  <c r="AO61" i="13"/>
  <c r="AD61" i="13"/>
  <c r="AN27" i="13"/>
  <c r="T61" i="13"/>
  <c r="AB27" i="13"/>
  <c r="AF61" i="13"/>
  <c r="X27" i="13"/>
  <c r="AV61" i="13"/>
  <c r="F33" i="13"/>
  <c r="J33" i="13"/>
  <c r="P33" i="13"/>
  <c r="M33" i="13"/>
  <c r="Q33" i="13"/>
  <c r="N33" i="13"/>
  <c r="O33" i="13"/>
  <c r="G33" i="13"/>
  <c r="R33" i="13"/>
  <c r="L33" i="13"/>
  <c r="I33" i="13"/>
  <c r="H33" i="13"/>
  <c r="AT33" i="13"/>
  <c r="AW33" i="13"/>
  <c r="AL33" i="13"/>
  <c r="AG67" i="13"/>
  <c r="AA33" i="13"/>
  <c r="AK33" i="13"/>
  <c r="AF33" i="13"/>
  <c r="AR33" i="13"/>
  <c r="AR67" i="13"/>
  <c r="K33" i="13"/>
  <c r="AL67" i="13"/>
  <c r="AY67" i="13"/>
  <c r="AC67" i="13"/>
  <c r="AP67" i="13"/>
  <c r="AZ33" i="13"/>
  <c r="AD33" i="13"/>
  <c r="AG33" i="13"/>
  <c r="AY33" i="13"/>
  <c r="T33" i="13"/>
  <c r="S33" i="13"/>
  <c r="AM33" i="13"/>
  <c r="U67" i="13"/>
  <c r="AW67" i="13"/>
  <c r="AB33" i="13"/>
  <c r="AI33" i="13"/>
  <c r="Z33" i="13"/>
  <c r="AN33" i="13"/>
  <c r="AP33" i="13"/>
  <c r="S67" i="13"/>
  <c r="V67" i="13"/>
  <c r="U33" i="13"/>
  <c r="AJ33" i="13"/>
  <c r="AE33" i="13"/>
  <c r="AX33" i="13"/>
  <c r="AS33" i="13"/>
  <c r="AA67" i="13"/>
  <c r="V33" i="13"/>
  <c r="T67" i="13"/>
  <c r="Y33" i="13"/>
  <c r="AU67" i="13"/>
  <c r="AU33" i="13"/>
  <c r="AV33" i="13"/>
  <c r="AQ33" i="13"/>
  <c r="AH33" i="13"/>
  <c r="AC33" i="13"/>
  <c r="AO33" i="13"/>
  <c r="AO67" i="13"/>
  <c r="W33" i="13"/>
  <c r="X33" i="13"/>
  <c r="CC9" i="13"/>
  <c r="CI9" i="13"/>
  <c r="BV9" i="13"/>
  <c r="CB9" i="13"/>
  <c r="CP9" i="13"/>
  <c r="CN9" i="13"/>
  <c r="CF9" i="13"/>
  <c r="CG9" i="13"/>
  <c r="CQ9" i="13"/>
  <c r="CK9" i="13"/>
  <c r="BW9" i="13"/>
  <c r="BX9" i="13"/>
  <c r="BZ9" i="13"/>
  <c r="CR9" i="13"/>
  <c r="CO9" i="13"/>
  <c r="CL9" i="13"/>
  <c r="CJ9" i="13"/>
  <c r="CM9" i="13"/>
  <c r="BY9" i="13"/>
  <c r="CA9" i="13"/>
  <c r="CH9" i="13"/>
  <c r="CD9" i="13"/>
  <c r="CE9" i="13"/>
  <c r="BY49" i="13"/>
  <c r="BY66" i="13"/>
  <c r="BC49" i="13"/>
  <c r="BC66" i="13"/>
  <c r="CB49" i="13"/>
  <c r="CB66" i="13"/>
  <c r="BH49" i="13"/>
  <c r="BH66" i="13"/>
  <c r="BU49" i="13"/>
  <c r="BA49" i="13"/>
  <c r="BA66" i="13"/>
  <c r="BI49" i="13"/>
  <c r="BI66" i="13"/>
  <c r="BX49" i="13"/>
  <c r="BX66" i="13"/>
  <c r="BG49" i="13"/>
  <c r="BG66" i="13"/>
  <c r="BQ49" i="13"/>
  <c r="BQ66" i="13"/>
  <c r="BN49" i="13"/>
  <c r="BN66" i="13"/>
  <c r="BF49" i="13"/>
  <c r="BF66" i="13"/>
  <c r="CU32" i="13"/>
  <c r="CG49" i="13"/>
  <c r="CG66" i="13"/>
  <c r="BW49" i="13"/>
  <c r="BW66" i="13"/>
  <c r="BK49" i="13"/>
  <c r="BK66" i="13"/>
  <c r="CD49" i="13"/>
  <c r="CD66" i="13"/>
  <c r="CN32" i="13"/>
  <c r="BD49" i="13"/>
  <c r="BD66" i="13"/>
  <c r="CF49" i="13"/>
  <c r="CF66" i="13"/>
  <c r="CH32" i="13"/>
  <c r="BL49" i="13"/>
  <c r="BL66" i="13"/>
  <c r="BT49" i="13"/>
  <c r="BT66" i="13"/>
  <c r="BP49" i="13"/>
  <c r="BP66" i="13"/>
  <c r="CS32" i="13"/>
  <c r="BR49" i="13"/>
  <c r="BR66" i="13"/>
  <c r="CL32" i="13"/>
  <c r="CA49" i="13"/>
  <c r="CA66" i="13"/>
  <c r="CE49" i="13"/>
  <c r="CE66" i="13"/>
  <c r="BO49" i="13"/>
  <c r="BO66" i="13"/>
  <c r="BZ49" i="13"/>
  <c r="BZ66" i="13"/>
  <c r="CC49" i="13"/>
  <c r="CC66" i="13"/>
  <c r="BV49" i="13"/>
  <c r="BV66" i="13"/>
  <c r="BJ49" i="13"/>
  <c r="BJ66" i="13"/>
  <c r="CI32" i="13"/>
  <c r="BM49" i="13"/>
  <c r="BM66" i="13"/>
  <c r="BS49" i="13"/>
  <c r="BS66" i="13"/>
  <c r="BB49" i="13"/>
  <c r="BB66" i="13"/>
  <c r="BE49" i="13"/>
  <c r="BE66" i="13"/>
  <c r="M37" i="13"/>
  <c r="J37" i="13"/>
  <c r="K37" i="13"/>
  <c r="G37" i="13"/>
  <c r="F37" i="13"/>
  <c r="L37" i="13"/>
  <c r="O37" i="13"/>
  <c r="Q37" i="13"/>
  <c r="I37" i="13"/>
  <c r="P37" i="13"/>
  <c r="N37" i="13"/>
  <c r="AI37" i="13"/>
  <c r="AL71" i="13"/>
  <c r="S37" i="13"/>
  <c r="AE71" i="13"/>
  <c r="AV37" i="13"/>
  <c r="V71" i="13"/>
  <c r="AZ71" i="13"/>
  <c r="AK71" i="13"/>
  <c r="AG37" i="13"/>
  <c r="U37" i="13"/>
  <c r="AS37" i="13"/>
  <c r="AP37" i="13"/>
  <c r="H37" i="13"/>
  <c r="AI71" i="13"/>
  <c r="AV71" i="13"/>
  <c r="AW37" i="13"/>
  <c r="W37" i="13"/>
  <c r="AT37" i="13"/>
  <c r="AB37" i="13"/>
  <c r="AJ37" i="13"/>
  <c r="AQ37" i="13"/>
  <c r="AE37" i="13"/>
  <c r="W71" i="13"/>
  <c r="AC71" i="13"/>
  <c r="AA71" i="13"/>
  <c r="T37" i="13"/>
  <c r="AF37" i="13"/>
  <c r="AJ71" i="13"/>
  <c r="AK37" i="13"/>
  <c r="AX37" i="13"/>
  <c r="AH37" i="13"/>
  <c r="S71" i="13"/>
  <c r="AM37" i="13"/>
  <c r="AM71" i="13"/>
  <c r="AL37" i="13"/>
  <c r="AR71" i="13"/>
  <c r="AP71" i="13"/>
  <c r="X37" i="13"/>
  <c r="AD37" i="13"/>
  <c r="V37" i="13"/>
  <c r="AY37" i="13"/>
  <c r="AD71" i="13"/>
  <c r="AZ37" i="13"/>
  <c r="AF71" i="13"/>
  <c r="AC37" i="13"/>
  <c r="AU37" i="13"/>
  <c r="R37" i="13"/>
  <c r="Z37" i="13"/>
  <c r="Y37" i="13"/>
  <c r="AR37" i="13"/>
  <c r="AN37" i="13"/>
  <c r="AA37" i="13"/>
  <c r="AO37" i="13"/>
  <c r="AS71" i="13"/>
  <c r="CI36" i="13"/>
  <c r="I29" i="13"/>
  <c r="AS29" i="13"/>
  <c r="S29" i="13"/>
  <c r="Z29" i="13"/>
  <c r="R29" i="13"/>
  <c r="J29" i="13"/>
  <c r="AD29" i="13"/>
  <c r="AG29" i="13"/>
  <c r="Q29" i="13"/>
  <c r="G29" i="13"/>
  <c r="AC29" i="13"/>
  <c r="AU29" i="13"/>
  <c r="AM29" i="13"/>
  <c r="AB29" i="13"/>
  <c r="AN29" i="13"/>
  <c r="AT29" i="13"/>
  <c r="AI29" i="13"/>
  <c r="AA29" i="13"/>
  <c r="AQ29" i="13"/>
  <c r="O29" i="13"/>
  <c r="AP29" i="13"/>
  <c r="F29" i="13"/>
  <c r="N29" i="13"/>
  <c r="AK29" i="13"/>
  <c r="T29" i="13"/>
  <c r="AZ29" i="13"/>
  <c r="AE29" i="13"/>
  <c r="P29" i="13"/>
  <c r="AW29" i="13"/>
  <c r="AU63" i="13"/>
  <c r="AF63" i="13"/>
  <c r="AC63" i="13"/>
  <c r="AN63" i="13"/>
  <c r="S63" i="13"/>
  <c r="AY63" i="13"/>
  <c r="AL63" i="13"/>
  <c r="AZ63" i="13"/>
  <c r="AO63" i="13"/>
  <c r="AY29" i="13"/>
  <c r="AF29" i="13"/>
  <c r="K29" i="13"/>
  <c r="H29" i="13"/>
  <c r="AV29" i="13"/>
  <c r="AH29" i="13"/>
  <c r="T63" i="13"/>
  <c r="AK63" i="13"/>
  <c r="AP63" i="13"/>
  <c r="AV63" i="13"/>
  <c r="AM63" i="13"/>
  <c r="W63" i="13"/>
  <c r="Z63" i="13"/>
  <c r="AE63" i="13"/>
  <c r="AJ29" i="13"/>
  <c r="AL29" i="13"/>
  <c r="AX29" i="13"/>
  <c r="AX63" i="13"/>
  <c r="AR63" i="13"/>
  <c r="X63" i="13"/>
  <c r="AB63" i="13"/>
  <c r="V29" i="13"/>
  <c r="AR29" i="13"/>
  <c r="Y29" i="13"/>
  <c r="AG63" i="13"/>
  <c r="AW63" i="13"/>
  <c r="AA63" i="13"/>
  <c r="AT63" i="13"/>
  <c r="AD63" i="13"/>
  <c r="M29" i="13"/>
  <c r="AH63" i="13"/>
  <c r="AI63" i="13"/>
  <c r="Y63" i="13"/>
  <c r="U29" i="13"/>
  <c r="V63" i="13"/>
  <c r="L29" i="13"/>
  <c r="AO29" i="13"/>
  <c r="X29" i="13"/>
  <c r="AJ63" i="13"/>
  <c r="U63" i="13"/>
  <c r="W29" i="13"/>
  <c r="AS63" i="13"/>
  <c r="AQ63" i="13"/>
  <c r="BQ36" i="13"/>
  <c r="CF36" i="13"/>
  <c r="BD36" i="13"/>
  <c r="AQ47" i="13"/>
  <c r="AQ64" i="13"/>
  <c r="AG47" i="13"/>
  <c r="AG64" i="13"/>
  <c r="AX47" i="13"/>
  <c r="AX64" i="13"/>
  <c r="AU47" i="13"/>
  <c r="AU64" i="13"/>
  <c r="AY47" i="13"/>
  <c r="AY64" i="13"/>
  <c r="AN47" i="13"/>
  <c r="AN64" i="13"/>
  <c r="AC47" i="13"/>
  <c r="AC64" i="13"/>
  <c r="AZ47" i="13"/>
  <c r="AZ64" i="13"/>
  <c r="V47" i="13"/>
  <c r="V64" i="13"/>
  <c r="AR47" i="13"/>
  <c r="AR64" i="13"/>
  <c r="AS51" i="13"/>
  <c r="AS68" i="13"/>
  <c r="AV51" i="13"/>
  <c r="AV68" i="13"/>
  <c r="AM51" i="13"/>
  <c r="AM68" i="13"/>
  <c r="AA51" i="13"/>
  <c r="AA68" i="13"/>
  <c r="AF51" i="13"/>
  <c r="AF68" i="13"/>
  <c r="AB51" i="13"/>
  <c r="AB68" i="13"/>
  <c r="AR51" i="13"/>
  <c r="AR68" i="13"/>
  <c r="Z51" i="13"/>
  <c r="Z68" i="13"/>
  <c r="AP51" i="13"/>
  <c r="AP68" i="13"/>
  <c r="AD51" i="13"/>
  <c r="C117" i="13"/>
  <c r="AH51" i="13"/>
  <c r="AH68" i="13"/>
  <c r="AZ51" i="13"/>
  <c r="AZ68" i="13"/>
  <c r="AB50" i="13"/>
  <c r="AB67" i="13"/>
  <c r="CA33" i="13"/>
  <c r="W50" i="13"/>
  <c r="W67" i="13"/>
  <c r="BW33" i="13"/>
  <c r="BQ33" i="13"/>
  <c r="AF50" i="13"/>
  <c r="AF67" i="13"/>
  <c r="AX50" i="13"/>
  <c r="AX67" i="13"/>
  <c r="CF33" i="13"/>
  <c r="BY33" i="13"/>
  <c r="BU33" i="13"/>
  <c r="Z50" i="13"/>
  <c r="Z67" i="13"/>
  <c r="CB33" i="13"/>
  <c r="BZ33" i="13"/>
  <c r="AQ50" i="13"/>
  <c r="AQ67" i="13"/>
  <c r="AD50" i="13"/>
  <c r="C116" i="13"/>
  <c r="BD33" i="13"/>
  <c r="AI50" i="13"/>
  <c r="AI67" i="13"/>
  <c r="AQ53" i="13"/>
  <c r="AQ70" i="13"/>
  <c r="BN36" i="13"/>
  <c r="CB36" i="13"/>
  <c r="BZ36" i="13"/>
  <c r="BO36" i="13"/>
  <c r="AG53" i="13"/>
  <c r="AG70" i="13"/>
  <c r="CC36" i="13"/>
  <c r="AN53" i="13"/>
  <c r="AN70" i="13"/>
  <c r="U53" i="13"/>
  <c r="U70" i="13"/>
  <c r="Y53" i="13"/>
  <c r="Y70" i="13"/>
  <c r="BH36" i="13"/>
  <c r="BF36" i="13"/>
  <c r="T53" i="13"/>
  <c r="T70" i="13"/>
  <c r="BB36" i="13"/>
  <c r="BL36" i="13"/>
  <c r="BW36" i="13"/>
  <c r="BK31" i="13"/>
  <c r="BE31" i="13"/>
  <c r="BR31" i="13"/>
  <c r="BS31" i="13"/>
  <c r="CG31" i="13"/>
  <c r="BL31" i="13"/>
  <c r="CA31" i="13"/>
  <c r="CC31" i="13"/>
  <c r="X45" i="13"/>
  <c r="X62" i="13"/>
  <c r="BY28" i="13"/>
  <c r="AO45" i="13"/>
  <c r="AO62" i="13"/>
  <c r="T45" i="13"/>
  <c r="T62" i="13"/>
  <c r="BS28" i="13"/>
  <c r="CF28" i="13"/>
  <c r="AE45" i="13"/>
  <c r="AE62" i="13"/>
  <c r="CE28" i="13"/>
  <c r="BE28" i="13"/>
  <c r="BA28" i="13"/>
  <c r="BW28" i="13"/>
  <c r="BU28" i="13"/>
  <c r="BP28" i="13"/>
  <c r="AC45" i="13"/>
  <c r="AC62" i="13"/>
  <c r="CA28" i="13"/>
  <c r="L31" i="1"/>
  <c r="I74" i="7"/>
  <c r="L73" i="1"/>
  <c r="L76" i="1"/>
  <c r="L74" i="7"/>
  <c r="L75" i="7"/>
  <c r="L70" i="7"/>
  <c r="CV28" i="13"/>
  <c r="CT28" i="13"/>
  <c r="V42" i="13"/>
  <c r="AK42" i="13"/>
  <c r="CU28" i="13"/>
  <c r="CM28" i="13"/>
  <c r="CL28" i="13"/>
  <c r="CJ28" i="13"/>
  <c r="AD62" i="13"/>
  <c r="AX42" i="13"/>
  <c r="AX59" i="13"/>
  <c r="AI42" i="13"/>
  <c r="AI59" i="13"/>
  <c r="AN42" i="13"/>
  <c r="BM25" i="13"/>
  <c r="BE25" i="13"/>
  <c r="CB25" i="13"/>
  <c r="AH42" i="13"/>
  <c r="AE42" i="13"/>
  <c r="AD42" i="13"/>
  <c r="C108" i="13"/>
  <c r="CS28" i="13"/>
  <c r="CR28" i="13"/>
  <c r="AZ42" i="13"/>
  <c r="AZ59" i="13"/>
  <c r="Y42" i="13"/>
  <c r="Y3" i="13"/>
  <c r="Y59" i="13"/>
  <c r="AO42" i="13"/>
  <c r="Z42" i="13"/>
  <c r="AL42" i="13"/>
  <c r="AL59" i="13"/>
  <c r="AJ42" i="13"/>
  <c r="AJ59" i="13"/>
  <c r="CU27" i="13"/>
  <c r="CP27" i="13"/>
  <c r="CK32" i="13"/>
  <c r="BM35" i="13"/>
  <c r="BM38" i="13"/>
  <c r="AD64" i="13"/>
  <c r="CJ31" i="13"/>
  <c r="CV31" i="13"/>
  <c r="CR31" i="13"/>
  <c r="CS27" i="13"/>
  <c r="CH27" i="13"/>
  <c r="CO32" i="13"/>
  <c r="CP31" i="13"/>
  <c r="CQ34" i="13"/>
  <c r="CR36" i="13"/>
  <c r="BB35" i="13"/>
  <c r="BB38" i="13"/>
  <c r="CW34" i="13"/>
  <c r="CW36" i="13"/>
  <c r="CQ37" i="13"/>
  <c r="BF35" i="13"/>
  <c r="BF38" i="13"/>
  <c r="BC35" i="13"/>
  <c r="CN28" i="13"/>
  <c r="CK28" i="13"/>
  <c r="CM33" i="13"/>
  <c r="CL27" i="13"/>
  <c r="CO27" i="13"/>
  <c r="CW27" i="13"/>
  <c r="CJ27" i="13"/>
  <c r="CI27" i="13"/>
  <c r="CL34" i="13"/>
  <c r="CP34" i="13"/>
  <c r="AC42" i="13"/>
  <c r="AC3" i="13"/>
  <c r="AC59" i="13"/>
  <c r="AG42" i="13"/>
  <c r="AG59" i="13"/>
  <c r="AP42" i="13"/>
  <c r="AP59" i="13"/>
  <c r="W42" i="13"/>
  <c r="W3" i="13"/>
  <c r="W59" i="13"/>
  <c r="AR42" i="13"/>
  <c r="AR59" i="13"/>
  <c r="T42" i="13"/>
  <c r="AB42" i="13"/>
  <c r="AB3" i="13"/>
  <c r="AB59" i="13"/>
  <c r="AQ42" i="13"/>
  <c r="AQ59" i="13"/>
  <c r="AA42" i="13"/>
  <c r="AA3" i="13"/>
  <c r="AA59" i="13"/>
  <c r="AY42" i="13"/>
  <c r="CT36" i="13"/>
  <c r="CU36" i="13"/>
  <c r="CP36" i="13"/>
  <c r="CO36" i="13"/>
  <c r="CJ36" i="13"/>
  <c r="CM36" i="13"/>
  <c r="CT30" i="13"/>
  <c r="CP37" i="13"/>
  <c r="CN33" i="13"/>
  <c r="CK33" i="13"/>
  <c r="CI34" i="13"/>
  <c r="CL36" i="13"/>
  <c r="CN36" i="13"/>
  <c r="CW37" i="13"/>
  <c r="CQ33" i="13"/>
  <c r="CT33" i="13"/>
  <c r="CP33" i="13"/>
  <c r="CJ37" i="13"/>
  <c r="CG35" i="13"/>
  <c r="BY35" i="13"/>
  <c r="CD35" i="13"/>
  <c r="CD38" i="13"/>
  <c r="CW28" i="13"/>
  <c r="CI28" i="13"/>
  <c r="CQ28" i="13"/>
  <c r="CH28" i="13"/>
  <c r="CT27" i="13"/>
  <c r="CK34" i="13"/>
  <c r="CS34" i="13"/>
  <c r="X42" i="13"/>
  <c r="X3" i="13"/>
  <c r="X59" i="13"/>
  <c r="AT42" i="13"/>
  <c r="AM42" i="13"/>
  <c r="AS42" i="13"/>
  <c r="AS59" i="13"/>
  <c r="AW42" i="13"/>
  <c r="AW59" i="13"/>
  <c r="AV42" i="13"/>
  <c r="CH36" i="13"/>
  <c r="CS36" i="13"/>
  <c r="AD60" i="13"/>
  <c r="AD65" i="13"/>
  <c r="CS37" i="13"/>
  <c r="CX29" i="13"/>
  <c r="CY29" i="13"/>
  <c r="CX63" i="13"/>
  <c r="CY63" i="13"/>
  <c r="CZ29" i="13"/>
  <c r="CZ63" i="13"/>
  <c r="DA63" i="13"/>
  <c r="CT46" i="13"/>
  <c r="CT63" i="13"/>
  <c r="CH46" i="13"/>
  <c r="CH63" i="13"/>
  <c r="CS46" i="13"/>
  <c r="CS63" i="13"/>
  <c r="CM46" i="13"/>
  <c r="CM63" i="13"/>
  <c r="CL46" i="13"/>
  <c r="CL63" i="13"/>
  <c r="CO46" i="13"/>
  <c r="CO63" i="13"/>
  <c r="CP46" i="13"/>
  <c r="CP63" i="13"/>
  <c r="CI46" i="13"/>
  <c r="CI63" i="13"/>
  <c r="CR46" i="13"/>
  <c r="CK46" i="13"/>
  <c r="CK63" i="13"/>
  <c r="CQ46" i="13"/>
  <c r="CQ63" i="13"/>
  <c r="CU46" i="13"/>
  <c r="CU63" i="13"/>
  <c r="CN46" i="13"/>
  <c r="CN63" i="13"/>
  <c r="CJ46" i="13"/>
  <c r="CJ63" i="13"/>
  <c r="DA29" i="13"/>
  <c r="CW46" i="13"/>
  <c r="CW63" i="13"/>
  <c r="CV46" i="13"/>
  <c r="CV63" i="13"/>
  <c r="CI13" i="13"/>
  <c r="CN13" i="13"/>
  <c r="BW13" i="13"/>
  <c r="CM13" i="13"/>
  <c r="CA13" i="13"/>
  <c r="CB13" i="13"/>
  <c r="CG13" i="13"/>
  <c r="CH13" i="13"/>
  <c r="CE13" i="13"/>
  <c r="BV13" i="13"/>
  <c r="BX13" i="13"/>
  <c r="CD13" i="13"/>
  <c r="CP13" i="13"/>
  <c r="CJ13" i="13"/>
  <c r="E13" i="13"/>
  <c r="CR13" i="13"/>
  <c r="CF13" i="13"/>
  <c r="BZ13" i="13"/>
  <c r="BY13" i="13"/>
  <c r="CC13" i="13"/>
  <c r="CQ13" i="13"/>
  <c r="CK13" i="13"/>
  <c r="CO13" i="13"/>
  <c r="CL13" i="13"/>
  <c r="CX26" i="13"/>
  <c r="DA60" i="13"/>
  <c r="CZ26" i="13"/>
  <c r="CY60" i="13"/>
  <c r="DA26" i="13"/>
  <c r="CZ60" i="13"/>
  <c r="CX60" i="13"/>
  <c r="CP43" i="13"/>
  <c r="CP60" i="13"/>
  <c r="CV43" i="13"/>
  <c r="CV60" i="13"/>
  <c r="CS43" i="13"/>
  <c r="CS60" i="13"/>
  <c r="CO43" i="13"/>
  <c r="CO60" i="13"/>
  <c r="CM43" i="13"/>
  <c r="CM60" i="13"/>
  <c r="CT43" i="13"/>
  <c r="CT60" i="13"/>
  <c r="CU43" i="13"/>
  <c r="CU60" i="13"/>
  <c r="CI43" i="13"/>
  <c r="CI60" i="13"/>
  <c r="CY26" i="13"/>
  <c r="CK43" i="13"/>
  <c r="CK60" i="13"/>
  <c r="CN43" i="13"/>
  <c r="CN60" i="13"/>
  <c r="CJ43" i="13"/>
  <c r="CJ60" i="13"/>
  <c r="CQ43" i="13"/>
  <c r="CQ60" i="13"/>
  <c r="CL43" i="13"/>
  <c r="CL60" i="13"/>
  <c r="CH43" i="13"/>
  <c r="CH60" i="13"/>
  <c r="CR43" i="13"/>
  <c r="CW43" i="13"/>
  <c r="CW60" i="13"/>
  <c r="D116" i="13"/>
  <c r="BU67" i="13"/>
  <c r="S13" i="13"/>
  <c r="Z13" i="13"/>
  <c r="AA13" i="13"/>
  <c r="X13" i="13"/>
  <c r="AC13" i="13"/>
  <c r="N13" i="13"/>
  <c r="N69" i="13"/>
  <c r="M13" i="13"/>
  <c r="M69" i="13"/>
  <c r="I13" i="13"/>
  <c r="I69" i="13"/>
  <c r="R13" i="13"/>
  <c r="R69" i="13"/>
  <c r="T13" i="13"/>
  <c r="AB13" i="13"/>
  <c r="AD13" i="13"/>
  <c r="V13" i="13"/>
  <c r="H13" i="13"/>
  <c r="H69" i="13"/>
  <c r="Y13" i="13"/>
  <c r="W13" i="13"/>
  <c r="K13" i="13"/>
  <c r="K69" i="13"/>
  <c r="L13" i="13"/>
  <c r="L69" i="13"/>
  <c r="J13" i="13"/>
  <c r="J69" i="13"/>
  <c r="P13" i="13"/>
  <c r="P69" i="13"/>
  <c r="U13" i="13"/>
  <c r="O13" i="13"/>
  <c r="O69" i="13"/>
  <c r="G13" i="13"/>
  <c r="G69" i="13"/>
  <c r="F13" i="13"/>
  <c r="F69" i="13"/>
  <c r="Q13" i="13"/>
  <c r="Q69" i="13"/>
  <c r="DA6" i="13"/>
  <c r="CV6" i="13"/>
  <c r="CY6" i="13"/>
  <c r="CT6" i="13"/>
  <c r="CS6" i="13"/>
  <c r="CU6" i="13"/>
  <c r="CZ6" i="13"/>
  <c r="CX6" i="13"/>
  <c r="CW6" i="13"/>
  <c r="V3" i="13"/>
  <c r="R3" i="13"/>
  <c r="R59" i="13"/>
  <c r="F3" i="13"/>
  <c r="F59" i="13"/>
  <c r="F72" i="13"/>
  <c r="Z3" i="13"/>
  <c r="Q3" i="13"/>
  <c r="Q59" i="13"/>
  <c r="I3" i="13"/>
  <c r="I59" i="13"/>
  <c r="N3" i="13"/>
  <c r="N59" i="13"/>
  <c r="U3" i="13"/>
  <c r="T3" i="13"/>
  <c r="O3" i="13"/>
  <c r="O59" i="13"/>
  <c r="J3" i="13"/>
  <c r="J59" i="13"/>
  <c r="S3" i="13"/>
  <c r="P3" i="13"/>
  <c r="P59" i="13"/>
  <c r="P72" i="13"/>
  <c r="L3" i="13"/>
  <c r="L59" i="13"/>
  <c r="L72" i="13"/>
  <c r="H3" i="13"/>
  <c r="H59" i="13"/>
  <c r="H72" i="13"/>
  <c r="K3" i="13"/>
  <c r="K59" i="13"/>
  <c r="M3" i="13"/>
  <c r="M59" i="13"/>
  <c r="G3" i="13"/>
  <c r="G59" i="13"/>
  <c r="AD3" i="13"/>
  <c r="BU52" i="13"/>
  <c r="BK52" i="13"/>
  <c r="BK69" i="13"/>
  <c r="BD52" i="13"/>
  <c r="BD69" i="13"/>
  <c r="BC52" i="13"/>
  <c r="BC69" i="13"/>
  <c r="CA52" i="13"/>
  <c r="CA69" i="13"/>
  <c r="BM52" i="13"/>
  <c r="BM69" i="13"/>
  <c r="BR52" i="13"/>
  <c r="BR69" i="13"/>
  <c r="BY52" i="13"/>
  <c r="BY69" i="13"/>
  <c r="BG52" i="13"/>
  <c r="BG69" i="13"/>
  <c r="BH52" i="13"/>
  <c r="BH69" i="13"/>
  <c r="BP52" i="13"/>
  <c r="BP69" i="13"/>
  <c r="BI52" i="13"/>
  <c r="BI69" i="13"/>
  <c r="BJ52" i="13"/>
  <c r="BJ69" i="13"/>
  <c r="BX52" i="13"/>
  <c r="BX69" i="13"/>
  <c r="CB52" i="13"/>
  <c r="CB69" i="13"/>
  <c r="BW52" i="13"/>
  <c r="BW69" i="13"/>
  <c r="CE52" i="13"/>
  <c r="CE69" i="13"/>
  <c r="BA52" i="13"/>
  <c r="BA69" i="13"/>
  <c r="BL52" i="13"/>
  <c r="BL69" i="13"/>
  <c r="BB52" i="13"/>
  <c r="BB69" i="13"/>
  <c r="BV52" i="13"/>
  <c r="BV69" i="13"/>
  <c r="BQ52" i="13"/>
  <c r="BQ69" i="13"/>
  <c r="BN52" i="13"/>
  <c r="BN69" i="13"/>
  <c r="BT52" i="13"/>
  <c r="BT69" i="13"/>
  <c r="CC52" i="13"/>
  <c r="CC69" i="13"/>
  <c r="BS52" i="13"/>
  <c r="BS69" i="13"/>
  <c r="BF52" i="13"/>
  <c r="BF69" i="13"/>
  <c r="CG52" i="13"/>
  <c r="CG69" i="13"/>
  <c r="BO52" i="13"/>
  <c r="BO69" i="13"/>
  <c r="CD52" i="13"/>
  <c r="CD69" i="13"/>
  <c r="BZ52" i="13"/>
  <c r="BZ69" i="13"/>
  <c r="BE52" i="13"/>
  <c r="BE69" i="13"/>
  <c r="CF52" i="13"/>
  <c r="CF69" i="13"/>
  <c r="CW35" i="13"/>
  <c r="CK35" i="13"/>
  <c r="DA66" i="13"/>
  <c r="CZ32" i="13"/>
  <c r="CX32" i="13"/>
  <c r="DA32" i="13"/>
  <c r="CY66" i="13"/>
  <c r="CX66" i="13"/>
  <c r="CZ66" i="13"/>
  <c r="CP49" i="13"/>
  <c r="CP66" i="13"/>
  <c r="CY32" i="13"/>
  <c r="CQ49" i="13"/>
  <c r="CQ66" i="13"/>
  <c r="CO49" i="13"/>
  <c r="CO66" i="13"/>
  <c r="CU49" i="13"/>
  <c r="CU66" i="13"/>
  <c r="CH49" i="13"/>
  <c r="CH66" i="13"/>
  <c r="CL49" i="13"/>
  <c r="CL66" i="13"/>
  <c r="CV49" i="13"/>
  <c r="CV66" i="13"/>
  <c r="CK49" i="13"/>
  <c r="CK66" i="13"/>
  <c r="CS49" i="13"/>
  <c r="CS66" i="13"/>
  <c r="CR49" i="13"/>
  <c r="CT49" i="13"/>
  <c r="CT66" i="13"/>
  <c r="CI49" i="13"/>
  <c r="CI66" i="13"/>
  <c r="CN49" i="13"/>
  <c r="CN66" i="13"/>
  <c r="CJ49" i="13"/>
  <c r="CJ66" i="13"/>
  <c r="CM49" i="13"/>
  <c r="CM66" i="13"/>
  <c r="CW49" i="13"/>
  <c r="CW66" i="13"/>
  <c r="CT14" i="13"/>
  <c r="DA14" i="13"/>
  <c r="CU14" i="13"/>
  <c r="CY14" i="13"/>
  <c r="CZ14" i="13"/>
  <c r="CW14" i="13"/>
  <c r="CX14" i="13"/>
  <c r="CS14" i="13"/>
  <c r="CV14" i="13"/>
  <c r="D115" i="13"/>
  <c r="BU66" i="13"/>
  <c r="AE16" i="13"/>
  <c r="AK16" i="13"/>
  <c r="BJ16" i="13"/>
  <c r="BQ16" i="13"/>
  <c r="AJ16" i="13"/>
  <c r="AY16" i="13"/>
  <c r="BH16" i="13"/>
  <c r="BL16" i="13"/>
  <c r="BB16" i="13"/>
  <c r="BM16" i="13"/>
  <c r="AW16" i="13"/>
  <c r="AV16" i="13"/>
  <c r="AP16" i="13"/>
  <c r="AO16" i="13"/>
  <c r="AS16" i="13"/>
  <c r="AN16" i="13"/>
  <c r="AT16" i="13"/>
  <c r="AZ16" i="13"/>
  <c r="AG16" i="13"/>
  <c r="BE16" i="13"/>
  <c r="AL16" i="13"/>
  <c r="BC16" i="13"/>
  <c r="BO16" i="13"/>
  <c r="BG16" i="13"/>
  <c r="BS16" i="13"/>
  <c r="BT16" i="13"/>
  <c r="BF16" i="13"/>
  <c r="BU16" i="13"/>
  <c r="BA16" i="13"/>
  <c r="AR16" i="13"/>
  <c r="AU16" i="13"/>
  <c r="AQ16" i="13"/>
  <c r="BP16" i="13"/>
  <c r="BN16" i="13"/>
  <c r="AI16" i="13"/>
  <c r="BR16" i="13"/>
  <c r="BI16" i="13"/>
  <c r="AM16" i="13"/>
  <c r="AH16" i="13"/>
  <c r="BD16" i="13"/>
  <c r="BK16" i="13"/>
  <c r="AF16" i="13"/>
  <c r="AX16" i="13"/>
  <c r="CV18" i="13"/>
  <c r="CU18" i="13"/>
  <c r="CT18" i="13"/>
  <c r="CX18" i="13"/>
  <c r="CW18" i="13"/>
  <c r="CZ18" i="13"/>
  <c r="DA18" i="13"/>
  <c r="CS18" i="13"/>
  <c r="CY18" i="13"/>
  <c r="CY37" i="13"/>
  <c r="CY71" i="13"/>
  <c r="DA37" i="13"/>
  <c r="CZ71" i="13"/>
  <c r="CX37" i="13"/>
  <c r="DA71" i="13"/>
  <c r="CX71" i="13"/>
  <c r="CZ37" i="13"/>
  <c r="CP54" i="13"/>
  <c r="CP71" i="13"/>
  <c r="CN54" i="13"/>
  <c r="CN71" i="13"/>
  <c r="CM54" i="13"/>
  <c r="CM71" i="13"/>
  <c r="CV54" i="13"/>
  <c r="CV71" i="13"/>
  <c r="CI54" i="13"/>
  <c r="CI71" i="13"/>
  <c r="CL54" i="13"/>
  <c r="CL71" i="13"/>
  <c r="CS54" i="13"/>
  <c r="CS71" i="13"/>
  <c r="CR54" i="13"/>
  <c r="CK54" i="13"/>
  <c r="CK71" i="13"/>
  <c r="CQ54" i="13"/>
  <c r="CQ71" i="13"/>
  <c r="CW54" i="13"/>
  <c r="CW71" i="13"/>
  <c r="CU54" i="13"/>
  <c r="CU71" i="13"/>
  <c r="CO54" i="13"/>
  <c r="CO71" i="13"/>
  <c r="CH54" i="13"/>
  <c r="CH71" i="13"/>
  <c r="CJ54" i="13"/>
  <c r="CJ71" i="13"/>
  <c r="CT54" i="13"/>
  <c r="CT71" i="13"/>
  <c r="DA68" i="13"/>
  <c r="CY34" i="13"/>
  <c r="CX34" i="13"/>
  <c r="CZ68" i="13"/>
  <c r="CZ34" i="13"/>
  <c r="DA34" i="13"/>
  <c r="CX68" i="13"/>
  <c r="CY68" i="13"/>
  <c r="CP51" i="13"/>
  <c r="CP68" i="13"/>
  <c r="CS51" i="13"/>
  <c r="CS68" i="13"/>
  <c r="CL51" i="13"/>
  <c r="CL68" i="13"/>
  <c r="CM51" i="13"/>
  <c r="CM68" i="13"/>
  <c r="CJ51" i="13"/>
  <c r="CJ68" i="13"/>
  <c r="CO51" i="13"/>
  <c r="CO68" i="13"/>
  <c r="CU51" i="13"/>
  <c r="CU68" i="13"/>
  <c r="CR51" i="13"/>
  <c r="CW51" i="13"/>
  <c r="CW68" i="13"/>
  <c r="CK51" i="13"/>
  <c r="CK68" i="13"/>
  <c r="CQ51" i="13"/>
  <c r="CQ68" i="13"/>
  <c r="CT51" i="13"/>
  <c r="CT68" i="13"/>
  <c r="CI51" i="13"/>
  <c r="CI68" i="13"/>
  <c r="CH51" i="13"/>
  <c r="CH68" i="13"/>
  <c r="CV51" i="13"/>
  <c r="CV68" i="13"/>
  <c r="CN51" i="13"/>
  <c r="CN68" i="13"/>
  <c r="D111" i="13"/>
  <c r="BU62" i="13"/>
  <c r="CT5" i="13"/>
  <c r="CW5" i="13"/>
  <c r="CV5" i="13"/>
  <c r="CZ5" i="13"/>
  <c r="CX5" i="13"/>
  <c r="CU5" i="13"/>
  <c r="CY5" i="13"/>
  <c r="DA5" i="13"/>
  <c r="CS5" i="13"/>
  <c r="CY67" i="13"/>
  <c r="CX67" i="13"/>
  <c r="DA33" i="13"/>
  <c r="CZ33" i="13"/>
  <c r="DA67" i="13"/>
  <c r="CY33" i="13"/>
  <c r="CX33" i="13"/>
  <c r="CH50" i="13"/>
  <c r="CH67" i="13"/>
  <c r="CN50" i="13"/>
  <c r="CN67" i="13"/>
  <c r="CK50" i="13"/>
  <c r="CK67" i="13"/>
  <c r="CS50" i="13"/>
  <c r="CS67" i="13"/>
  <c r="CU50" i="13"/>
  <c r="CU67" i="13"/>
  <c r="CR50" i="13"/>
  <c r="CP50" i="13"/>
  <c r="CP67" i="13"/>
  <c r="CL50" i="13"/>
  <c r="CL67" i="13"/>
  <c r="CV50" i="13"/>
  <c r="CV67" i="13"/>
  <c r="CI50" i="13"/>
  <c r="CI67" i="13"/>
  <c r="CM50" i="13"/>
  <c r="CM67" i="13"/>
  <c r="CJ50" i="13"/>
  <c r="CJ67" i="13"/>
  <c r="CQ50" i="13"/>
  <c r="CQ67" i="13"/>
  <c r="CW50" i="13"/>
  <c r="CW67" i="13"/>
  <c r="CT50" i="13"/>
  <c r="CT67" i="13"/>
  <c r="CZ67" i="13"/>
  <c r="CO50" i="13"/>
  <c r="CO67" i="13"/>
  <c r="D117" i="13"/>
  <c r="BU68" i="13"/>
  <c r="CN25" i="13"/>
  <c r="BI42" i="13"/>
  <c r="BI59" i="13"/>
  <c r="BI72" i="13"/>
  <c r="BN42" i="13"/>
  <c r="BN59" i="13"/>
  <c r="BV42" i="13"/>
  <c r="BV59" i="13"/>
  <c r="BY42" i="13"/>
  <c r="BY59" i="13"/>
  <c r="BY72" i="13"/>
  <c r="CB42" i="13"/>
  <c r="CB59" i="13"/>
  <c r="BC42" i="13"/>
  <c r="BC59" i="13"/>
  <c r="BC72" i="13"/>
  <c r="BJ42" i="13"/>
  <c r="BJ59" i="13"/>
  <c r="BM42" i="13"/>
  <c r="BM59" i="13"/>
  <c r="BD42" i="13"/>
  <c r="BD59" i="13"/>
  <c r="BB42" i="13"/>
  <c r="BB59" i="13"/>
  <c r="BB72" i="13"/>
  <c r="BQ42" i="13"/>
  <c r="BQ59" i="13"/>
  <c r="BE42" i="13"/>
  <c r="BE59" i="13"/>
  <c r="BE72" i="13"/>
  <c r="BS42" i="13"/>
  <c r="BS59" i="13"/>
  <c r="BH42" i="13"/>
  <c r="BH59" i="13"/>
  <c r="BF42" i="13"/>
  <c r="BF59" i="13"/>
  <c r="BO42" i="13"/>
  <c r="BO59" i="13"/>
  <c r="CG42" i="13"/>
  <c r="CG59" i="13"/>
  <c r="CG72" i="13"/>
  <c r="BX42" i="13"/>
  <c r="BX59" i="13"/>
  <c r="BP42" i="13"/>
  <c r="BP59" i="13"/>
  <c r="CA42" i="13"/>
  <c r="CA59" i="13"/>
  <c r="CC42" i="13"/>
  <c r="CC59" i="13"/>
  <c r="BW42" i="13"/>
  <c r="BW59" i="13"/>
  <c r="BK42" i="13"/>
  <c r="BK59" i="13"/>
  <c r="BA42" i="13"/>
  <c r="BA59" i="13"/>
  <c r="BU42" i="13"/>
  <c r="BZ42" i="13"/>
  <c r="BZ59" i="13"/>
  <c r="BR42" i="13"/>
  <c r="BR59" i="13"/>
  <c r="BG42" i="13"/>
  <c r="BG59" i="13"/>
  <c r="CE42" i="13"/>
  <c r="CE59" i="13"/>
  <c r="BL42" i="13"/>
  <c r="BL59" i="13"/>
  <c r="BT42" i="13"/>
  <c r="BT59" i="13"/>
  <c r="BT72" i="13"/>
  <c r="CF42" i="13"/>
  <c r="CF59" i="13"/>
  <c r="CD42" i="13"/>
  <c r="CD59" i="13"/>
  <c r="D119" i="13"/>
  <c r="BU70" i="13"/>
  <c r="Q35" i="13"/>
  <c r="H35" i="13"/>
  <c r="N35" i="13"/>
  <c r="P35" i="13"/>
  <c r="R35" i="13"/>
  <c r="O35" i="13"/>
  <c r="I35" i="13"/>
  <c r="F35" i="13"/>
  <c r="J35" i="13"/>
  <c r="M35" i="13"/>
  <c r="L35" i="13"/>
  <c r="G35" i="13"/>
  <c r="AF35" i="13"/>
  <c r="AA35" i="13"/>
  <c r="AN69" i="13"/>
  <c r="AW35" i="13"/>
  <c r="V69" i="13"/>
  <c r="AP35" i="13"/>
  <c r="AA69" i="13"/>
  <c r="AX35" i="13"/>
  <c r="AE35" i="13"/>
  <c r="AV35" i="13"/>
  <c r="W69" i="13"/>
  <c r="T35" i="13"/>
  <c r="S35" i="13"/>
  <c r="Z69" i="13"/>
  <c r="AY69" i="13"/>
  <c r="AT35" i="13"/>
  <c r="U69" i="13"/>
  <c r="AI69" i="13"/>
  <c r="AL35" i="13"/>
  <c r="K35" i="13"/>
  <c r="AG69" i="13"/>
  <c r="AQ35" i="13"/>
  <c r="AO69" i="13"/>
  <c r="AS35" i="13"/>
  <c r="W35" i="13"/>
  <c r="AU35" i="13"/>
  <c r="AW69" i="13"/>
  <c r="AU69" i="13"/>
  <c r="AN35" i="13"/>
  <c r="AR35" i="13"/>
  <c r="Y35" i="13"/>
  <c r="AZ69" i="13"/>
  <c r="AM69" i="13"/>
  <c r="U35" i="13"/>
  <c r="AF69" i="13"/>
  <c r="AC35" i="13"/>
  <c r="AB35" i="13"/>
  <c r="AZ35" i="13"/>
  <c r="AJ69" i="13"/>
  <c r="AK69" i="13"/>
  <c r="X69" i="13"/>
  <c r="AR69" i="13"/>
  <c r="AX69" i="13"/>
  <c r="V35" i="13"/>
  <c r="AH69" i="13"/>
  <c r="Z35" i="13"/>
  <c r="Y69" i="13"/>
  <c r="AO35" i="13"/>
  <c r="AB69" i="13"/>
  <c r="AG35" i="13"/>
  <c r="AT69" i="13"/>
  <c r="AD35" i="13"/>
  <c r="X35" i="13"/>
  <c r="AY35" i="13"/>
  <c r="AL69" i="13"/>
  <c r="AJ35" i="13"/>
  <c r="AC69" i="13"/>
  <c r="AM35" i="13"/>
  <c r="S69" i="13"/>
  <c r="AD69" i="13"/>
  <c r="AI35" i="13"/>
  <c r="AH35" i="13"/>
  <c r="AK35" i="13"/>
  <c r="T69" i="13"/>
  <c r="AS69" i="13"/>
  <c r="AE69" i="13"/>
  <c r="AV69" i="13"/>
  <c r="AP69" i="13"/>
  <c r="AQ69" i="13"/>
  <c r="CW45" i="13"/>
  <c r="CW62" i="13"/>
  <c r="CX28" i="13"/>
  <c r="CR45" i="13"/>
  <c r="CK45" i="13"/>
  <c r="CK62" i="13"/>
  <c r="CS45" i="13"/>
  <c r="CS62" i="13"/>
  <c r="CX62" i="13"/>
  <c r="DA28" i="13"/>
  <c r="CI45" i="13"/>
  <c r="CI62" i="13"/>
  <c r="CP45" i="13"/>
  <c r="CP62" i="13"/>
  <c r="CO45" i="13"/>
  <c r="CO62" i="13"/>
  <c r="DA62" i="13"/>
  <c r="CM45" i="13"/>
  <c r="CM62" i="13"/>
  <c r="CU45" i="13"/>
  <c r="CU62" i="13"/>
  <c r="CJ45" i="13"/>
  <c r="CJ62" i="13"/>
  <c r="CL45" i="13"/>
  <c r="CL62" i="13"/>
  <c r="CY62" i="13"/>
  <c r="CT45" i="13"/>
  <c r="CT62" i="13"/>
  <c r="CN45" i="13"/>
  <c r="CN62" i="13"/>
  <c r="CQ45" i="13"/>
  <c r="CQ62" i="13"/>
  <c r="CZ28" i="13"/>
  <c r="CY28" i="13"/>
  <c r="CH45" i="13"/>
  <c r="CH62" i="13"/>
  <c r="CZ62" i="13"/>
  <c r="CV45" i="13"/>
  <c r="CV62" i="13"/>
  <c r="P25" i="13"/>
  <c r="O25" i="13"/>
  <c r="K25" i="13"/>
  <c r="K38" i="13"/>
  <c r="G25" i="13"/>
  <c r="M25" i="13"/>
  <c r="M38" i="13"/>
  <c r="L25" i="13"/>
  <c r="L38" i="13"/>
  <c r="F25" i="13"/>
  <c r="F38" i="13"/>
  <c r="R25" i="13"/>
  <c r="R38" i="13"/>
  <c r="I25" i="13"/>
  <c r="Q25" i="13"/>
  <c r="H25" i="13"/>
  <c r="J25" i="13"/>
  <c r="J38" i="13"/>
  <c r="AM59" i="13"/>
  <c r="S59" i="13"/>
  <c r="AK59" i="13"/>
  <c r="T59" i="13"/>
  <c r="T72" i="13"/>
  <c r="V59" i="13"/>
  <c r="V72" i="13"/>
  <c r="AH25" i="13"/>
  <c r="AH38" i="13"/>
  <c r="AV25" i="13"/>
  <c r="U25" i="13"/>
  <c r="AF25" i="13"/>
  <c r="AF38" i="13"/>
  <c r="U59" i="13"/>
  <c r="W25" i="13"/>
  <c r="W38" i="13"/>
  <c r="S25" i="13"/>
  <c r="AI25" i="13"/>
  <c r="AZ25" i="13"/>
  <c r="AZ38" i="13"/>
  <c r="N25" i="13"/>
  <c r="AU59" i="13"/>
  <c r="AU72" i="13"/>
  <c r="AY59" i="13"/>
  <c r="AX25" i="13"/>
  <c r="AB25" i="13"/>
  <c r="AV59" i="13"/>
  <c r="Y25" i="13"/>
  <c r="AG25" i="13"/>
  <c r="AJ25" i="13"/>
  <c r="AJ38" i="13"/>
  <c r="AY25" i="13"/>
  <c r="AP25" i="13"/>
  <c r="AP38" i="13"/>
  <c r="AD25" i="13"/>
  <c r="AA25" i="13"/>
  <c r="AN59" i="13"/>
  <c r="AE25" i="13"/>
  <c r="AE38" i="13"/>
  <c r="AT59" i="13"/>
  <c r="AR25" i="13"/>
  <c r="AT25" i="13"/>
  <c r="AF59" i="13"/>
  <c r="AL25" i="13"/>
  <c r="AS25" i="13"/>
  <c r="X25" i="13"/>
  <c r="X38" i="13"/>
  <c r="AN25" i="13"/>
  <c r="Z25" i="13"/>
  <c r="AQ25" i="13"/>
  <c r="AK25" i="13"/>
  <c r="AO25" i="13"/>
  <c r="T25" i="13"/>
  <c r="AO59" i="13"/>
  <c r="AM25" i="13"/>
  <c r="V25" i="13"/>
  <c r="AH59" i="13"/>
  <c r="Z59" i="13"/>
  <c r="AE59" i="13"/>
  <c r="AE72" i="13"/>
  <c r="AW25" i="13"/>
  <c r="AU25" i="13"/>
  <c r="AC25" i="13"/>
  <c r="D120" i="13"/>
  <c r="BU71" i="13"/>
  <c r="CS26" i="13"/>
  <c r="CJ29" i="13"/>
  <c r="CN29" i="13"/>
  <c r="CI29" i="13"/>
  <c r="BX35" i="13"/>
  <c r="BX38" i="13"/>
  <c r="BS35" i="13"/>
  <c r="BS38" i="13"/>
  <c r="BV35" i="13"/>
  <c r="BV38" i="13"/>
  <c r="CB35" i="13"/>
  <c r="BH35" i="13"/>
  <c r="BH38" i="13"/>
  <c r="CG38" i="13"/>
  <c r="CL26" i="13"/>
  <c r="CK30" i="13"/>
  <c r="CT29" i="13"/>
  <c r="CQ32" i="13"/>
  <c r="CT32" i="13"/>
  <c r="CW32" i="13"/>
  <c r="CP32" i="13"/>
  <c r="BQ35" i="13"/>
  <c r="BQ38" i="13"/>
  <c r="BL35" i="13"/>
  <c r="BU35" i="13"/>
  <c r="BU38" i="13"/>
  <c r="BP35" i="13"/>
  <c r="CC35" i="13"/>
  <c r="CC38" i="13"/>
  <c r="BG35" i="13"/>
  <c r="BG38" i="13"/>
  <c r="BN35" i="13"/>
  <c r="CH31" i="13"/>
  <c r="CT31" i="13"/>
  <c r="CS31" i="13"/>
  <c r="CH33" i="13"/>
  <c r="CW33" i="13"/>
  <c r="CJ33" i="13"/>
  <c r="CK27" i="13"/>
  <c r="CH34" i="13"/>
  <c r="CV34" i="13"/>
  <c r="CT34" i="13"/>
  <c r="CO34" i="13"/>
  <c r="CU34" i="13"/>
  <c r="BP38" i="13"/>
  <c r="BY38" i="13"/>
  <c r="AD66" i="13"/>
  <c r="CK26" i="13"/>
  <c r="CJ26" i="13"/>
  <c r="CW30" i="13"/>
  <c r="CJ30" i="13"/>
  <c r="CO29" i="13"/>
  <c r="CQ29" i="13"/>
  <c r="CN37" i="13"/>
  <c r="CO37" i="13"/>
  <c r="CI37" i="13"/>
  <c r="CU37" i="13"/>
  <c r="CL37" i="13"/>
  <c r="CU40" i="13"/>
  <c r="CY40" i="13"/>
  <c r="CV40" i="13"/>
  <c r="CZ40" i="13"/>
  <c r="CX40" i="13"/>
  <c r="CW40" i="13"/>
  <c r="CS40" i="13"/>
  <c r="DA40" i="13"/>
  <c r="CT40" i="13"/>
  <c r="CV8" i="13"/>
  <c r="CT8" i="13"/>
  <c r="CX8" i="13"/>
  <c r="CU8" i="13"/>
  <c r="DA8" i="13"/>
  <c r="CY8" i="13"/>
  <c r="CW8" i="13"/>
  <c r="CZ8" i="13"/>
  <c r="CS8" i="13"/>
  <c r="I74" i="12"/>
  <c r="CA3" i="13"/>
  <c r="CG3" i="13"/>
  <c r="BY3" i="13"/>
  <c r="CP3" i="13"/>
  <c r="CI3" i="13"/>
  <c r="CK3" i="13"/>
  <c r="CD3" i="13"/>
  <c r="CB3" i="13"/>
  <c r="CM3" i="13"/>
  <c r="CQ3" i="13"/>
  <c r="BW3" i="13"/>
  <c r="BV3" i="13"/>
  <c r="CJ3" i="13"/>
  <c r="BX3" i="13"/>
  <c r="CO3" i="13"/>
  <c r="CC3" i="13"/>
  <c r="CN3" i="13"/>
  <c r="CE3" i="13"/>
  <c r="CH3" i="13"/>
  <c r="E3" i="13"/>
  <c r="CR3" i="13"/>
  <c r="BZ3" i="13"/>
  <c r="CF3" i="13"/>
  <c r="CL3" i="13"/>
  <c r="L74" i="12"/>
  <c r="L70" i="12"/>
  <c r="D109" i="13"/>
  <c r="BU60" i="13"/>
  <c r="D112" i="13"/>
  <c r="BU63" i="13"/>
  <c r="CS7" i="13"/>
  <c r="CU7" i="13"/>
  <c r="CX7" i="13"/>
  <c r="DA7" i="13"/>
  <c r="CT7" i="13"/>
  <c r="CZ7" i="13"/>
  <c r="CW7" i="13"/>
  <c r="CV7" i="13"/>
  <c r="CY7" i="13"/>
  <c r="CX30" i="13"/>
  <c r="CZ64" i="13"/>
  <c r="CX64" i="13"/>
  <c r="DA30" i="13"/>
  <c r="DA64" i="13"/>
  <c r="CZ30" i="13"/>
  <c r="CY30" i="13"/>
  <c r="CY64" i="13"/>
  <c r="CP47" i="13"/>
  <c r="CP64" i="13"/>
  <c r="CS47" i="13"/>
  <c r="CS64" i="13"/>
  <c r="CL47" i="13"/>
  <c r="CL64" i="13"/>
  <c r="CJ47" i="13"/>
  <c r="CJ64" i="13"/>
  <c r="CN47" i="13"/>
  <c r="CN64" i="13"/>
  <c r="CR47" i="13"/>
  <c r="CW47" i="13"/>
  <c r="CW64" i="13"/>
  <c r="CQ47" i="13"/>
  <c r="CQ64" i="13"/>
  <c r="CT47" i="13"/>
  <c r="CT64" i="13"/>
  <c r="CH47" i="13"/>
  <c r="CH64" i="13"/>
  <c r="CI47" i="13"/>
  <c r="CI64" i="13"/>
  <c r="CO47" i="13"/>
  <c r="CO64" i="13"/>
  <c r="CK47" i="13"/>
  <c r="CK64" i="13"/>
  <c r="CM47" i="13"/>
  <c r="CM64" i="13"/>
  <c r="CU47" i="13"/>
  <c r="CU64" i="13"/>
  <c r="CV47" i="13"/>
  <c r="CV64" i="13"/>
  <c r="CU4" i="13"/>
  <c r="CT4" i="13"/>
  <c r="CS4" i="13"/>
  <c r="CV4" i="13"/>
  <c r="DA4" i="13"/>
  <c r="CW4" i="13"/>
  <c r="CX4" i="13"/>
  <c r="CY4" i="13"/>
  <c r="CZ4" i="13"/>
  <c r="D114" i="13"/>
  <c r="BU65" i="13"/>
  <c r="B38" i="13"/>
  <c r="CX65" i="13"/>
  <c r="DA31" i="13"/>
  <c r="CZ31" i="13"/>
  <c r="DA65" i="13"/>
  <c r="CX31" i="13"/>
  <c r="CY65" i="13"/>
  <c r="CY31" i="13"/>
  <c r="CZ65" i="13"/>
  <c r="CW48" i="13"/>
  <c r="CW65" i="13"/>
  <c r="CQ48" i="13"/>
  <c r="CQ65" i="13"/>
  <c r="CL48" i="13"/>
  <c r="CL65" i="13"/>
  <c r="CK48" i="13"/>
  <c r="CK65" i="13"/>
  <c r="CH48" i="13"/>
  <c r="CH65" i="13"/>
  <c r="CT48" i="13"/>
  <c r="CT65" i="13"/>
  <c r="CJ48" i="13"/>
  <c r="CJ65" i="13"/>
  <c r="CR48" i="13"/>
  <c r="CS48" i="13"/>
  <c r="CS65" i="13"/>
  <c r="CV48" i="13"/>
  <c r="CV65" i="13"/>
  <c r="CU48" i="13"/>
  <c r="CU65" i="13"/>
  <c r="CO48" i="13"/>
  <c r="CO65" i="13"/>
  <c r="CP48" i="13"/>
  <c r="CP65" i="13"/>
  <c r="CM48" i="13"/>
  <c r="CM65" i="13"/>
  <c r="CI48" i="13"/>
  <c r="CI65" i="13"/>
  <c r="CN48" i="13"/>
  <c r="CN65" i="13"/>
  <c r="DA39" i="13"/>
  <c r="CW39" i="13"/>
  <c r="CT39" i="13"/>
  <c r="CX39" i="13"/>
  <c r="CU39" i="13"/>
  <c r="CY39" i="13"/>
  <c r="CZ39" i="13"/>
  <c r="CS39" i="13"/>
  <c r="CV39" i="13"/>
  <c r="CZ70" i="13"/>
  <c r="CY36" i="13"/>
  <c r="CZ36" i="13"/>
  <c r="DA70" i="13"/>
  <c r="CX70" i="13"/>
  <c r="DA36" i="13"/>
  <c r="CL53" i="13"/>
  <c r="CL70" i="13"/>
  <c r="CV53" i="13"/>
  <c r="CV70" i="13"/>
  <c r="CN53" i="13"/>
  <c r="CN70" i="13"/>
  <c r="CW53" i="13"/>
  <c r="CW70" i="13"/>
  <c r="CJ53" i="13"/>
  <c r="CJ70" i="13"/>
  <c r="CO53" i="13"/>
  <c r="CO70" i="13"/>
  <c r="CM53" i="13"/>
  <c r="CM70" i="13"/>
  <c r="CI53" i="13"/>
  <c r="CI70" i="13"/>
  <c r="CU53" i="13"/>
  <c r="CU70" i="13"/>
  <c r="CK53" i="13"/>
  <c r="CK70" i="13"/>
  <c r="CX36" i="13"/>
  <c r="CH53" i="13"/>
  <c r="CH70" i="13"/>
  <c r="CQ53" i="13"/>
  <c r="CQ70" i="13"/>
  <c r="CR53" i="13"/>
  <c r="CY70" i="13"/>
  <c r="CP53" i="13"/>
  <c r="CP70" i="13"/>
  <c r="CT53" i="13"/>
  <c r="CT70" i="13"/>
  <c r="CS53" i="13"/>
  <c r="CS70" i="13"/>
  <c r="DA15" i="13"/>
  <c r="CX15" i="13"/>
  <c r="CU15" i="13"/>
  <c r="CS15" i="13"/>
  <c r="CT15" i="13"/>
  <c r="CY15" i="13"/>
  <c r="CZ15" i="13"/>
  <c r="CV15" i="13"/>
  <c r="CW15" i="13"/>
  <c r="CW12" i="13"/>
  <c r="CV12" i="13"/>
  <c r="CS12" i="13"/>
  <c r="CT12" i="13"/>
  <c r="CY12" i="13"/>
  <c r="CZ12" i="13"/>
  <c r="DA12" i="13"/>
  <c r="CX12" i="13"/>
  <c r="CU12" i="13"/>
  <c r="CR44" i="13"/>
  <c r="DA61" i="13"/>
  <c r="DA27" i="13"/>
  <c r="CJ44" i="13"/>
  <c r="CJ61" i="13"/>
  <c r="CX27" i="13"/>
  <c r="CZ61" i="13"/>
  <c r="CL44" i="13"/>
  <c r="CL61" i="13"/>
  <c r="CO44" i="13"/>
  <c r="CO61" i="13"/>
  <c r="CV44" i="13"/>
  <c r="CV61" i="13"/>
  <c r="CP44" i="13"/>
  <c r="CP61" i="13"/>
  <c r="CH44" i="13"/>
  <c r="CH61" i="13"/>
  <c r="CW44" i="13"/>
  <c r="CW61" i="13"/>
  <c r="CQ44" i="13"/>
  <c r="CQ61" i="13"/>
  <c r="CY61" i="13"/>
  <c r="CX61" i="13"/>
  <c r="CS44" i="13"/>
  <c r="CS61" i="13"/>
  <c r="CT44" i="13"/>
  <c r="CT61" i="13"/>
  <c r="CI44" i="13"/>
  <c r="CI61" i="13"/>
  <c r="CN44" i="13"/>
  <c r="CN61" i="13"/>
  <c r="CK44" i="13"/>
  <c r="CK61" i="13"/>
  <c r="CY27" i="13"/>
  <c r="CZ27" i="13"/>
  <c r="CM44" i="13"/>
  <c r="CM61" i="13"/>
  <c r="CU44" i="13"/>
  <c r="CU61" i="13"/>
  <c r="CX11" i="13"/>
  <c r="CV11" i="13"/>
  <c r="CU11" i="13"/>
  <c r="CT11" i="13"/>
  <c r="CZ11" i="13"/>
  <c r="CY11" i="13"/>
  <c r="CW11" i="13"/>
  <c r="DA11" i="13"/>
  <c r="CS11" i="13"/>
  <c r="D110" i="13"/>
  <c r="BU61" i="13"/>
  <c r="CO25" i="13"/>
  <c r="I76" i="8"/>
  <c r="D38" i="13"/>
  <c r="CZ9" i="13"/>
  <c r="CY9" i="13"/>
  <c r="CT9" i="13"/>
  <c r="CV9" i="13"/>
  <c r="CX9" i="13"/>
  <c r="DA9" i="13"/>
  <c r="CS9" i="13"/>
  <c r="CW9" i="13"/>
  <c r="CU9" i="13"/>
  <c r="CX10" i="13"/>
  <c r="CT10" i="13"/>
  <c r="CS10" i="13"/>
  <c r="DA10" i="13"/>
  <c r="CV10" i="13"/>
  <c r="CU10" i="13"/>
  <c r="CY10" i="13"/>
  <c r="CZ10" i="13"/>
  <c r="CW10" i="13"/>
  <c r="D113" i="13"/>
  <c r="BU64" i="13"/>
  <c r="CX17" i="13"/>
  <c r="CV17" i="13"/>
  <c r="CT17" i="13"/>
  <c r="CW17" i="13"/>
  <c r="CY17" i="13"/>
  <c r="CS17" i="13"/>
  <c r="CZ17" i="13"/>
  <c r="DA17" i="13"/>
  <c r="CU17" i="13"/>
  <c r="CF38" i="13"/>
  <c r="CU26" i="13"/>
  <c r="CH26" i="13"/>
  <c r="CW29" i="13"/>
  <c r="CK29" i="13"/>
  <c r="BK35" i="13"/>
  <c r="BK38" i="13"/>
  <c r="BJ35" i="13"/>
  <c r="BJ38" i="13"/>
  <c r="BW35" i="13"/>
  <c r="BW38" i="13"/>
  <c r="BA35" i="13"/>
  <c r="BA38" i="13"/>
  <c r="BR35" i="13"/>
  <c r="BR38" i="13"/>
  <c r="BN38" i="13"/>
  <c r="CI26" i="13"/>
  <c r="CO26" i="13"/>
  <c r="CR26" i="13"/>
  <c r="CP30" i="13"/>
  <c r="CN30" i="13"/>
  <c r="CS30" i="13"/>
  <c r="CS29" i="13"/>
  <c r="CP29" i="13"/>
  <c r="CM29" i="13"/>
  <c r="CV32" i="13"/>
  <c r="CM32" i="13"/>
  <c r="CR32" i="13"/>
  <c r="AD67" i="13"/>
  <c r="AD68" i="13"/>
  <c r="BT35" i="13"/>
  <c r="BT38" i="13"/>
  <c r="BI35" i="13"/>
  <c r="BI38" i="13"/>
  <c r="CE35" i="13"/>
  <c r="CE38" i="13"/>
  <c r="BO35" i="13"/>
  <c r="BO38" i="13"/>
  <c r="BD35" i="13"/>
  <c r="BD38" i="13"/>
  <c r="BE35" i="13"/>
  <c r="BZ35" i="13"/>
  <c r="BZ38" i="13"/>
  <c r="CA35" i="13"/>
  <c r="CA38" i="13"/>
  <c r="CI31" i="13"/>
  <c r="CQ31" i="13"/>
  <c r="CN31" i="13"/>
  <c r="CL33" i="13"/>
  <c r="CO33" i="13"/>
  <c r="CV33" i="13"/>
  <c r="CU33" i="13"/>
  <c r="CR33" i="13"/>
  <c r="CS33" i="13"/>
  <c r="CQ27" i="13"/>
  <c r="CR27" i="13"/>
  <c r="CN27" i="13"/>
  <c r="CV27" i="13"/>
  <c r="CJ34" i="13"/>
  <c r="CN34" i="13"/>
  <c r="CR34" i="13"/>
  <c r="BC25" i="13"/>
  <c r="BL25" i="13"/>
  <c r="CV36" i="13"/>
  <c r="CQ36" i="13"/>
  <c r="CK36" i="13"/>
  <c r="CV26" i="13"/>
  <c r="CQ26" i="13"/>
  <c r="CT26" i="13"/>
  <c r="CM26" i="13"/>
  <c r="CW26" i="13"/>
  <c r="CP26" i="13"/>
  <c r="CN26" i="13"/>
  <c r="CQ30" i="13"/>
  <c r="CI30" i="13"/>
  <c r="CL30" i="13"/>
  <c r="CU30" i="13"/>
  <c r="CH30" i="13"/>
  <c r="CM30" i="13"/>
  <c r="CV30" i="13"/>
  <c r="CR30" i="13"/>
  <c r="CV29" i="13"/>
  <c r="CR29" i="13"/>
  <c r="CL29" i="13"/>
  <c r="CH29" i="13"/>
  <c r="CU29" i="13"/>
  <c r="CM37" i="13"/>
  <c r="CR37" i="13"/>
  <c r="CV37" i="13"/>
  <c r="CT37" i="13"/>
  <c r="CK37" i="13"/>
  <c r="G86" i="9"/>
  <c r="L73" i="7"/>
  <c r="L76" i="7"/>
  <c r="L31" i="7"/>
  <c r="BV72" i="13"/>
  <c r="BC38" i="13"/>
  <c r="BE38" i="13"/>
  <c r="AT38" i="13"/>
  <c r="CE72" i="13"/>
  <c r="CC72" i="13"/>
  <c r="CL35" i="13"/>
  <c r="O72" i="13"/>
  <c r="N72" i="13"/>
  <c r="AS72" i="13"/>
  <c r="AQ72" i="13"/>
  <c r="AD59" i="13"/>
  <c r="BJ72" i="13"/>
  <c r="CB38" i="13"/>
  <c r="AW38" i="13"/>
  <c r="T38" i="13"/>
  <c r="BO72" i="13"/>
  <c r="CP25" i="13"/>
  <c r="CJ35" i="13"/>
  <c r="AP72" i="13"/>
  <c r="AO72" i="13"/>
  <c r="AT72" i="13"/>
  <c r="AL38" i="13"/>
  <c r="Y38" i="13"/>
  <c r="AJ72" i="13"/>
  <c r="Y72" i="13"/>
  <c r="G38" i="13"/>
  <c r="BA72" i="13"/>
  <c r="CM25" i="13"/>
  <c r="BS72" i="13"/>
  <c r="BD72" i="13"/>
  <c r="CO35" i="13"/>
  <c r="M72" i="13"/>
  <c r="J72" i="13"/>
  <c r="AW72" i="13"/>
  <c r="AL72" i="13"/>
  <c r="AK38" i="13"/>
  <c r="AF72" i="13"/>
  <c r="W72" i="13"/>
  <c r="AC38" i="13"/>
  <c r="V38" i="13"/>
  <c r="AO38" i="13"/>
  <c r="AS38" i="13"/>
  <c r="AD38" i="13"/>
  <c r="AX38" i="13"/>
  <c r="N38" i="13"/>
  <c r="AX72" i="13"/>
  <c r="AZ72" i="13"/>
  <c r="AK72" i="13"/>
  <c r="I38" i="13"/>
  <c r="P38" i="13"/>
  <c r="BN72" i="13"/>
  <c r="G72" i="13"/>
  <c r="AH72" i="13"/>
  <c r="AN38" i="13"/>
  <c r="AD72" i="13"/>
  <c r="AC72" i="13"/>
  <c r="BH72" i="13"/>
  <c r="AB72" i="13"/>
  <c r="Q38" i="13"/>
  <c r="BL72" i="13"/>
  <c r="BZ72" i="13"/>
  <c r="BP72" i="13"/>
  <c r="BQ72" i="13"/>
  <c r="CU25" i="13"/>
  <c r="BL38" i="13"/>
  <c r="S38" i="13"/>
  <c r="X72" i="13"/>
  <c r="CD72" i="13"/>
  <c r="BX72" i="13"/>
  <c r="G84" i="9"/>
  <c r="AG72" i="13"/>
  <c r="AB38" i="13"/>
  <c r="AI38" i="13"/>
  <c r="U72" i="13"/>
  <c r="AM72" i="13"/>
  <c r="BR72" i="13"/>
  <c r="BM72" i="13"/>
  <c r="CR16" i="13"/>
  <c r="CL16" i="13"/>
  <c r="CN16" i="13"/>
  <c r="BW16" i="13"/>
  <c r="BZ16" i="13"/>
  <c r="CG16" i="13"/>
  <c r="CF16" i="13"/>
  <c r="CB16" i="13"/>
  <c r="BX16" i="13"/>
  <c r="CH16" i="13"/>
  <c r="CQ16" i="13"/>
  <c r="CJ16" i="13"/>
  <c r="CI16" i="13"/>
  <c r="CK16" i="13"/>
  <c r="CO16" i="13"/>
  <c r="CC16" i="13"/>
  <c r="CD16" i="13"/>
  <c r="CA16" i="13"/>
  <c r="CM16" i="13"/>
  <c r="BV16" i="13"/>
  <c r="CP16" i="13"/>
  <c r="CE16" i="13"/>
  <c r="BY16" i="13"/>
  <c r="E115" i="13"/>
  <c r="CR66" i="13"/>
  <c r="E38" i="13"/>
  <c r="CK19" i="13"/>
  <c r="CY25" i="13"/>
  <c r="CY59" i="13"/>
  <c r="DA25" i="13"/>
  <c r="CX25" i="13"/>
  <c r="CK42" i="13"/>
  <c r="CK59" i="13"/>
  <c r="CO42" i="13"/>
  <c r="CO59" i="13"/>
  <c r="CS42" i="13"/>
  <c r="CS59" i="13"/>
  <c r="CM42" i="13"/>
  <c r="CM59" i="13"/>
  <c r="DA59" i="13"/>
  <c r="CZ25" i="13"/>
  <c r="CX59" i="13"/>
  <c r="CU42" i="13"/>
  <c r="CU59" i="13"/>
  <c r="CQ42" i="13"/>
  <c r="CQ59" i="13"/>
  <c r="CV42" i="13"/>
  <c r="CV59" i="13"/>
  <c r="CT42" i="13"/>
  <c r="CT59" i="13"/>
  <c r="CZ59" i="13"/>
  <c r="CW42" i="13"/>
  <c r="CW59" i="13"/>
  <c r="CP42" i="13"/>
  <c r="CP59" i="13"/>
  <c r="CL42" i="13"/>
  <c r="CL59" i="13"/>
  <c r="CI42" i="13"/>
  <c r="CI59" i="13"/>
  <c r="CN42" i="13"/>
  <c r="CN59" i="13"/>
  <c r="CR42" i="13"/>
  <c r="CH42" i="13"/>
  <c r="CH59" i="13"/>
  <c r="CJ42" i="13"/>
  <c r="CJ59" i="13"/>
  <c r="E110" i="13"/>
  <c r="CR61" i="13"/>
  <c r="L73" i="12"/>
  <c r="L76" i="12"/>
  <c r="CZ69" i="13"/>
  <c r="DA35" i="13"/>
  <c r="DA69" i="13"/>
  <c r="CN52" i="13"/>
  <c r="CN69" i="13"/>
  <c r="CU52" i="13"/>
  <c r="CU69" i="13"/>
  <c r="CX35" i="13"/>
  <c r="CH52" i="13"/>
  <c r="CH69" i="13"/>
  <c r="CI52" i="13"/>
  <c r="CI69" i="13"/>
  <c r="CQ52" i="13"/>
  <c r="CQ69" i="13"/>
  <c r="CY35" i="13"/>
  <c r="CK52" i="13"/>
  <c r="CK69" i="13"/>
  <c r="CW52" i="13"/>
  <c r="CW69" i="13"/>
  <c r="CR52" i="13"/>
  <c r="CJ52" i="13"/>
  <c r="CJ69" i="13"/>
  <c r="CS52" i="13"/>
  <c r="CS69" i="13"/>
  <c r="CL52" i="13"/>
  <c r="CL69" i="13"/>
  <c r="CX69" i="13"/>
  <c r="CZ35" i="13"/>
  <c r="CV52" i="13"/>
  <c r="CV69" i="13"/>
  <c r="CO52" i="13"/>
  <c r="CO69" i="13"/>
  <c r="CT52" i="13"/>
  <c r="CT69" i="13"/>
  <c r="CM52" i="13"/>
  <c r="CM69" i="13"/>
  <c r="CY69" i="13"/>
  <c r="CP52" i="13"/>
  <c r="CP69" i="13"/>
  <c r="E109" i="13"/>
  <c r="CR60" i="13"/>
  <c r="E119" i="13"/>
  <c r="CR70" i="13"/>
  <c r="E113" i="13"/>
  <c r="CR64" i="13"/>
  <c r="L70" i="8"/>
  <c r="L74" i="8"/>
  <c r="L75" i="8"/>
  <c r="E111" i="13"/>
  <c r="CR62" i="13"/>
  <c r="D108" i="13"/>
  <c r="BU59" i="13"/>
  <c r="E116" i="13"/>
  <c r="CR67" i="13"/>
  <c r="E117" i="13"/>
  <c r="CR68" i="13"/>
  <c r="E120" i="13"/>
  <c r="CR71" i="13"/>
  <c r="CT13" i="13"/>
  <c r="CX13" i="13"/>
  <c r="CY13" i="13"/>
  <c r="CU13" i="13"/>
  <c r="CZ13" i="13"/>
  <c r="CV13" i="13"/>
  <c r="DA13" i="13"/>
  <c r="CS13" i="13"/>
  <c r="CW13" i="13"/>
  <c r="CO38" i="13"/>
  <c r="BZ19" i="13"/>
  <c r="BG19" i="13"/>
  <c r="BX19" i="13"/>
  <c r="BN19" i="13"/>
  <c r="CF19" i="13"/>
  <c r="AG38" i="13"/>
  <c r="O38" i="13"/>
  <c r="CK25" i="13"/>
  <c r="CK38" i="13"/>
  <c r="CI25" i="13"/>
  <c r="CH25" i="13"/>
  <c r="CQ25" i="13"/>
  <c r="BJ19" i="13"/>
  <c r="BA19" i="13"/>
  <c r="BO19" i="13"/>
  <c r="BS19" i="13"/>
  <c r="CH35" i="13"/>
  <c r="CP35" i="13"/>
  <c r="Z72" i="13"/>
  <c r="AM38" i="13"/>
  <c r="AA72" i="13"/>
  <c r="AQ38" i="13"/>
  <c r="AN72" i="13"/>
  <c r="U38" i="13"/>
  <c r="H38" i="13"/>
  <c r="BG72" i="13"/>
  <c r="BW72" i="13"/>
  <c r="BF72" i="13"/>
  <c r="CW25" i="13"/>
  <c r="CW38" i="13"/>
  <c r="CB72" i="13"/>
  <c r="CS25" i="13"/>
  <c r="CL25" i="13"/>
  <c r="BB19" i="13"/>
  <c r="BV19" i="13"/>
  <c r="BC19" i="13"/>
  <c r="BL19" i="13"/>
  <c r="BW19" i="13"/>
  <c r="BU19" i="13"/>
  <c r="BI19" i="13"/>
  <c r="CI35" i="13"/>
  <c r="CR35" i="13"/>
  <c r="CT35" i="13"/>
  <c r="CQ35" i="13"/>
  <c r="Q72" i="13"/>
  <c r="R72" i="13"/>
  <c r="CX3" i="13"/>
  <c r="CZ3" i="13"/>
  <c r="CV3" i="13"/>
  <c r="CT3" i="13"/>
  <c r="CY3" i="13"/>
  <c r="CS3" i="13"/>
  <c r="CW3" i="13"/>
  <c r="CU3" i="13"/>
  <c r="DA3" i="13"/>
  <c r="S19" i="13"/>
  <c r="AQ19" i="13"/>
  <c r="R16" i="13"/>
  <c r="M16" i="13"/>
  <c r="L16" i="13"/>
  <c r="AD16" i="13"/>
  <c r="Z16" i="13"/>
  <c r="U19" i="13"/>
  <c r="N16" i="13"/>
  <c r="AO19" i="13"/>
  <c r="X16" i="13"/>
  <c r="AC19" i="13"/>
  <c r="V19" i="13"/>
  <c r="J16" i="13"/>
  <c r="AX19" i="13"/>
  <c r="AJ19" i="13"/>
  <c r="AW19" i="13"/>
  <c r="T19" i="13"/>
  <c r="AL19" i="13"/>
  <c r="V16" i="13"/>
  <c r="AN19" i="13"/>
  <c r="AZ19" i="13"/>
  <c r="T16" i="13"/>
  <c r="AS19" i="13"/>
  <c r="AR19" i="13"/>
  <c r="AG19" i="13"/>
  <c r="AB16" i="13"/>
  <c r="Y19" i="13"/>
  <c r="H16" i="13"/>
  <c r="U16" i="13"/>
  <c r="AM19" i="13"/>
  <c r="Z19" i="13"/>
  <c r="AB19" i="13"/>
  <c r="I16" i="13"/>
  <c r="K16" i="13"/>
  <c r="AH19" i="13"/>
  <c r="AF19" i="13"/>
  <c r="Q16" i="13"/>
  <c r="X19" i="13"/>
  <c r="AY19" i="13"/>
  <c r="G16" i="13"/>
  <c r="AU19" i="13"/>
  <c r="AE19" i="13"/>
  <c r="AV19" i="13"/>
  <c r="W19" i="13"/>
  <c r="AD19" i="13"/>
  <c r="S16" i="13"/>
  <c r="P16" i="13"/>
  <c r="AC16" i="13"/>
  <c r="AP19" i="13"/>
  <c r="AA19" i="13"/>
  <c r="Y16" i="13"/>
  <c r="AI19" i="13"/>
  <c r="AK19" i="13"/>
  <c r="F16" i="13"/>
  <c r="AT19" i="13"/>
  <c r="AA16" i="13"/>
  <c r="O16" i="13"/>
  <c r="W16" i="13"/>
  <c r="D118" i="13"/>
  <c r="BU69" i="13"/>
  <c r="E114" i="13"/>
  <c r="CR65" i="13"/>
  <c r="I70" i="8"/>
  <c r="L31" i="12"/>
  <c r="E112" i="13"/>
  <c r="CR63" i="13"/>
  <c r="CB19" i="13"/>
  <c r="BM19" i="13"/>
  <c r="BP19" i="13"/>
  <c r="Z38" i="13"/>
  <c r="AR38" i="13"/>
  <c r="AV38" i="13"/>
  <c r="CV25" i="13"/>
  <c r="CR25" i="13"/>
  <c r="CE19" i="13"/>
  <c r="CG19" i="13"/>
  <c r="BE19" i="13"/>
  <c r="BH19" i="13"/>
  <c r="BR19" i="13"/>
  <c r="CV35" i="13"/>
  <c r="AU38" i="13"/>
  <c r="AI72" i="13"/>
  <c r="AA38" i="13"/>
  <c r="AY38" i="13"/>
  <c r="AV72" i="13"/>
  <c r="AY72" i="13"/>
  <c r="AR72" i="13"/>
  <c r="S72" i="13"/>
  <c r="CF72" i="13"/>
  <c r="CT25" i="13"/>
  <c r="BK72" i="13"/>
  <c r="CA72" i="13"/>
  <c r="CJ25" i="13"/>
  <c r="CJ38" i="13"/>
  <c r="CA19" i="13"/>
  <c r="BT19" i="13"/>
  <c r="BQ19" i="13"/>
  <c r="BY19" i="13"/>
  <c r="CD19" i="13"/>
  <c r="BF19" i="13"/>
  <c r="BK19" i="13"/>
  <c r="BD19" i="13"/>
  <c r="CC19" i="13"/>
  <c r="CS35" i="13"/>
  <c r="CU35" i="13"/>
  <c r="CU38" i="13"/>
  <c r="CN35" i="13"/>
  <c r="CN38" i="13"/>
  <c r="CM35" i="13"/>
  <c r="CM38" i="13"/>
  <c r="K72" i="13"/>
  <c r="I72" i="13"/>
  <c r="G77" i="9"/>
  <c r="H86" i="9"/>
  <c r="H84" i="9"/>
  <c r="H77" i="9"/>
  <c r="F84" i="9"/>
  <c r="F82" i="9"/>
  <c r="F77" i="9"/>
  <c r="F85" i="9"/>
  <c r="CT38" i="13"/>
  <c r="CL38" i="13"/>
  <c r="CP38" i="13"/>
  <c r="CR38" i="13"/>
  <c r="F81" i="9"/>
  <c r="CL72" i="13"/>
  <c r="CT72" i="13"/>
  <c r="CX72" i="13"/>
  <c r="CV19" i="13"/>
  <c r="CJ19" i="13"/>
  <c r="BU72" i="13"/>
  <c r="F86" i="9"/>
  <c r="F80" i="9"/>
  <c r="AI25" i="12"/>
  <c r="CH38" i="13"/>
  <c r="CR19" i="13"/>
  <c r="CI19" i="13"/>
  <c r="AK25" i="12"/>
  <c r="CP72" i="13"/>
  <c r="CV72" i="13"/>
  <c r="CO72" i="13"/>
  <c r="CY72" i="13"/>
  <c r="CP19" i="13"/>
  <c r="L73" i="8"/>
  <c r="L76" i="8"/>
  <c r="CZ16" i="13"/>
  <c r="CX16" i="13"/>
  <c r="DA16" i="13"/>
  <c r="CV16" i="13"/>
  <c r="CY16" i="13"/>
  <c r="CW16" i="13"/>
  <c r="CT16" i="13"/>
  <c r="CU16" i="13"/>
  <c r="CS16" i="13"/>
  <c r="CI38" i="13"/>
  <c r="CZ38" i="13"/>
  <c r="CH72" i="13"/>
  <c r="DA38" i="13"/>
  <c r="CQ38" i="13"/>
  <c r="CJ72" i="13"/>
  <c r="CI72" i="13"/>
  <c r="CZ72" i="13"/>
  <c r="CU72" i="13"/>
  <c r="CM72" i="13"/>
  <c r="CX38" i="13"/>
  <c r="CQ19" i="13"/>
  <c r="CM19" i="13"/>
  <c r="CW19" i="13"/>
  <c r="CO19" i="13"/>
  <c r="CL19" i="13"/>
  <c r="CS19" i="13"/>
  <c r="E108" i="13"/>
  <c r="CR59" i="13"/>
  <c r="I74" i="8"/>
  <c r="L31" i="8"/>
  <c r="E118" i="13"/>
  <c r="CR69" i="13"/>
  <c r="CS72" i="13"/>
  <c r="CV38" i="13"/>
  <c r="CS38" i="13"/>
  <c r="CN72" i="13"/>
  <c r="CW72" i="13"/>
  <c r="CQ72" i="13"/>
  <c r="DA72" i="13"/>
  <c r="AE110" i="13"/>
  <c r="AE111" i="13"/>
  <c r="CK72" i="13"/>
  <c r="CY38" i="13"/>
  <c r="CT19" i="13"/>
  <c r="CN19" i="13"/>
  <c r="CU19" i="13"/>
  <c r="CH19" i="13"/>
  <c r="AK64" i="12"/>
  <c r="AJ25" i="12"/>
  <c r="AK24" i="12"/>
  <c r="AK52" i="12"/>
  <c r="AI24" i="12"/>
  <c r="AJ24" i="12"/>
  <c r="AK63" i="12"/>
  <c r="CR72" i="13"/>
  <c r="AK59" i="12"/>
  <c r="AK61" i="12"/>
  <c r="AJ52" i="12"/>
  <c r="AI52" i="12"/>
  <c r="AJ64" i="12"/>
  <c r="AI64" i="12"/>
  <c r="AJ58" i="12"/>
  <c r="AI58" i="12"/>
  <c r="AJ60" i="12"/>
  <c r="AI60" i="12"/>
  <c r="AI59" i="12"/>
  <c r="AJ59" i="12"/>
  <c r="AJ62" i="12"/>
  <c r="AI62" i="12"/>
  <c r="AI63" i="12"/>
  <c r="AJ63" i="12"/>
  <c r="AJ61" i="12"/>
  <c r="AI61" i="12"/>
  <c r="AK58" i="12"/>
  <c r="AK62" i="12"/>
  <c r="AK60" i="12"/>
  <c r="I77" i="9"/>
  <c r="I84" i="9"/>
  <c r="I86" i="9"/>
  <c r="I71" i="12"/>
  <c r="I125" i="7"/>
  <c r="I71" i="7"/>
  <c r="AA6" i="7"/>
  <c r="AA12" i="7"/>
  <c r="AA13" i="7"/>
  <c r="AA14" i="7"/>
  <c r="AA15" i="7"/>
  <c r="AA16" i="7"/>
  <c r="AA17" i="7"/>
  <c r="AA26" i="7"/>
  <c r="AA27" i="7"/>
  <c r="AA28" i="7"/>
  <c r="M29" i="7"/>
  <c r="AA29" i="7"/>
  <c r="Y8" i="7"/>
  <c r="AA8" i="7"/>
  <c r="Y9" i="7"/>
  <c r="AA9" i="7"/>
  <c r="Y10" i="7"/>
  <c r="AA10" i="7"/>
  <c r="Y11" i="7"/>
  <c r="AA11" i="7"/>
  <c r="J119" i="7"/>
  <c r="J124" i="7"/>
  <c r="J70" i="7"/>
  <c r="AA70" i="7"/>
  <c r="J39" i="7"/>
  <c r="Z8" i="7"/>
  <c r="Z39" i="7"/>
  <c r="AA39" i="7"/>
  <c r="J40" i="7"/>
  <c r="Z9" i="7"/>
  <c r="Z40" i="7"/>
  <c r="AA40" i="7"/>
  <c r="J41" i="7"/>
  <c r="Z11" i="7"/>
  <c r="Z41" i="7"/>
  <c r="AA41" i="7"/>
  <c r="J42" i="7"/>
  <c r="AA42" i="7"/>
  <c r="J43" i="7"/>
  <c r="AA43" i="7"/>
  <c r="J44" i="7"/>
  <c r="AA44" i="7"/>
  <c r="J45" i="7"/>
  <c r="AA45" i="7"/>
  <c r="J46" i="7"/>
  <c r="AA46" i="7"/>
  <c r="J47" i="7"/>
  <c r="AA47" i="7"/>
  <c r="J48" i="7"/>
  <c r="AA48" i="7"/>
  <c r="J49" i="7"/>
  <c r="AA49" i="7"/>
  <c r="J50" i="7"/>
  <c r="AA50" i="7"/>
  <c r="J51" i="7"/>
  <c r="AA51" i="7"/>
  <c r="J52" i="7"/>
  <c r="AA52" i="7"/>
  <c r="J58" i="7"/>
  <c r="AA58" i="7"/>
  <c r="J59" i="7"/>
  <c r="AA59" i="7"/>
  <c r="J60" i="7"/>
  <c r="AA60" i="7"/>
  <c r="J61" i="7"/>
  <c r="AA61" i="7"/>
  <c r="J62" i="7"/>
  <c r="AA62" i="7"/>
  <c r="J63" i="7"/>
  <c r="AA63" i="7"/>
  <c r="J64" i="7"/>
  <c r="AA64" i="7"/>
  <c r="J37" i="7"/>
  <c r="J38" i="7"/>
  <c r="AA37" i="7"/>
  <c r="AA38" i="7"/>
  <c r="AA65" i="7"/>
  <c r="AG6" i="7"/>
  <c r="Y7" i="7"/>
  <c r="Z7" i="7"/>
  <c r="AB7" i="7"/>
  <c r="AD7" i="7"/>
  <c r="AF7" i="7"/>
  <c r="AG7" i="7"/>
  <c r="AC6" i="7"/>
  <c r="AC12" i="7"/>
  <c r="AC13" i="7"/>
  <c r="AC14" i="7"/>
  <c r="AC15" i="7"/>
  <c r="AC16" i="7"/>
  <c r="AC17" i="7"/>
  <c r="AC26" i="7"/>
  <c r="AC27" i="7"/>
  <c r="AC28" i="7"/>
  <c r="AC29" i="7"/>
  <c r="AC8" i="7"/>
  <c r="AB8" i="7"/>
  <c r="AE6" i="7"/>
  <c r="AE12" i="7"/>
  <c r="AE13" i="7"/>
  <c r="AE14" i="7"/>
  <c r="AE15" i="7"/>
  <c r="AE16" i="7"/>
  <c r="AE17" i="7"/>
  <c r="AE26" i="7"/>
  <c r="AE27" i="7"/>
  <c r="AE28" i="7"/>
  <c r="AE29" i="7"/>
  <c r="AC9" i="7"/>
  <c r="AC10" i="7"/>
  <c r="AC11" i="7"/>
  <c r="AE8" i="7"/>
  <c r="AD8" i="7"/>
  <c r="AF8" i="7"/>
  <c r="AG8" i="7"/>
  <c r="AB9" i="7"/>
  <c r="AE9" i="7"/>
  <c r="AD9" i="7"/>
  <c r="AF9" i="7"/>
  <c r="AG9" i="7"/>
  <c r="Z10" i="7"/>
  <c r="AB10" i="7"/>
  <c r="AE10" i="7"/>
  <c r="AD10" i="7"/>
  <c r="AF10" i="7"/>
  <c r="AG10" i="7"/>
  <c r="AB11" i="7"/>
  <c r="AE11" i="7"/>
  <c r="AD11" i="7"/>
  <c r="AF11" i="7"/>
  <c r="AG11" i="7"/>
  <c r="AG12" i="7"/>
  <c r="AG13" i="7"/>
  <c r="AG14" i="7"/>
  <c r="AG15" i="7"/>
  <c r="AG16" i="7"/>
  <c r="AG17" i="7"/>
  <c r="AG26" i="7"/>
  <c r="AG27" i="7"/>
  <c r="AG28" i="7"/>
  <c r="AG29" i="7"/>
  <c r="Z37" i="7"/>
  <c r="AC70" i="7"/>
  <c r="AB39" i="7"/>
  <c r="AC39" i="7"/>
  <c r="AB40" i="7"/>
  <c r="AC40" i="7"/>
  <c r="AB41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8" i="7"/>
  <c r="AC59" i="7"/>
  <c r="AC60" i="7"/>
  <c r="AC61" i="7"/>
  <c r="AC62" i="7"/>
  <c r="AC63" i="7"/>
  <c r="AC64" i="7"/>
  <c r="AC37" i="7"/>
  <c r="AB37" i="7"/>
  <c r="AE70" i="7"/>
  <c r="AD39" i="7"/>
  <c r="AE39" i="7"/>
  <c r="AD40" i="7"/>
  <c r="AE40" i="7"/>
  <c r="AD41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8" i="7"/>
  <c r="AE59" i="7"/>
  <c r="AE60" i="7"/>
  <c r="AE61" i="7"/>
  <c r="AE62" i="7"/>
  <c r="AE63" i="7"/>
  <c r="AE64" i="7"/>
  <c r="AC38" i="7"/>
  <c r="AE37" i="7"/>
  <c r="AD37" i="7"/>
  <c r="AF37" i="7"/>
  <c r="AG37" i="7"/>
  <c r="Z38" i="7"/>
  <c r="AB38" i="7"/>
  <c r="AE38" i="7"/>
  <c r="AD38" i="7"/>
  <c r="AF38" i="7"/>
  <c r="AG38" i="7"/>
  <c r="AF39" i="7"/>
  <c r="AG39" i="7"/>
  <c r="AF40" i="7"/>
  <c r="AG40" i="7"/>
  <c r="AF41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8" i="7"/>
  <c r="AG59" i="7"/>
  <c r="AG60" i="7"/>
  <c r="AG61" i="7"/>
  <c r="AG62" i="7"/>
  <c r="AG63" i="7"/>
  <c r="AG64" i="7"/>
  <c r="AG65" i="7"/>
  <c r="AG70" i="7"/>
  <c r="J125" i="7"/>
  <c r="J128" i="7"/>
  <c r="J126" i="7"/>
  <c r="J127" i="7"/>
  <c r="J130" i="7"/>
  <c r="J129" i="7"/>
  <c r="J75" i="7"/>
  <c r="AA79" i="7"/>
  <c r="AA30" i="7"/>
  <c r="AA32" i="7"/>
  <c r="Y6" i="7"/>
  <c r="Y12" i="7"/>
  <c r="Y13" i="7"/>
  <c r="Y14" i="7"/>
  <c r="Y15" i="7"/>
  <c r="Y16" i="7"/>
  <c r="Y17" i="7"/>
  <c r="Y26" i="7"/>
  <c r="Y27" i="7"/>
  <c r="Y28" i="7"/>
  <c r="Y29" i="7"/>
  <c r="M30" i="7"/>
  <c r="Y30" i="7"/>
  <c r="M31" i="7"/>
  <c r="Y31" i="7"/>
  <c r="Y32" i="7"/>
  <c r="AA31" i="7"/>
  <c r="AA77" i="7"/>
  <c r="AA74" i="7"/>
  <c r="AC65" i="7"/>
  <c r="AC79" i="7"/>
  <c r="AC30" i="7"/>
  <c r="AC32" i="7"/>
  <c r="AC31" i="7"/>
  <c r="AC77" i="7"/>
  <c r="AC74" i="7"/>
  <c r="AE65" i="7"/>
  <c r="AE79" i="7"/>
  <c r="AE30" i="7"/>
  <c r="AE32" i="7"/>
  <c r="AE31" i="7"/>
  <c r="AE77" i="7"/>
  <c r="AE74" i="7"/>
  <c r="AG79" i="7"/>
  <c r="AG30" i="7"/>
  <c r="AG32" i="7"/>
  <c r="AG31" i="7"/>
  <c r="AG77" i="7"/>
  <c r="AI77" i="7"/>
  <c r="AK77" i="7"/>
  <c r="AE6" i="8"/>
  <c r="AE12" i="8"/>
  <c r="AE13" i="8"/>
  <c r="AE14" i="8"/>
  <c r="AE15" i="8"/>
  <c r="AE16" i="8"/>
  <c r="AE17" i="8"/>
  <c r="AE26" i="8"/>
  <c r="AE27" i="8"/>
  <c r="AE28" i="8"/>
  <c r="M29" i="8"/>
  <c r="AE29" i="8"/>
  <c r="Y7" i="8"/>
  <c r="Y8" i="8"/>
  <c r="AA6" i="8"/>
  <c r="AA12" i="8"/>
  <c r="AA13" i="8"/>
  <c r="AA14" i="8"/>
  <c r="AA15" i="8"/>
  <c r="AA16" i="8"/>
  <c r="AA17" i="8"/>
  <c r="AA26" i="8"/>
  <c r="AA27" i="8"/>
  <c r="AA28" i="8"/>
  <c r="AA29" i="8"/>
  <c r="AA8" i="8"/>
  <c r="AC6" i="8"/>
  <c r="AC12" i="8"/>
  <c r="AC13" i="8"/>
  <c r="AC14" i="8"/>
  <c r="AC15" i="8"/>
  <c r="AC16" i="8"/>
  <c r="AC17" i="8"/>
  <c r="AC26" i="8"/>
  <c r="AC27" i="8"/>
  <c r="AC28" i="8"/>
  <c r="AC29" i="8"/>
  <c r="Y9" i="8"/>
  <c r="AA9" i="8"/>
  <c r="Y10" i="8"/>
  <c r="AA10" i="8"/>
  <c r="Y11" i="8"/>
  <c r="AA11" i="8"/>
  <c r="AC8" i="8"/>
  <c r="AC9" i="8"/>
  <c r="AC10" i="8"/>
  <c r="AC11" i="8"/>
  <c r="AE8" i="8"/>
  <c r="AE9" i="8"/>
  <c r="AE10" i="8"/>
  <c r="AE11" i="8"/>
  <c r="J119" i="8"/>
  <c r="J124" i="8"/>
  <c r="J70" i="8"/>
  <c r="AA70" i="8"/>
  <c r="J39" i="8"/>
  <c r="Z8" i="8"/>
  <c r="Z39" i="8"/>
  <c r="AA39" i="8"/>
  <c r="J40" i="8"/>
  <c r="Z9" i="8"/>
  <c r="Z40" i="8"/>
  <c r="AA40" i="8"/>
  <c r="J41" i="8"/>
  <c r="Z11" i="8"/>
  <c r="Z41" i="8"/>
  <c r="AA41" i="8"/>
  <c r="J42" i="8"/>
  <c r="AA42" i="8"/>
  <c r="J43" i="8"/>
  <c r="AA43" i="8"/>
  <c r="J44" i="8"/>
  <c r="AA44" i="8"/>
  <c r="J45" i="8"/>
  <c r="AA45" i="8"/>
  <c r="J46" i="8"/>
  <c r="AA46" i="8"/>
  <c r="J47" i="8"/>
  <c r="AA47" i="8"/>
  <c r="J48" i="8"/>
  <c r="AA48" i="8"/>
  <c r="J49" i="8"/>
  <c r="AA49" i="8"/>
  <c r="J50" i="8"/>
  <c r="AA50" i="8"/>
  <c r="J51" i="8"/>
  <c r="AA51" i="8"/>
  <c r="J52" i="8"/>
  <c r="AA52" i="8"/>
  <c r="J58" i="8"/>
  <c r="AA58" i="8"/>
  <c r="J59" i="8"/>
  <c r="AA59" i="8"/>
  <c r="J60" i="8"/>
  <c r="AA60" i="8"/>
  <c r="J61" i="8"/>
  <c r="AA61" i="8"/>
  <c r="J62" i="8"/>
  <c r="AA62" i="8"/>
  <c r="J63" i="8"/>
  <c r="AA63" i="8"/>
  <c r="J64" i="8"/>
  <c r="AA64" i="8"/>
  <c r="AA37" i="8"/>
  <c r="AA38" i="8"/>
  <c r="AA65" i="8"/>
  <c r="AG6" i="8"/>
  <c r="Z7" i="8"/>
  <c r="AB7" i="8"/>
  <c r="AD7" i="8"/>
  <c r="AF7" i="8"/>
  <c r="AG7" i="8"/>
  <c r="AB8" i="8"/>
  <c r="AD8" i="8"/>
  <c r="AF8" i="8"/>
  <c r="AG8" i="8"/>
  <c r="AB9" i="8"/>
  <c r="AD9" i="8"/>
  <c r="AF9" i="8"/>
  <c r="AG9" i="8"/>
  <c r="Z10" i="8"/>
  <c r="AB10" i="8"/>
  <c r="AD10" i="8"/>
  <c r="AF10" i="8"/>
  <c r="AG10" i="8"/>
  <c r="AB11" i="8"/>
  <c r="AD11" i="8"/>
  <c r="AF11" i="8"/>
  <c r="AG11" i="8"/>
  <c r="AG12" i="8"/>
  <c r="AG13" i="8"/>
  <c r="AG14" i="8"/>
  <c r="AG15" i="8"/>
  <c r="AG16" i="8"/>
  <c r="AG17" i="8"/>
  <c r="AG26" i="8"/>
  <c r="AG27" i="8"/>
  <c r="AG28" i="8"/>
  <c r="AG29" i="8"/>
  <c r="J37" i="8"/>
  <c r="Z37" i="8"/>
  <c r="AC70" i="8"/>
  <c r="AB39" i="8"/>
  <c r="AC39" i="8"/>
  <c r="AB40" i="8"/>
  <c r="AC40" i="8"/>
  <c r="AB41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8" i="8"/>
  <c r="AC59" i="8"/>
  <c r="AC60" i="8"/>
  <c r="AC61" i="8"/>
  <c r="AC62" i="8"/>
  <c r="AC63" i="8"/>
  <c r="AC64" i="8"/>
  <c r="AC37" i="8"/>
  <c r="AB37" i="8"/>
  <c r="AE70" i="8"/>
  <c r="AD39" i="8"/>
  <c r="AE39" i="8"/>
  <c r="AD40" i="8"/>
  <c r="AE40" i="8"/>
  <c r="AD41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8" i="8"/>
  <c r="AE59" i="8"/>
  <c r="AE60" i="8"/>
  <c r="AE61" i="8"/>
  <c r="AE62" i="8"/>
  <c r="AE63" i="8"/>
  <c r="AE64" i="8"/>
  <c r="AE37" i="8"/>
  <c r="AD37" i="8"/>
  <c r="AF37" i="8"/>
  <c r="AG37" i="8"/>
  <c r="J38" i="8"/>
  <c r="Z38" i="8"/>
  <c r="AC38" i="8"/>
  <c r="AB38" i="8"/>
  <c r="AE38" i="8"/>
  <c r="AD38" i="8"/>
  <c r="AF38" i="8"/>
  <c r="AG38" i="8"/>
  <c r="AF39" i="8"/>
  <c r="AG39" i="8"/>
  <c r="AF40" i="8"/>
  <c r="AG40" i="8"/>
  <c r="AF41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8" i="8"/>
  <c r="AG59" i="8"/>
  <c r="AG60" i="8"/>
  <c r="AG61" i="8"/>
  <c r="AG62" i="8"/>
  <c r="AG63" i="8"/>
  <c r="AG64" i="8"/>
  <c r="AG65" i="8"/>
  <c r="AG70" i="8"/>
  <c r="J125" i="8"/>
  <c r="J128" i="8"/>
  <c r="J126" i="8"/>
  <c r="J127" i="8"/>
  <c r="J130" i="8"/>
  <c r="J129" i="8"/>
  <c r="J75" i="8"/>
  <c r="AA79" i="8"/>
  <c r="AA30" i="8"/>
  <c r="AA74" i="8"/>
  <c r="AC65" i="8"/>
  <c r="AC79" i="8"/>
  <c r="AC30" i="8"/>
  <c r="AC74" i="8"/>
  <c r="AE65" i="8"/>
  <c r="AE79" i="8"/>
  <c r="AE30" i="8"/>
  <c r="AE32" i="8"/>
  <c r="Y6" i="8"/>
  <c r="Y12" i="8"/>
  <c r="Y13" i="8"/>
  <c r="Y14" i="8"/>
  <c r="Y15" i="8"/>
  <c r="Y16" i="8"/>
  <c r="Y17" i="8"/>
  <c r="Y26" i="8"/>
  <c r="Y27" i="8"/>
  <c r="Y28" i="8"/>
  <c r="Y29" i="8"/>
  <c r="M30" i="8"/>
  <c r="Y30" i="8"/>
  <c r="M31" i="8"/>
  <c r="Y31" i="8"/>
  <c r="Y32" i="8"/>
  <c r="AE31" i="8"/>
  <c r="AE77" i="8"/>
  <c r="AE74" i="8"/>
  <c r="AG79" i="8"/>
  <c r="AG30" i="8"/>
  <c r="AG32" i="8"/>
  <c r="AG31" i="8"/>
  <c r="AG77" i="8"/>
  <c r="AK77" i="8"/>
  <c r="AA32" i="8"/>
  <c r="AA31" i="8"/>
  <c r="AA77" i="8"/>
  <c r="AC32" i="8"/>
  <c r="AC31" i="8"/>
  <c r="AC77" i="8"/>
  <c r="AI77" i="8"/>
  <c r="AA76" i="8"/>
  <c r="AC76" i="8"/>
  <c r="AE76" i="8"/>
  <c r="AG76" i="8"/>
  <c r="AI76" i="8"/>
  <c r="AI70" i="8"/>
  <c r="AG74" i="8"/>
  <c r="AI74" i="8"/>
  <c r="AI75" i="8"/>
  <c r="AJ76" i="8"/>
  <c r="AJ70" i="8"/>
  <c r="AJ74" i="8"/>
  <c r="AJ75" i="8"/>
  <c r="AK76" i="8"/>
  <c r="AK70" i="8"/>
  <c r="AK74" i="8"/>
  <c r="AK75" i="8"/>
  <c r="AA76" i="7"/>
  <c r="AC76" i="7"/>
  <c r="AJ76" i="7"/>
  <c r="AJ70" i="7"/>
  <c r="AJ74" i="7"/>
  <c r="AJ75" i="7"/>
  <c r="AE76" i="7"/>
  <c r="AG76" i="7"/>
  <c r="AK76" i="7"/>
  <c r="AK70" i="7"/>
  <c r="AG74" i="7"/>
  <c r="AK74" i="7"/>
  <c r="AK75" i="7"/>
  <c r="AI76" i="7"/>
  <c r="AI70" i="7"/>
  <c r="AI74" i="7"/>
  <c r="AI75" i="7"/>
  <c r="AK6" i="8"/>
  <c r="AK7" i="8"/>
  <c r="AK8" i="8"/>
  <c r="AK9" i="8"/>
  <c r="AK10" i="8"/>
  <c r="AK11" i="8"/>
  <c r="AK12" i="8"/>
  <c r="AK13" i="8"/>
  <c r="AK14" i="8"/>
  <c r="AK15" i="8"/>
  <c r="AK16" i="8"/>
  <c r="AK17" i="8"/>
  <c r="AK26" i="8"/>
  <c r="AK27" i="8"/>
  <c r="AK28" i="8"/>
  <c r="AK29" i="8"/>
  <c r="AK30" i="8"/>
  <c r="AK31" i="8"/>
  <c r="AK32" i="8"/>
  <c r="AK6" i="7"/>
  <c r="AK7" i="7"/>
  <c r="AK8" i="7"/>
  <c r="AK9" i="7"/>
  <c r="AK10" i="7"/>
  <c r="AK11" i="7"/>
  <c r="AK12" i="7"/>
  <c r="AK13" i="7"/>
  <c r="AK14" i="7"/>
  <c r="AK15" i="7"/>
  <c r="AK16" i="7"/>
  <c r="AK17" i="7"/>
  <c r="AK26" i="7"/>
  <c r="AK27" i="7"/>
  <c r="AK28" i="7"/>
  <c r="AK29" i="7"/>
  <c r="AK30" i="7"/>
  <c r="AK31" i="7"/>
  <c r="AK32" i="7"/>
  <c r="AI31" i="7"/>
  <c r="AE6" i="1"/>
  <c r="AE12" i="1"/>
  <c r="AE13" i="1"/>
  <c r="AE14" i="1"/>
  <c r="AE15" i="1"/>
  <c r="AE16" i="1"/>
  <c r="AE17" i="1"/>
  <c r="AE26" i="1"/>
  <c r="AE27" i="1"/>
  <c r="AE28" i="1"/>
  <c r="M29" i="1"/>
  <c r="AE29" i="1"/>
  <c r="Y7" i="1"/>
  <c r="Y8" i="1"/>
  <c r="AA6" i="1"/>
  <c r="AA12" i="1"/>
  <c r="AA13" i="1"/>
  <c r="AA14" i="1"/>
  <c r="AA15" i="1"/>
  <c r="AA16" i="1"/>
  <c r="AA17" i="1"/>
  <c r="AA26" i="1"/>
  <c r="AA27" i="1"/>
  <c r="AA28" i="1"/>
  <c r="AA29" i="1"/>
  <c r="AA8" i="1"/>
  <c r="AC6" i="1"/>
  <c r="AC12" i="1"/>
  <c r="AC13" i="1"/>
  <c r="AC14" i="1"/>
  <c r="AC15" i="1"/>
  <c r="AC16" i="1"/>
  <c r="AC17" i="1"/>
  <c r="AC26" i="1"/>
  <c r="AC27" i="1"/>
  <c r="AC28" i="1"/>
  <c r="AC29" i="1"/>
  <c r="Y9" i="1"/>
  <c r="AA9" i="1"/>
  <c r="Y10" i="1"/>
  <c r="AA10" i="1"/>
  <c r="Y11" i="1"/>
  <c r="AA11" i="1"/>
  <c r="AC8" i="1"/>
  <c r="AC9" i="1"/>
  <c r="AC10" i="1"/>
  <c r="AC11" i="1"/>
  <c r="AE8" i="1"/>
  <c r="AE9" i="1"/>
  <c r="AE10" i="1"/>
  <c r="AE11" i="1"/>
  <c r="J119" i="1"/>
  <c r="J124" i="1"/>
  <c r="J70" i="1"/>
  <c r="AA70" i="1"/>
  <c r="J39" i="1"/>
  <c r="Z8" i="1"/>
  <c r="Z39" i="1"/>
  <c r="AA39" i="1"/>
  <c r="J40" i="1"/>
  <c r="Z9" i="1"/>
  <c r="Z40" i="1"/>
  <c r="AA40" i="1"/>
  <c r="J41" i="1"/>
  <c r="Z11" i="1"/>
  <c r="Z41" i="1"/>
  <c r="AA41" i="1"/>
  <c r="J42" i="1"/>
  <c r="AA42" i="1"/>
  <c r="J43" i="1"/>
  <c r="AA43" i="1"/>
  <c r="J44" i="1"/>
  <c r="AA44" i="1"/>
  <c r="J45" i="1"/>
  <c r="AA45" i="1"/>
  <c r="J46" i="1"/>
  <c r="AA46" i="1"/>
  <c r="J47" i="1"/>
  <c r="AA47" i="1"/>
  <c r="J48" i="1"/>
  <c r="AA48" i="1"/>
  <c r="J49" i="1"/>
  <c r="AA49" i="1"/>
  <c r="J55" i="1"/>
  <c r="AA55" i="1"/>
  <c r="J56" i="1"/>
  <c r="AA56" i="1"/>
  <c r="J57" i="1"/>
  <c r="AA57" i="1"/>
  <c r="J58" i="1"/>
  <c r="AA58" i="1"/>
  <c r="J59" i="1"/>
  <c r="AA59" i="1"/>
  <c r="J60" i="1"/>
  <c r="AA60" i="1"/>
  <c r="J61" i="1"/>
  <c r="AA61" i="1"/>
  <c r="J62" i="1"/>
  <c r="AA62" i="1"/>
  <c r="J63" i="1"/>
  <c r="AA63" i="1"/>
  <c r="J64" i="1"/>
  <c r="AA64" i="1"/>
  <c r="J37" i="1"/>
  <c r="J38" i="1"/>
  <c r="AA37" i="1"/>
  <c r="AA38" i="1"/>
  <c r="AA65" i="1"/>
  <c r="AG6" i="1"/>
  <c r="Z7" i="1"/>
  <c r="AB7" i="1"/>
  <c r="AD7" i="1"/>
  <c r="AF7" i="1"/>
  <c r="AG7" i="1"/>
  <c r="AB8" i="1"/>
  <c r="AD8" i="1"/>
  <c r="AF8" i="1"/>
  <c r="AG8" i="1"/>
  <c r="AB9" i="1"/>
  <c r="AD9" i="1"/>
  <c r="AF9" i="1"/>
  <c r="AG9" i="1"/>
  <c r="Z10" i="1"/>
  <c r="AB10" i="1"/>
  <c r="AD10" i="1"/>
  <c r="AF10" i="1"/>
  <c r="AG10" i="1"/>
  <c r="AB11" i="1"/>
  <c r="AD11" i="1"/>
  <c r="AF11" i="1"/>
  <c r="AG11" i="1"/>
  <c r="AG12" i="1"/>
  <c r="AG13" i="1"/>
  <c r="AG14" i="1"/>
  <c r="AG15" i="1"/>
  <c r="AG16" i="1"/>
  <c r="AG17" i="1"/>
  <c r="AG26" i="1"/>
  <c r="AG27" i="1"/>
  <c r="AG28" i="1"/>
  <c r="AG29" i="1"/>
  <c r="Z37" i="1"/>
  <c r="AC70" i="1"/>
  <c r="AB39" i="1"/>
  <c r="AC39" i="1"/>
  <c r="AB40" i="1"/>
  <c r="AC40" i="1"/>
  <c r="AB41" i="1"/>
  <c r="AC41" i="1"/>
  <c r="AC42" i="1"/>
  <c r="AC43" i="1"/>
  <c r="AC44" i="1"/>
  <c r="AC45" i="1"/>
  <c r="AC46" i="1"/>
  <c r="AC47" i="1"/>
  <c r="AC48" i="1"/>
  <c r="AC49" i="1"/>
  <c r="AC55" i="1"/>
  <c r="AC56" i="1"/>
  <c r="AC57" i="1"/>
  <c r="AC58" i="1"/>
  <c r="AC59" i="1"/>
  <c r="AC60" i="1"/>
  <c r="AC61" i="1"/>
  <c r="AC62" i="1"/>
  <c r="AC63" i="1"/>
  <c r="AC64" i="1"/>
  <c r="AC37" i="1"/>
  <c r="AB37" i="1"/>
  <c r="AE70" i="1"/>
  <c r="AD39" i="1"/>
  <c r="AE39" i="1"/>
  <c r="AD40" i="1"/>
  <c r="AE40" i="1"/>
  <c r="AD41" i="1"/>
  <c r="AE41" i="1"/>
  <c r="AE42" i="1"/>
  <c r="AE43" i="1"/>
  <c r="AE44" i="1"/>
  <c r="AE45" i="1"/>
  <c r="AE46" i="1"/>
  <c r="AE47" i="1"/>
  <c r="AE48" i="1"/>
  <c r="AE49" i="1"/>
  <c r="AE55" i="1"/>
  <c r="AE56" i="1"/>
  <c r="AE57" i="1"/>
  <c r="AE58" i="1"/>
  <c r="AE59" i="1"/>
  <c r="AE60" i="1"/>
  <c r="AE61" i="1"/>
  <c r="AE62" i="1"/>
  <c r="AE63" i="1"/>
  <c r="AE64" i="1"/>
  <c r="AC38" i="1"/>
  <c r="AE37" i="1"/>
  <c r="AD37" i="1"/>
  <c r="AF37" i="1"/>
  <c r="AG37" i="1"/>
  <c r="Z38" i="1"/>
  <c r="AB38" i="1"/>
  <c r="AE38" i="1"/>
  <c r="AD38" i="1"/>
  <c r="AF38" i="1"/>
  <c r="AG38" i="1"/>
  <c r="AF39" i="1"/>
  <c r="AG39" i="1"/>
  <c r="AF40" i="1"/>
  <c r="AG40" i="1"/>
  <c r="AF41" i="1"/>
  <c r="AG41" i="1"/>
  <c r="AG42" i="1"/>
  <c r="AG43" i="1"/>
  <c r="AG44" i="1"/>
  <c r="AG45" i="1"/>
  <c r="AG46" i="1"/>
  <c r="AG47" i="1"/>
  <c r="AG48" i="1"/>
  <c r="AG49" i="1"/>
  <c r="AG55" i="1"/>
  <c r="AG56" i="1"/>
  <c r="AG57" i="1"/>
  <c r="AG58" i="1"/>
  <c r="AG59" i="1"/>
  <c r="AG60" i="1"/>
  <c r="AG61" i="1"/>
  <c r="AG62" i="1"/>
  <c r="AG63" i="1"/>
  <c r="AG64" i="1"/>
  <c r="AG65" i="1"/>
  <c r="AG70" i="1"/>
  <c r="J125" i="1"/>
  <c r="J128" i="1"/>
  <c r="J126" i="1"/>
  <c r="J127" i="1"/>
  <c r="J130" i="1"/>
  <c r="J129" i="1"/>
  <c r="J75" i="1"/>
  <c r="AA79" i="1"/>
  <c r="AA30" i="1"/>
  <c r="AA74" i="1"/>
  <c r="AC65" i="1"/>
  <c r="AC79" i="1"/>
  <c r="AC30" i="1"/>
  <c r="AC74" i="1"/>
  <c r="AE65" i="1"/>
  <c r="AE79" i="1"/>
  <c r="AE30" i="1"/>
  <c r="AE32" i="1"/>
  <c r="Y6" i="1"/>
  <c r="Y12" i="1"/>
  <c r="Y13" i="1"/>
  <c r="Y14" i="1"/>
  <c r="Y15" i="1"/>
  <c r="Y16" i="1"/>
  <c r="Y17" i="1"/>
  <c r="Y26" i="1"/>
  <c r="Y27" i="1"/>
  <c r="Y28" i="1"/>
  <c r="Y29" i="1"/>
  <c r="M30" i="1"/>
  <c r="Y30" i="1"/>
  <c r="M31" i="1"/>
  <c r="Y31" i="1"/>
  <c r="Y32" i="1"/>
  <c r="AE31" i="1"/>
  <c r="AE77" i="1"/>
  <c r="AE74" i="1"/>
  <c r="AG79" i="1"/>
  <c r="AG30" i="1"/>
  <c r="AG32" i="1"/>
  <c r="AG31" i="1"/>
  <c r="AG77" i="1"/>
  <c r="AK77" i="1"/>
  <c r="AA32" i="1"/>
  <c r="AA31" i="1"/>
  <c r="AA77" i="1"/>
  <c r="AC32" i="1"/>
  <c r="AC31" i="1"/>
  <c r="AC77" i="1"/>
  <c r="AI77" i="1"/>
  <c r="AI31" i="8"/>
  <c r="AK6" i="1"/>
  <c r="AK7" i="1"/>
  <c r="AK8" i="1"/>
  <c r="AK9" i="1"/>
  <c r="AK10" i="1"/>
  <c r="AK11" i="1"/>
  <c r="AK12" i="1"/>
  <c r="AK13" i="1"/>
  <c r="AK14" i="1"/>
  <c r="AK15" i="1"/>
  <c r="AK16" i="1"/>
  <c r="AK17" i="1"/>
  <c r="AK26" i="1"/>
  <c r="AK27" i="1"/>
  <c r="AK28" i="1"/>
  <c r="AK29" i="1"/>
  <c r="AK30" i="1"/>
  <c r="AK31" i="1"/>
  <c r="AK32" i="1"/>
  <c r="AI31" i="1"/>
  <c r="AI30" i="8"/>
  <c r="Z30" i="8"/>
  <c r="AB30" i="8"/>
  <c r="AD30" i="8"/>
  <c r="AF30" i="8"/>
  <c r="AH30" i="8"/>
  <c r="AA76" i="1"/>
  <c r="AC76" i="1"/>
  <c r="AJ76" i="1"/>
  <c r="AJ70" i="1"/>
  <c r="AJ74" i="1"/>
  <c r="AJ75" i="1"/>
  <c r="AE76" i="1"/>
  <c r="AG76" i="1"/>
  <c r="AK76" i="1"/>
  <c r="AK70" i="1"/>
  <c r="AG74" i="1"/>
  <c r="AK74" i="1"/>
  <c r="AK75" i="1"/>
  <c r="AI76" i="1"/>
  <c r="AI70" i="1"/>
  <c r="AI74" i="1"/>
  <c r="AI75" i="1"/>
  <c r="AI30" i="7"/>
  <c r="Z30" i="7"/>
  <c r="AB30" i="7"/>
  <c r="AD30" i="7"/>
  <c r="AF30" i="7"/>
  <c r="AH30" i="7"/>
  <c r="AI30" i="1"/>
  <c r="Z30" i="1"/>
  <c r="AB30" i="1"/>
  <c r="AD30" i="1"/>
  <c r="AF30" i="1"/>
  <c r="AH30" i="1"/>
  <c r="AA75" i="7"/>
  <c r="AC75" i="7"/>
  <c r="AE75" i="7"/>
  <c r="AG78" i="7"/>
  <c r="AA75" i="8"/>
  <c r="AC75" i="8"/>
  <c r="AE75" i="8"/>
  <c r="AG78" i="8"/>
  <c r="AA75" i="1"/>
  <c r="AC75" i="1"/>
  <c r="AE75" i="1"/>
  <c r="AG78" i="1"/>
  <c r="AE6" i="12"/>
  <c r="AE12" i="12"/>
  <c r="AE13" i="12"/>
  <c r="AE14" i="12"/>
  <c r="AE15" i="12"/>
  <c r="AE26" i="12"/>
  <c r="AE27" i="12"/>
  <c r="AE28" i="12"/>
  <c r="M29" i="12"/>
  <c r="AE29" i="12"/>
  <c r="Y7" i="12"/>
  <c r="Y8" i="12"/>
  <c r="AA6" i="12"/>
  <c r="AA12" i="12"/>
  <c r="AA13" i="12"/>
  <c r="AA14" i="12"/>
  <c r="AA15" i="12"/>
  <c r="AA26" i="12"/>
  <c r="AA27" i="12"/>
  <c r="AA28" i="12"/>
  <c r="AA29" i="12"/>
  <c r="AA8" i="12"/>
  <c r="AC6" i="12"/>
  <c r="AC12" i="12"/>
  <c r="AC13" i="12"/>
  <c r="AC14" i="12"/>
  <c r="AC15" i="12"/>
  <c r="AC26" i="12"/>
  <c r="AC27" i="12"/>
  <c r="AC28" i="12"/>
  <c r="AC29" i="12"/>
  <c r="Y9" i="12"/>
  <c r="AA9" i="12"/>
  <c r="Y10" i="12"/>
  <c r="AA10" i="12"/>
  <c r="Y11" i="12"/>
  <c r="AA11" i="12"/>
  <c r="AC8" i="12"/>
  <c r="AC9" i="12"/>
  <c r="AC10" i="12"/>
  <c r="AC11" i="12"/>
  <c r="AE8" i="12"/>
  <c r="AE9" i="12"/>
  <c r="AE10" i="12"/>
  <c r="AE11" i="12"/>
  <c r="J119" i="12"/>
  <c r="J124" i="12"/>
  <c r="J70" i="12"/>
  <c r="AA70" i="12"/>
  <c r="J39" i="12"/>
  <c r="Z8" i="12"/>
  <c r="Z39" i="12"/>
  <c r="AA39" i="12"/>
  <c r="J40" i="12"/>
  <c r="Z9" i="12"/>
  <c r="Z40" i="12"/>
  <c r="AA40" i="12"/>
  <c r="J41" i="12"/>
  <c r="Z11" i="12"/>
  <c r="Z41" i="12"/>
  <c r="AA41" i="12"/>
  <c r="J42" i="12"/>
  <c r="AA42" i="12"/>
  <c r="J43" i="12"/>
  <c r="AA43" i="12"/>
  <c r="J44" i="12"/>
  <c r="AA44" i="12"/>
  <c r="J45" i="12"/>
  <c r="AA45" i="12"/>
  <c r="J46" i="12"/>
  <c r="AA46" i="12"/>
  <c r="J47" i="12"/>
  <c r="AA47" i="12"/>
  <c r="J48" i="12"/>
  <c r="AA48" i="12"/>
  <c r="J49" i="12"/>
  <c r="AA49" i="12"/>
  <c r="J50" i="12"/>
  <c r="AA50" i="12"/>
  <c r="J51" i="12"/>
  <c r="AA51" i="12"/>
  <c r="J37" i="12"/>
  <c r="J38" i="12"/>
  <c r="AA37" i="12"/>
  <c r="AA38" i="12"/>
  <c r="AA65" i="12"/>
  <c r="AG6" i="12"/>
  <c r="Z7" i="12"/>
  <c r="AB7" i="12"/>
  <c r="AD7" i="12"/>
  <c r="AF7" i="12"/>
  <c r="AG7" i="12"/>
  <c r="AB8" i="12"/>
  <c r="AD8" i="12"/>
  <c r="AF8" i="12"/>
  <c r="AG8" i="12"/>
  <c r="AB9" i="12"/>
  <c r="AD9" i="12"/>
  <c r="AF9" i="12"/>
  <c r="AG9" i="12"/>
  <c r="Z10" i="12"/>
  <c r="AB10" i="12"/>
  <c r="AD10" i="12"/>
  <c r="AF10" i="12"/>
  <c r="AG10" i="12"/>
  <c r="AB11" i="12"/>
  <c r="AD11" i="12"/>
  <c r="AF11" i="12"/>
  <c r="AG11" i="12"/>
  <c r="AG12" i="12"/>
  <c r="AG13" i="12"/>
  <c r="AG14" i="12"/>
  <c r="AG15" i="12"/>
  <c r="AG26" i="12"/>
  <c r="AG27" i="12"/>
  <c r="AG28" i="12"/>
  <c r="AG29" i="12"/>
  <c r="Z37" i="12"/>
  <c r="AB37" i="12"/>
  <c r="AD37" i="12"/>
  <c r="AF37" i="12"/>
  <c r="AG37" i="12"/>
  <c r="Z38" i="12"/>
  <c r="AC70" i="12"/>
  <c r="AB39" i="12"/>
  <c r="AC39" i="12"/>
  <c r="AB40" i="12"/>
  <c r="AC40" i="12"/>
  <c r="AB41" i="12"/>
  <c r="AC41" i="12"/>
  <c r="AC42" i="12"/>
  <c r="AC43" i="12"/>
  <c r="AC44" i="12"/>
  <c r="AC45" i="12"/>
  <c r="AC46" i="12"/>
  <c r="AC47" i="12"/>
  <c r="AC48" i="12"/>
  <c r="AC49" i="12"/>
  <c r="AC50" i="12"/>
  <c r="AC51" i="12"/>
  <c r="AC38" i="12"/>
  <c r="AB38" i="12"/>
  <c r="AE70" i="12"/>
  <c r="AD39" i="12"/>
  <c r="AE39" i="12"/>
  <c r="AD40" i="12"/>
  <c r="AE40" i="12"/>
  <c r="AD41" i="12"/>
  <c r="AE41" i="12"/>
  <c r="AE42" i="12"/>
  <c r="AE43" i="12"/>
  <c r="AE44" i="12"/>
  <c r="AE45" i="12"/>
  <c r="AE46" i="12"/>
  <c r="AE47" i="12"/>
  <c r="AE48" i="12"/>
  <c r="AE49" i="12"/>
  <c r="AE50" i="12"/>
  <c r="AE51" i="12"/>
  <c r="AC37" i="12"/>
  <c r="AE38" i="12"/>
  <c r="AD38" i="12"/>
  <c r="AF38" i="12"/>
  <c r="AG38" i="12"/>
  <c r="AF39" i="12"/>
  <c r="AG39" i="12"/>
  <c r="AF40" i="12"/>
  <c r="AG40" i="12"/>
  <c r="AF41" i="12"/>
  <c r="AG41" i="12"/>
  <c r="AG42" i="12"/>
  <c r="AG43" i="12"/>
  <c r="AG44" i="12"/>
  <c r="AG45" i="12"/>
  <c r="AG46" i="12"/>
  <c r="AG47" i="12"/>
  <c r="AG48" i="12"/>
  <c r="AG49" i="12"/>
  <c r="AG50" i="12"/>
  <c r="AG51" i="12"/>
  <c r="AG65" i="12"/>
  <c r="AG70" i="12"/>
  <c r="J125" i="12"/>
  <c r="J128" i="12"/>
  <c r="J126" i="12"/>
  <c r="J127" i="12"/>
  <c r="J130" i="12"/>
  <c r="J129" i="12"/>
  <c r="J75" i="12"/>
  <c r="AA79" i="12"/>
  <c r="AA30" i="12"/>
  <c r="AA74" i="12"/>
  <c r="AC65" i="12"/>
  <c r="AC79" i="12"/>
  <c r="AC30" i="12"/>
  <c r="AC74" i="12"/>
  <c r="AE37" i="12"/>
  <c r="AE65" i="12"/>
  <c r="AE79" i="12"/>
  <c r="AE30" i="12"/>
  <c r="AE32" i="12"/>
  <c r="Y6" i="12"/>
  <c r="Y12" i="12"/>
  <c r="Y13" i="12"/>
  <c r="Y14" i="12"/>
  <c r="Y15" i="12"/>
  <c r="Y26" i="12"/>
  <c r="Y27" i="12"/>
  <c r="Y28" i="12"/>
  <c r="Y29" i="12"/>
  <c r="M30" i="12"/>
  <c r="Y30" i="12"/>
  <c r="M31" i="12"/>
  <c r="Y31" i="12"/>
  <c r="Y32" i="12"/>
  <c r="AE31" i="12"/>
  <c r="AE77" i="12"/>
  <c r="AE74" i="12"/>
  <c r="AG79" i="12"/>
  <c r="AG30" i="12"/>
  <c r="AG32" i="12"/>
  <c r="AG31" i="12"/>
  <c r="AG77" i="12"/>
  <c r="AK77" i="12"/>
  <c r="AA32" i="12"/>
  <c r="AA31" i="12"/>
  <c r="AA77" i="12"/>
  <c r="AC32" i="12"/>
  <c r="AC31" i="12"/>
  <c r="AC77" i="12"/>
  <c r="AI77" i="12"/>
  <c r="AK6" i="12"/>
  <c r="AK7" i="12"/>
  <c r="AK8" i="12"/>
  <c r="AK9" i="12"/>
  <c r="AK10" i="12"/>
  <c r="AK11" i="12"/>
  <c r="AK12" i="12"/>
  <c r="AK13" i="12"/>
  <c r="AK14" i="12"/>
  <c r="AK15" i="12"/>
  <c r="AK26" i="12"/>
  <c r="AK27" i="12"/>
  <c r="AK28" i="12"/>
  <c r="AK29" i="12"/>
  <c r="AK30" i="12"/>
  <c r="AK31" i="12"/>
  <c r="AK32" i="12"/>
  <c r="AJ77" i="7"/>
  <c r="AJ77" i="8"/>
  <c r="AI31" i="12"/>
  <c r="AE78" i="8"/>
  <c r="AA76" i="12"/>
  <c r="AC76" i="12"/>
  <c r="AJ76" i="12"/>
  <c r="AJ70" i="12"/>
  <c r="AJ74" i="12"/>
  <c r="AJ75" i="12"/>
  <c r="AE76" i="12"/>
  <c r="AG76" i="12"/>
  <c r="AK76" i="12"/>
  <c r="AK70" i="12"/>
  <c r="AG74" i="12"/>
  <c r="AK74" i="12"/>
  <c r="AK75" i="12"/>
  <c r="AI76" i="12"/>
  <c r="AI70" i="12"/>
  <c r="AI74" i="12"/>
  <c r="AI75" i="12"/>
  <c r="AE78" i="7"/>
  <c r="AJ77" i="1"/>
  <c r="AJ6" i="8"/>
  <c r="AJ8" i="8"/>
  <c r="AJ9" i="8"/>
  <c r="AJ10" i="8"/>
  <c r="AJ11" i="8"/>
  <c r="AJ12" i="8"/>
  <c r="AJ13" i="8"/>
  <c r="AJ14" i="8"/>
  <c r="AJ15" i="8"/>
  <c r="AJ16" i="8"/>
  <c r="AJ17" i="8"/>
  <c r="AJ26" i="8"/>
  <c r="AJ27" i="8"/>
  <c r="AJ28" i="8"/>
  <c r="AJ29" i="8"/>
  <c r="AJ30" i="8"/>
  <c r="AJ31" i="8"/>
  <c r="AJ32" i="8"/>
  <c r="AE78" i="1"/>
  <c r="AJ6" i="7"/>
  <c r="AJ8" i="7"/>
  <c r="AJ9" i="7"/>
  <c r="AJ10" i="7"/>
  <c r="AJ11" i="7"/>
  <c r="AJ12" i="7"/>
  <c r="AJ13" i="7"/>
  <c r="AJ14" i="7"/>
  <c r="AJ15" i="7"/>
  <c r="AJ16" i="7"/>
  <c r="AJ17" i="7"/>
  <c r="AJ26" i="7"/>
  <c r="AJ27" i="7"/>
  <c r="AJ28" i="7"/>
  <c r="AJ29" i="7"/>
  <c r="AJ30" i="7"/>
  <c r="AJ31" i="7"/>
  <c r="AJ32" i="7"/>
  <c r="AI30" i="12"/>
  <c r="Z30" i="12"/>
  <c r="AB30" i="12"/>
  <c r="AD30" i="12"/>
  <c r="AF30" i="12"/>
  <c r="AH30" i="12"/>
  <c r="AA75" i="12"/>
  <c r="AC75" i="12"/>
  <c r="AE75" i="12"/>
  <c r="AG78" i="12"/>
  <c r="AJ6" i="1"/>
  <c r="AJ8" i="1"/>
  <c r="AJ9" i="1"/>
  <c r="AJ10" i="1"/>
  <c r="AJ11" i="1"/>
  <c r="AJ12" i="1"/>
  <c r="AJ13" i="1"/>
  <c r="AJ14" i="1"/>
  <c r="AJ15" i="1"/>
  <c r="AJ16" i="1"/>
  <c r="AJ17" i="1"/>
  <c r="AJ26" i="1"/>
  <c r="AJ27" i="1"/>
  <c r="AJ28" i="1"/>
  <c r="AJ29" i="1"/>
  <c r="AJ30" i="1"/>
  <c r="AJ31" i="1"/>
  <c r="AJ32" i="1"/>
  <c r="AC78" i="7"/>
  <c r="AC78" i="8"/>
  <c r="AJ77" i="12"/>
  <c r="AE78" i="12"/>
  <c r="AC78" i="1"/>
  <c r="AJ6" i="12"/>
  <c r="AJ8" i="12"/>
  <c r="AJ9" i="12"/>
  <c r="AJ10" i="12"/>
  <c r="AJ11" i="12"/>
  <c r="AJ12" i="12"/>
  <c r="AJ13" i="12"/>
  <c r="AJ14" i="12"/>
  <c r="AJ15" i="12"/>
  <c r="AJ26" i="12"/>
  <c r="AJ27" i="12"/>
  <c r="AJ28" i="12"/>
  <c r="AJ29" i="12"/>
  <c r="AJ30" i="12"/>
  <c r="AJ31" i="12"/>
  <c r="AJ32" i="12"/>
  <c r="AG75" i="8"/>
  <c r="AA78" i="8"/>
  <c r="AC78" i="12"/>
  <c r="AA78" i="7"/>
  <c r="AG75" i="7"/>
  <c r="AH37" i="7"/>
  <c r="AA78" i="1"/>
  <c r="AG75" i="1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8" i="7"/>
  <c r="AI59" i="7"/>
  <c r="AI60" i="7"/>
  <c r="AI61" i="7"/>
  <c r="AI62" i="7"/>
  <c r="AI63" i="7"/>
  <c r="AI64" i="7"/>
  <c r="AI65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8" i="7"/>
  <c r="AK59" i="7"/>
  <c r="AK60" i="7"/>
  <c r="AK61" i="7"/>
  <c r="AK62" i="7"/>
  <c r="AK63" i="7"/>
  <c r="AK64" i="7"/>
  <c r="AK65" i="7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8" i="8"/>
  <c r="AI59" i="8"/>
  <c r="AI60" i="8"/>
  <c r="AI61" i="8"/>
  <c r="AI62" i="8"/>
  <c r="AI63" i="8"/>
  <c r="AI64" i="8"/>
  <c r="AI65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8" i="8"/>
  <c r="AK59" i="8"/>
  <c r="AK60" i="8"/>
  <c r="AK61" i="8"/>
  <c r="AK62" i="8"/>
  <c r="AK63" i="8"/>
  <c r="AK64" i="8"/>
  <c r="AK65" i="8"/>
  <c r="AK37" i="12"/>
  <c r="AK38" i="12"/>
  <c r="AK39" i="12"/>
  <c r="AK40" i="12"/>
  <c r="AK41" i="12"/>
  <c r="AK42" i="12"/>
  <c r="AK43" i="12"/>
  <c r="AK44" i="12"/>
  <c r="AK45" i="12"/>
  <c r="AK46" i="12"/>
  <c r="AK47" i="12"/>
  <c r="AK48" i="12"/>
  <c r="AK49" i="12"/>
  <c r="AK50" i="12"/>
  <c r="AK51" i="12"/>
  <c r="AK65" i="12"/>
  <c r="AH37" i="8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5" i="1"/>
  <c r="AI56" i="1"/>
  <c r="AI57" i="1"/>
  <c r="AI58" i="1"/>
  <c r="AI59" i="1"/>
  <c r="AI60" i="1"/>
  <c r="AI61" i="1"/>
  <c r="AI62" i="1"/>
  <c r="AI63" i="1"/>
  <c r="AI64" i="1"/>
  <c r="AI65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5" i="1"/>
  <c r="AK56" i="1"/>
  <c r="AK57" i="1"/>
  <c r="AK58" i="1"/>
  <c r="AK59" i="1"/>
  <c r="AK60" i="1"/>
  <c r="AK61" i="1"/>
  <c r="AK62" i="1"/>
  <c r="AK63" i="1"/>
  <c r="AK64" i="1"/>
  <c r="AK65" i="1"/>
  <c r="AH37" i="1"/>
  <c r="AI37" i="12"/>
  <c r="AI38" i="12"/>
  <c r="AI39" i="12"/>
  <c r="AI40" i="12"/>
  <c r="AI41" i="12"/>
  <c r="AI42" i="12"/>
  <c r="AI43" i="12"/>
  <c r="AI44" i="12"/>
  <c r="AI45" i="12"/>
  <c r="AI46" i="12"/>
  <c r="AI47" i="12"/>
  <c r="AI48" i="12"/>
  <c r="AI49" i="12"/>
  <c r="AI50" i="12"/>
  <c r="AI51" i="12"/>
  <c r="AI65" i="12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8" i="7"/>
  <c r="AJ59" i="7"/>
  <c r="AJ60" i="7"/>
  <c r="AJ61" i="7"/>
  <c r="AJ62" i="7"/>
  <c r="AJ63" i="7"/>
  <c r="AJ64" i="7"/>
  <c r="AJ65" i="7"/>
  <c r="AH40" i="8"/>
  <c r="AH39" i="7"/>
  <c r="AG75" i="12"/>
  <c r="AA78" i="12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8" i="8"/>
  <c r="AJ59" i="8"/>
  <c r="AJ60" i="8"/>
  <c r="AJ61" i="8"/>
  <c r="AJ62" i="8"/>
  <c r="AJ63" i="8"/>
  <c r="AJ64" i="8"/>
  <c r="AJ65" i="8"/>
  <c r="AH39" i="12"/>
  <c r="AJ37" i="12"/>
  <c r="AJ38" i="12"/>
  <c r="AJ39" i="12"/>
  <c r="AJ40" i="12"/>
  <c r="AJ41" i="12"/>
  <c r="AJ42" i="12"/>
  <c r="AJ43" i="12"/>
  <c r="AJ44" i="12"/>
  <c r="AJ45" i="12"/>
  <c r="AJ46" i="12"/>
  <c r="AJ47" i="12"/>
  <c r="AJ48" i="12"/>
  <c r="AJ49" i="12"/>
  <c r="AJ50" i="12"/>
  <c r="AJ51" i="12"/>
  <c r="AJ65" i="12"/>
  <c r="AH39" i="8"/>
  <c r="AH8" i="7"/>
  <c r="AI8" i="12"/>
  <c r="AI8" i="8"/>
  <c r="AH40" i="7"/>
  <c r="AH8" i="12"/>
  <c r="AH40" i="1"/>
  <c r="AH39" i="1"/>
  <c r="AI9" i="8"/>
  <c r="AI8" i="7"/>
  <c r="AH9" i="8"/>
  <c r="AI9" i="7"/>
  <c r="AH8" i="8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5" i="1"/>
  <c r="AJ56" i="1"/>
  <c r="AJ57" i="1"/>
  <c r="AJ58" i="1"/>
  <c r="AJ59" i="1"/>
  <c r="AJ60" i="1"/>
  <c r="AJ61" i="1"/>
  <c r="AJ62" i="1"/>
  <c r="AJ63" i="1"/>
  <c r="AJ64" i="1"/>
  <c r="AJ65" i="1"/>
  <c r="AI9" i="1"/>
  <c r="AI10" i="1"/>
  <c r="AH9" i="7"/>
  <c r="AH10" i="1"/>
  <c r="AI8" i="1"/>
  <c r="AH8" i="1"/>
  <c r="AH9" i="1"/>
  <c r="AI11" i="8"/>
  <c r="M70" i="8"/>
  <c r="J73" i="8"/>
  <c r="M73" i="8"/>
  <c r="J74" i="8"/>
  <c r="M74" i="8"/>
  <c r="M75" i="8"/>
  <c r="M76" i="8"/>
  <c r="M129" i="8"/>
  <c r="AI10" i="12"/>
  <c r="AI11" i="12"/>
  <c r="AI9" i="12"/>
  <c r="AI10" i="8"/>
  <c r="AI11" i="7"/>
  <c r="M124" i="8"/>
  <c r="M130" i="8"/>
  <c r="J76" i="8"/>
  <c r="AH38" i="8"/>
  <c r="AI6" i="8"/>
  <c r="J131" i="8"/>
  <c r="J77" i="8"/>
  <c r="M77" i="8"/>
  <c r="N34" i="8"/>
  <c r="AH41" i="12"/>
  <c r="AI11" i="1"/>
  <c r="M70" i="12"/>
  <c r="J71" i="12"/>
  <c r="M71" i="12"/>
  <c r="J72" i="12"/>
  <c r="M72" i="12"/>
  <c r="J73" i="12"/>
  <c r="M73" i="12"/>
  <c r="J74" i="12"/>
  <c r="M74" i="12"/>
  <c r="M75" i="12"/>
  <c r="M76" i="12"/>
  <c r="AH41" i="7"/>
  <c r="AI10" i="7"/>
  <c r="M70" i="7"/>
  <c r="J71" i="7"/>
  <c r="M71" i="7"/>
  <c r="J72" i="7"/>
  <c r="M72" i="7"/>
  <c r="J73" i="7"/>
  <c r="M73" i="7"/>
  <c r="J74" i="7"/>
  <c r="M74" i="7"/>
  <c r="M75" i="7"/>
  <c r="M76" i="7"/>
  <c r="AH40" i="12"/>
  <c r="AH10" i="8"/>
  <c r="N31" i="8"/>
  <c r="AH41" i="8"/>
  <c r="I72" i="9"/>
  <c r="AI26" i="8"/>
  <c r="AI12" i="8"/>
  <c r="AI15" i="8"/>
  <c r="AI29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J53" i="8"/>
  <c r="M53" i="8"/>
  <c r="J54" i="8"/>
  <c r="M54" i="8"/>
  <c r="J55" i="8"/>
  <c r="M55" i="8"/>
  <c r="J56" i="8"/>
  <c r="M56" i="8"/>
  <c r="J57" i="8"/>
  <c r="M57" i="8"/>
  <c r="M58" i="8"/>
  <c r="M59" i="8"/>
  <c r="M60" i="8"/>
  <c r="M61" i="8"/>
  <c r="M62" i="8"/>
  <c r="M63" i="8"/>
  <c r="M64" i="8"/>
  <c r="M65" i="8"/>
  <c r="J65" i="8"/>
  <c r="AI28" i="8"/>
  <c r="I74" i="9"/>
  <c r="M119" i="8"/>
  <c r="AI16" i="8"/>
  <c r="AI27" i="8"/>
  <c r="AI17" i="8"/>
  <c r="AI14" i="8"/>
  <c r="M128" i="8"/>
  <c r="AI13" i="8"/>
  <c r="M70" i="1"/>
  <c r="J71" i="1"/>
  <c r="M71" i="1"/>
  <c r="J72" i="1"/>
  <c r="M72" i="1"/>
  <c r="J73" i="1"/>
  <c r="M73" i="1"/>
  <c r="J74" i="1"/>
  <c r="M74" i="1"/>
  <c r="M75" i="1"/>
  <c r="M76" i="1"/>
  <c r="M129" i="7"/>
  <c r="AI7" i="12"/>
  <c r="AI7" i="7"/>
  <c r="AH38" i="7"/>
  <c r="AH9" i="12"/>
  <c r="AH7" i="12"/>
  <c r="AH7" i="7"/>
  <c r="AI7" i="8"/>
  <c r="J131" i="12"/>
  <c r="J77" i="12"/>
  <c r="M77" i="12"/>
  <c r="N34" i="12"/>
  <c r="AH41" i="1"/>
  <c r="AH38" i="12"/>
  <c r="AH37" i="12"/>
  <c r="AH10" i="12"/>
  <c r="AH10" i="7"/>
  <c r="AH7" i="8"/>
  <c r="AH11" i="12"/>
  <c r="AH11" i="7"/>
  <c r="J131" i="1"/>
  <c r="J77" i="1"/>
  <c r="M77" i="1"/>
  <c r="N34" i="1"/>
  <c r="I85" i="9"/>
  <c r="I78" i="9"/>
  <c r="I82" i="9"/>
  <c r="I79" i="9"/>
  <c r="AH11" i="8"/>
  <c r="I73" i="9"/>
  <c r="I83" i="9"/>
  <c r="I76" i="9"/>
  <c r="I80" i="9"/>
  <c r="I81" i="9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65" i="12"/>
  <c r="AH38" i="1"/>
  <c r="J131" i="7"/>
  <c r="J77" i="7"/>
  <c r="M77" i="7"/>
  <c r="N34" i="7"/>
  <c r="AI6" i="12"/>
  <c r="N31" i="12"/>
  <c r="AH7" i="1"/>
  <c r="AH11" i="1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J53" i="7"/>
  <c r="M53" i="7"/>
  <c r="J54" i="7"/>
  <c r="M54" i="7"/>
  <c r="J55" i="7"/>
  <c r="M55" i="7"/>
  <c r="J56" i="7"/>
  <c r="M56" i="7"/>
  <c r="J57" i="7"/>
  <c r="M57" i="7"/>
  <c r="M58" i="7"/>
  <c r="M59" i="7"/>
  <c r="M60" i="7"/>
  <c r="M61" i="7"/>
  <c r="M62" i="7"/>
  <c r="M63" i="7"/>
  <c r="M64" i="7"/>
  <c r="M65" i="7"/>
  <c r="M124" i="7"/>
  <c r="AI7" i="1"/>
  <c r="M130" i="7"/>
  <c r="J76" i="7"/>
  <c r="J76" i="12"/>
  <c r="AI6" i="7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J50" i="1"/>
  <c r="M50" i="1"/>
  <c r="J51" i="1"/>
  <c r="M51" i="1"/>
  <c r="J52" i="1"/>
  <c r="M52" i="1"/>
  <c r="J53" i="1"/>
  <c r="M53" i="1"/>
  <c r="J54" i="1"/>
  <c r="M54" i="1"/>
  <c r="M55" i="1"/>
  <c r="M56" i="1"/>
  <c r="M57" i="1"/>
  <c r="M58" i="1"/>
  <c r="M59" i="1"/>
  <c r="M60" i="1"/>
  <c r="M61" i="1"/>
  <c r="M62" i="1"/>
  <c r="M63" i="1"/>
  <c r="M64" i="1"/>
  <c r="M65" i="1"/>
  <c r="F79" i="9"/>
  <c r="F73" i="9"/>
  <c r="AI16" i="7"/>
  <c r="AI6" i="1"/>
  <c r="AI12" i="12"/>
  <c r="F83" i="9"/>
  <c r="F74" i="9"/>
  <c r="H74" i="9"/>
  <c r="H83" i="9"/>
  <c r="M119" i="12"/>
  <c r="AI14" i="12"/>
  <c r="AI14" i="7"/>
  <c r="AI28" i="12"/>
  <c r="AI17" i="7"/>
  <c r="J65" i="7"/>
  <c r="F72" i="9"/>
  <c r="AI26" i="7"/>
  <c r="AI29" i="7"/>
  <c r="AI28" i="7"/>
  <c r="AI27" i="7"/>
  <c r="H76" i="9"/>
  <c r="H79" i="9"/>
  <c r="F76" i="9"/>
  <c r="AI26" i="12"/>
  <c r="M128" i="7"/>
  <c r="J76" i="1"/>
  <c r="AI13" i="12"/>
  <c r="H72" i="9"/>
  <c r="AI15" i="12"/>
  <c r="AI15" i="7"/>
  <c r="AI12" i="7"/>
  <c r="AI13" i="7"/>
  <c r="N31" i="7"/>
  <c r="M119" i="7"/>
  <c r="AI27" i="12"/>
  <c r="J65" i="12"/>
  <c r="H78" i="9"/>
  <c r="H73" i="9"/>
  <c r="F78" i="9"/>
  <c r="G73" i="9"/>
  <c r="AI17" i="1"/>
  <c r="J65" i="1"/>
  <c r="AI27" i="1"/>
  <c r="AI26" i="1"/>
  <c r="N31" i="1"/>
  <c r="L131" i="8"/>
  <c r="L77" i="8"/>
  <c r="AI13" i="1"/>
  <c r="AI12" i="1"/>
  <c r="AI29" i="12"/>
  <c r="H85" i="9"/>
  <c r="M119" i="1"/>
  <c r="H82" i="9"/>
  <c r="AI29" i="1"/>
  <c r="AI14" i="1"/>
  <c r="G79" i="9"/>
  <c r="AI15" i="1"/>
  <c r="G74" i="9"/>
  <c r="H81" i="9"/>
  <c r="H80" i="9"/>
  <c r="G78" i="9"/>
  <c r="AI28" i="1"/>
  <c r="G72" i="9"/>
  <c r="G76" i="9"/>
  <c r="G83" i="9"/>
  <c r="L131" i="12"/>
  <c r="L77" i="12"/>
  <c r="AI16" i="1"/>
  <c r="G80" i="9"/>
  <c r="L131" i="7"/>
  <c r="L77" i="7"/>
  <c r="G85" i="9"/>
  <c r="G81" i="9"/>
  <c r="G82" i="9"/>
  <c r="L131" i="1"/>
  <c r="L77" i="1"/>
  <c r="I77" i="8"/>
  <c r="I87" i="9"/>
  <c r="I77" i="12"/>
  <c r="H87" i="9"/>
  <c r="I77" i="1"/>
  <c r="I77" i="7"/>
  <c r="G87" i="9"/>
  <c r="M125" i="8"/>
  <c r="M125" i="7"/>
  <c r="F88" i="9"/>
  <c r="F98" i="9"/>
  <c r="G88" i="9"/>
  <c r="G98" i="9"/>
  <c r="H88" i="9"/>
  <c r="H98" i="9"/>
  <c r="I88" i="9"/>
  <c r="I98" i="9"/>
  <c r="F99" i="9"/>
  <c r="G99" i="9"/>
  <c r="H99" i="9"/>
  <c r="I99" i="9"/>
  <c r="G100" i="9"/>
  <c r="H100" i="9"/>
  <c r="I100" i="9"/>
  <c r="F101" i="9"/>
  <c r="G101" i="9"/>
  <c r="H101" i="9"/>
  <c r="I101" i="9"/>
  <c r="F100" i="9"/>
  <c r="M124" i="1"/>
  <c r="M125" i="1"/>
  <c r="M128" i="1"/>
  <c r="M129" i="1"/>
  <c r="M130" i="1"/>
  <c r="M127" i="1"/>
  <c r="M126" i="1"/>
  <c r="M124" i="12"/>
  <c r="M125" i="12"/>
  <c r="M128" i="12"/>
  <c r="M129" i="12"/>
  <c r="M130" i="12"/>
  <c r="J72" i="8"/>
  <c r="J71" i="8"/>
  <c r="M127" i="12"/>
  <c r="M126" i="12"/>
  <c r="M127" i="7"/>
  <c r="M126" i="7"/>
  <c r="M127" i="8"/>
  <c r="M126" i="8"/>
  <c r="M131" i="8"/>
  <c r="M131" i="7"/>
  <c r="M131" i="1"/>
  <c r="M131" i="12"/>
</calcChain>
</file>

<file path=xl/comments1.xml><?xml version="1.0" encoding="utf-8"?>
<comments xmlns="http://schemas.openxmlformats.org/spreadsheetml/2006/main">
  <authors>
    <author>Mark Lawrence</author>
  </authors>
  <commentList>
    <comment ref="E30" authorId="0">
      <text>
        <r>
          <rPr>
            <sz val="8"/>
            <color indexed="81"/>
            <rFont val="Tahoma"/>
            <family val="2"/>
          </rPr>
          <t xml:space="preserve">This cell may be used to specify a problem of physical access to food markets. It is locked as it is rarely used.
</t>
        </r>
      </text>
    </comment>
  </commentList>
</comments>
</file>

<file path=xl/sharedStrings.xml><?xml version="1.0" encoding="utf-8"?>
<sst xmlns="http://schemas.openxmlformats.org/spreadsheetml/2006/main" count="790" uniqueCount="145">
  <si>
    <t>Spreadsheet prepared by The Food Economy Group, 2003</t>
  </si>
  <si>
    <t>BASELINE ACCESS</t>
  </si>
  <si>
    <t>PROBLEM SPECIFICATION</t>
  </si>
  <si>
    <t>RESPONSE</t>
  </si>
  <si>
    <t>SUMMARY</t>
  </si>
  <si>
    <t>Sources of Food : Poor HHs</t>
  </si>
  <si>
    <t>Graph Titles</t>
  </si>
  <si>
    <t>Baseline</t>
  </si>
  <si>
    <t>Expand</t>
  </si>
  <si>
    <t>Max.</t>
  </si>
  <si>
    <t>Problem</t>
  </si>
  <si>
    <t>Food Intake</t>
  </si>
  <si>
    <t>Con.prob</t>
  </si>
  <si>
    <t>Max.curr</t>
  </si>
  <si>
    <t>Curr.</t>
  </si>
  <si>
    <t>Initial</t>
  </si>
  <si>
    <t>Access</t>
  </si>
  <si>
    <t>-ability</t>
  </si>
  <si>
    <t>%norm</t>
  </si>
  <si>
    <t>Deficit</t>
  </si>
  <si>
    <t>Initial Deficit</t>
  </si>
  <si>
    <t>baseline:</t>
  </si>
  <si>
    <t>Response</t>
  </si>
  <si>
    <t>for analysis:</t>
  </si>
  <si>
    <t>total</t>
  </si>
  <si>
    <t>adj.fact =</t>
  </si>
  <si>
    <t>Income : Poor HHs</t>
  </si>
  <si>
    <t>% of baseline income</t>
  </si>
  <si>
    <t>Comm.</t>
  </si>
  <si>
    <t>Staple</t>
  </si>
  <si>
    <t>Cash</t>
  </si>
  <si>
    <t>Price</t>
  </si>
  <si>
    <t>total:</t>
  </si>
  <si>
    <t>Expenditure : Poor HHs</t>
  </si>
  <si>
    <t>% of baseline expenditure</t>
  </si>
  <si>
    <t>Expend</t>
  </si>
  <si>
    <t>exp. deficit</t>
  </si>
  <si>
    <t>Cost of staple</t>
  </si>
  <si>
    <t>name of staple</t>
  </si>
  <si>
    <t>kg pppd</t>
  </si>
  <si>
    <t>HH size</t>
  </si>
  <si>
    <t>cost per kg</t>
  </si>
  <si>
    <t>cost of staple</t>
  </si>
  <si>
    <t>Exchange rate ($1 = amount of local currency)</t>
  </si>
  <si>
    <t>%food equivalents</t>
  </si>
  <si>
    <t>,</t>
  </si>
  <si>
    <t>Sources of Food : Middle HHs</t>
  </si>
  <si>
    <t>Income : Middle HHs</t>
  </si>
  <si>
    <t>Expenditure : Middle HHs</t>
  </si>
  <si>
    <t>Sources of Food : Better-off HHs</t>
  </si>
  <si>
    <t>Income : Better-off HHs</t>
  </si>
  <si>
    <t>Expenditure : Better-off HHs</t>
  </si>
  <si>
    <t>Sources of Food : Very Poor HHs</t>
  </si>
  <si>
    <t>Income : Very Poor HHs</t>
  </si>
  <si>
    <t>Expenditure : Very Poor HHs</t>
  </si>
  <si>
    <t>other</t>
  </si>
  <si>
    <t>Purchase - staple</t>
  </si>
  <si>
    <t>food deficit</t>
  </si>
  <si>
    <t>MAX</t>
  </si>
  <si>
    <t>1st avail?</t>
  </si>
  <si>
    <t>VALUES</t>
  </si>
  <si>
    <t xml:space="preserve">(curr acc. </t>
  </si>
  <si>
    <t>× 4)</t>
  </si>
  <si>
    <t>Max.staple</t>
  </si>
  <si>
    <t>Staple Price fluctuation</t>
  </si>
  <si>
    <t>Average</t>
  </si>
  <si>
    <t>cost per kg each season</t>
  </si>
  <si>
    <t>Quarter</t>
  </si>
  <si>
    <t>Total Income Graph</t>
  </si>
  <si>
    <t>Summary</t>
  </si>
  <si>
    <t>Init Def</t>
  </si>
  <si>
    <t>Own crops Consumed</t>
  </si>
  <si>
    <t>Own crops sold</t>
  </si>
  <si>
    <t>Animal products consumed</t>
  </si>
  <si>
    <t>Animal products sold</t>
  </si>
  <si>
    <t>Animals sold</t>
  </si>
  <si>
    <t>Labour - casual</t>
  </si>
  <si>
    <t>Labour - formal emp</t>
  </si>
  <si>
    <t>Self - employment</t>
  </si>
  <si>
    <t>Food transfer - official</t>
  </si>
  <si>
    <t>Food transfer - gifts</t>
  </si>
  <si>
    <t>Cash transfer - official</t>
  </si>
  <si>
    <t>Cash transfer - gifts</t>
  </si>
  <si>
    <t>Other</t>
  </si>
  <si>
    <t>Survival deficit - % min cal</t>
  </si>
  <si>
    <t>Livelihoods Threshold</t>
  </si>
  <si>
    <t>Sur def-CASH</t>
  </si>
  <si>
    <t>Liv def-Cash</t>
  </si>
  <si>
    <t>Baseline: v poor</t>
  </si>
  <si>
    <t>Baseline: poor</t>
  </si>
  <si>
    <t>Baseline: middle</t>
  </si>
  <si>
    <t>Baseline: b-off</t>
  </si>
  <si>
    <t>Current: v poor</t>
  </si>
  <si>
    <t>Current: poor</t>
  </si>
  <si>
    <t>Current: Middle</t>
  </si>
  <si>
    <t>Current: b-off</t>
  </si>
  <si>
    <t>Poor</t>
  </si>
  <si>
    <t>Very Poor</t>
  </si>
  <si>
    <t>Middle</t>
  </si>
  <si>
    <t>Better-off</t>
  </si>
  <si>
    <t>TOTAL</t>
  </si>
  <si>
    <t>Survival Threshold</t>
  </si>
  <si>
    <t>ME Cash</t>
  </si>
  <si>
    <t>Carry over brought in</t>
  </si>
  <si>
    <t>Carry Out</t>
  </si>
  <si>
    <t>Apr-Jun</t>
  </si>
  <si>
    <t>Jul-Sep</t>
  </si>
  <si>
    <t>Oct-Dec</t>
  </si>
  <si>
    <t>Jan-Mar</t>
  </si>
  <si>
    <t>Q1</t>
  </si>
  <si>
    <t>Q2</t>
  </si>
  <si>
    <t>Q3</t>
  </si>
  <si>
    <t>Q4</t>
  </si>
  <si>
    <t>H1</t>
  </si>
  <si>
    <t>H2</t>
  </si>
  <si>
    <t>TOTAL INCOME</t>
  </si>
  <si>
    <t>Joining lines</t>
  </si>
  <si>
    <t>Gini coefficient = (Integral of 6th order polynomial from 0 to 1.00)/((0.5 * (max income - min income)) + min income)</t>
  </si>
  <si>
    <t>Denominator</t>
  </si>
  <si>
    <t>Gini coefficient =</t>
  </si>
  <si>
    <t>Numerator:</t>
  </si>
  <si>
    <t>National GC (02-03):</t>
  </si>
  <si>
    <t>Rural GC (02-03):</t>
  </si>
  <si>
    <t>min.non-staple+ess food contrib</t>
  </si>
  <si>
    <t>Wild foods consumed and sold</t>
  </si>
  <si>
    <t>Small business/petty trading</t>
  </si>
  <si>
    <r>
      <t xml:space="preserve">Labour - </t>
    </r>
    <r>
      <rPr>
        <i/>
        <sz val="10"/>
        <rFont val="Arial"/>
        <family val="2"/>
      </rPr>
      <t>Ipelegeng</t>
    </r>
  </si>
  <si>
    <t>Labour - public works</t>
  </si>
  <si>
    <r>
      <t>Labour - p</t>
    </r>
    <r>
      <rPr>
        <i/>
        <sz val="10"/>
        <rFont val="Arial"/>
        <family val="2"/>
      </rPr>
      <t>ublic works</t>
    </r>
  </si>
  <si>
    <r>
      <t>k</t>
    </r>
    <r>
      <rPr>
        <sz val="10"/>
        <rFont val="Arial"/>
        <family val="2"/>
      </rPr>
      <t>J</t>
    </r>
    <r>
      <rPr>
        <sz val="10"/>
        <rFont val="Arial"/>
        <family val="2"/>
      </rPr>
      <t>/day</t>
    </r>
  </si>
  <si>
    <t>cost of 8800 kJ for season</t>
  </si>
  <si>
    <t>fpl non-staple food</t>
  </si>
  <si>
    <t>lbpl</t>
  </si>
  <si>
    <t>ubpl</t>
  </si>
  <si>
    <t>resilience</t>
  </si>
  <si>
    <t>staple food</t>
  </si>
  <si>
    <t>cost of FPL (100% staple &amp; non-staple)</t>
  </si>
  <si>
    <t>Food Poverty line</t>
  </si>
  <si>
    <t>Lower Bound Poverty line</t>
  </si>
  <si>
    <t>Upper Bound Poverty line</t>
  </si>
  <si>
    <t>Resilience line</t>
  </si>
  <si>
    <t>FPL Deficit</t>
  </si>
  <si>
    <t>LBPL Deficit</t>
  </si>
  <si>
    <t>UBPL Deficit</t>
  </si>
  <si>
    <t>Resilience Deficit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</si>
</sst>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%"/>
    <numFmt numFmtId="165" formatCode="0.0"/>
    <numFmt numFmtId="166" formatCode="0.00%;[Red]&quot;Adjust!&quot;"/>
    <numFmt numFmtId="167" formatCode="[Red]0%;\(0%\)"/>
    <numFmt numFmtId="168" formatCode="[Red]0%;\(0%\);&quot;-&quot;"/>
    <numFmt numFmtId="169" formatCode="0.000"/>
    <numFmt numFmtId="170" formatCode="[Red]0.0%;\(0.0%\)"/>
    <numFmt numFmtId="171" formatCode="#,##0.000"/>
    <numFmt numFmtId="172" formatCode="0.0%;[Red]&quot;Adjust!&quot;"/>
    <numFmt numFmtId="173" formatCode="0%;[Red]\(0%\);&quot;-&quot;"/>
  </numFmts>
  <fonts count="31" x14ac:knownFonts="1">
    <font>
      <sz val="12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u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10"/>
      <color theme="4" tint="-0.249977111117893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0"/>
      <color theme="6"/>
      <name val="Arial"/>
      <family val="2"/>
    </font>
    <font>
      <sz val="14"/>
      <name val="Helvetica Light"/>
    </font>
    <font>
      <sz val="12"/>
      <name val="Helvetica Light"/>
    </font>
    <font>
      <sz val="18"/>
      <name val="Helvetica Light"/>
    </font>
  </fonts>
  <fills count="11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2"/>
        <bgColor indexed="8"/>
      </patternFill>
    </fill>
    <fill>
      <patternFill patternType="solid">
        <fgColor indexed="13"/>
        <bgColor indexed="24"/>
      </patternFill>
    </fill>
    <fill>
      <patternFill patternType="solid">
        <fgColor indexed="13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0"/>
      </top>
      <bottom style="double">
        <color indexed="0"/>
      </bottom>
      <diagonal/>
    </border>
    <border>
      <left/>
      <right/>
      <top/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/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0"/>
      </left>
      <right/>
      <top/>
      <bottom style="thin">
        <color indexed="0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56"/>
      </left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indexed="56"/>
      </right>
      <top style="thin">
        <color indexed="56"/>
      </top>
      <bottom style="medium">
        <color indexed="56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22">
    <xf numFmtId="0" fontId="0" fillId="0" borderId="0">
      <alignment vertical="top"/>
    </xf>
    <xf numFmtId="4" fontId="3" fillId="0" borderId="0" applyFont="0" applyFill="0" applyAlignment="0" applyProtection="0"/>
    <xf numFmtId="0" fontId="3" fillId="0" borderId="0" applyFont="0" applyFill="0" applyAlignment="0" applyProtection="0"/>
    <xf numFmtId="2" fontId="3" fillId="0" borderId="0" applyFont="0" applyFill="0" applyAlignment="0" applyProtection="0"/>
    <xf numFmtId="0" fontId="4" fillId="0" borderId="0" applyNumberFormat="0" applyFont="0" applyFill="0" applyAlignment="0" applyProtection="0"/>
    <xf numFmtId="0" fontId="5" fillId="0" borderId="0" applyNumberFormat="0" applyFont="0" applyFill="0" applyAlignment="0" applyProtection="0"/>
    <xf numFmtId="10" fontId="3" fillId="0" borderId="0" applyFont="0" applyFill="0" applyAlignment="0" applyProtection="0"/>
    <xf numFmtId="0" fontId="3" fillId="0" borderId="1" applyNumberFormat="0" applyFont="0" applyAlignment="0" applyProtection="0"/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</cellStyleXfs>
  <cellXfs count="270">
    <xf numFmtId="0" fontId="0" fillId="0" borderId="0" xfId="0" applyAlignment="1"/>
    <xf numFmtId="0" fontId="7" fillId="0" borderId="0" xfId="0" applyFont="1" applyBorder="1" applyProtection="1">
      <alignment vertical="top"/>
    </xf>
    <xf numFmtId="0" fontId="8" fillId="0" borderId="0" xfId="0" applyFont="1" applyBorder="1" applyAlignment="1" applyProtection="1"/>
    <xf numFmtId="0" fontId="9" fillId="0" borderId="0" xfId="0" applyFont="1" applyBorder="1" applyAlignment="1" applyProtection="1"/>
    <xf numFmtId="0" fontId="0" fillId="0" borderId="0" xfId="0" applyAlignment="1" applyProtection="1"/>
    <xf numFmtId="0" fontId="10" fillId="0" borderId="0" xfId="0" applyFont="1" applyBorder="1" applyAlignment="1" applyProtection="1"/>
    <xf numFmtId="0" fontId="2" fillId="0" borderId="0" xfId="0" applyFont="1" applyBorder="1" applyAlignment="1" applyProtection="1">
      <alignment horizontal="left"/>
    </xf>
    <xf numFmtId="0" fontId="11" fillId="0" borderId="2" xfId="0" applyFont="1" applyFill="1" applyBorder="1" applyAlignment="1" applyProtection="1"/>
    <xf numFmtId="0" fontId="7" fillId="0" borderId="0" xfId="0" applyFont="1" applyFill="1" applyProtection="1">
      <alignment vertical="top"/>
    </xf>
    <xf numFmtId="0" fontId="7" fillId="0" borderId="2" xfId="0" applyFont="1" applyFill="1" applyBorder="1" applyProtection="1">
      <alignment vertical="top"/>
    </xf>
    <xf numFmtId="0" fontId="8" fillId="0" borderId="3" xfId="0" applyFont="1" applyFill="1" applyBorder="1" applyAlignment="1" applyProtection="1"/>
    <xf numFmtId="0" fontId="8" fillId="0" borderId="2" xfId="0" applyFont="1" applyFill="1" applyBorder="1" applyAlignment="1" applyProtection="1"/>
    <xf numFmtId="0" fontId="0" fillId="0" borderId="3" xfId="0" applyFill="1" applyBorder="1" applyAlignment="1" applyProtection="1"/>
    <xf numFmtId="0" fontId="9" fillId="0" borderId="3" xfId="0" applyFont="1" applyFill="1" applyBorder="1" applyAlignment="1" applyProtection="1"/>
    <xf numFmtId="0" fontId="0" fillId="0" borderId="2" xfId="0" applyFill="1" applyBorder="1" applyAlignment="1" applyProtection="1"/>
    <xf numFmtId="9" fontId="6" fillId="0" borderId="0" xfId="0" applyNumberFormat="1" applyFont="1" applyBorder="1" applyProtection="1">
      <alignment vertical="top"/>
    </xf>
    <xf numFmtId="0" fontId="8" fillId="0" borderId="4" xfId="0" applyFont="1" applyFill="1" applyBorder="1" applyAlignment="1" applyProtection="1">
      <alignment horizontal="right"/>
    </xf>
    <xf numFmtId="0" fontId="0" fillId="0" borderId="4" xfId="0" applyFill="1" applyBorder="1" applyAlignment="1" applyProtection="1"/>
    <xf numFmtId="0" fontId="9" fillId="0" borderId="4" xfId="0" applyFont="1" applyFill="1" applyBorder="1" applyAlignment="1" applyProtection="1"/>
    <xf numFmtId="0" fontId="8" fillId="0" borderId="0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right"/>
    </xf>
    <xf numFmtId="9" fontId="8" fillId="0" borderId="0" xfId="0" applyNumberFormat="1" applyFont="1" applyBorder="1" applyAlignment="1" applyProtection="1"/>
    <xf numFmtId="9" fontId="8" fillId="0" borderId="0" xfId="0" applyNumberFormat="1" applyFont="1" applyBorder="1" applyAlignment="1" applyProtection="1">
      <alignment horizontal="right"/>
    </xf>
    <xf numFmtId="9" fontId="8" fillId="0" borderId="4" xfId="0" applyNumberFormat="1" applyFont="1" applyFill="1" applyBorder="1" applyAlignment="1" applyProtection="1"/>
    <xf numFmtId="9" fontId="0" fillId="0" borderId="0" xfId="0" applyNumberFormat="1" applyAlignment="1" applyProtection="1"/>
    <xf numFmtId="9" fontId="8" fillId="2" borderId="0" xfId="0" applyNumberFormat="1" applyFont="1" applyFill="1" applyBorder="1" applyAlignment="1" applyProtection="1">
      <protection locked="0"/>
    </xf>
    <xf numFmtId="1" fontId="8" fillId="0" borderId="5" xfId="0" applyNumberFormat="1" applyFont="1" applyFill="1" applyBorder="1" applyAlignment="1" applyProtection="1"/>
    <xf numFmtId="1" fontId="8" fillId="3" borderId="0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 applyProtection="1"/>
    <xf numFmtId="9" fontId="8" fillId="0" borderId="2" xfId="0" applyNumberFormat="1" applyFont="1" applyFill="1" applyBorder="1" applyAlignment="1" applyProtection="1">
      <alignment horizontal="right"/>
    </xf>
    <xf numFmtId="0" fontId="8" fillId="0" borderId="4" xfId="0" applyFont="1" applyFill="1" applyBorder="1" applyAlignment="1" applyProtection="1"/>
    <xf numFmtId="0" fontId="8" fillId="0" borderId="0" xfId="0" applyFont="1" applyFill="1" applyBorder="1" applyAlignment="1" applyProtection="1"/>
    <xf numFmtId="9" fontId="9" fillId="0" borderId="4" xfId="0" applyNumberFormat="1" applyFont="1" applyFill="1" applyBorder="1" applyAlignment="1" applyProtection="1"/>
    <xf numFmtId="0" fontId="8" fillId="0" borderId="6" xfId="0" applyFont="1" applyFill="1" applyBorder="1" applyAlignment="1" applyProtection="1"/>
    <xf numFmtId="0" fontId="8" fillId="0" borderId="7" xfId="0" applyFont="1" applyFill="1" applyBorder="1" applyAlignment="1" applyProtection="1"/>
    <xf numFmtId="0" fontId="8" fillId="0" borderId="8" xfId="0" applyFont="1" applyFill="1" applyBorder="1" applyAlignment="1" applyProtection="1"/>
    <xf numFmtId="0" fontId="8" fillId="0" borderId="9" xfId="0" applyFont="1" applyFill="1" applyBorder="1" applyAlignment="1" applyProtection="1">
      <alignment horizontal="right"/>
    </xf>
    <xf numFmtId="3" fontId="8" fillId="0" borderId="4" xfId="0" applyNumberFormat="1" applyFont="1" applyFill="1" applyBorder="1" applyAlignment="1" applyProtection="1"/>
    <xf numFmtId="3" fontId="8" fillId="0" borderId="0" xfId="0" applyNumberFormat="1" applyFont="1" applyBorder="1" applyAlignment="1" applyProtection="1"/>
    <xf numFmtId="9" fontId="8" fillId="0" borderId="9" xfId="0" applyNumberFormat="1" applyFont="1" applyFill="1" applyBorder="1" applyAlignment="1" applyProtection="1"/>
    <xf numFmtId="3" fontId="7" fillId="0" borderId="0" xfId="0" applyNumberFormat="1" applyFont="1" applyBorder="1" applyAlignment="1" applyProtection="1"/>
    <xf numFmtId="3" fontId="8" fillId="0" borderId="10" xfId="0" applyNumberFormat="1" applyFont="1" applyBorder="1" applyAlignment="1" applyProtection="1"/>
    <xf numFmtId="3" fontId="7" fillId="0" borderId="2" xfId="0" applyNumberFormat="1" applyFont="1" applyFill="1" applyBorder="1" applyProtection="1">
      <alignment vertical="top"/>
    </xf>
    <xf numFmtId="3" fontId="8" fillId="0" borderId="3" xfId="0" applyNumberFormat="1" applyFont="1" applyFill="1" applyBorder="1" applyAlignment="1" applyProtection="1"/>
    <xf numFmtId="0" fontId="8" fillId="0" borderId="11" xfId="0" applyFont="1" applyFill="1" applyBorder="1" applyAlignment="1" applyProtection="1"/>
    <xf numFmtId="3" fontId="7" fillId="0" borderId="0" xfId="0" applyNumberFormat="1" applyFont="1" applyBorder="1" applyProtection="1">
      <alignment vertical="top"/>
    </xf>
    <xf numFmtId="2" fontId="8" fillId="0" borderId="0" xfId="0" applyNumberFormat="1" applyFont="1" applyFill="1" applyBorder="1" applyAlignment="1" applyProtection="1"/>
    <xf numFmtId="2" fontId="8" fillId="0" borderId="4" xfId="0" applyNumberFormat="1" applyFont="1" applyFill="1" applyBorder="1" applyAlignment="1" applyProtection="1"/>
    <xf numFmtId="3" fontId="7" fillId="0" borderId="0" xfId="0" applyNumberFormat="1" applyFont="1" applyProtection="1">
      <alignment vertical="top"/>
    </xf>
    <xf numFmtId="3" fontId="8" fillId="0" borderId="4" xfId="0" applyNumberFormat="1" applyFont="1" applyFill="1" applyBorder="1" applyAlignment="1" applyProtection="1">
      <alignment horizontal="right"/>
    </xf>
    <xf numFmtId="3" fontId="8" fillId="0" borderId="10" xfId="0" applyNumberFormat="1" applyFont="1" applyFill="1" applyBorder="1" applyAlignment="1" applyProtection="1"/>
    <xf numFmtId="3" fontId="7" fillId="0" borderId="0" xfId="0" applyNumberFormat="1" applyFont="1" applyFill="1" applyBorder="1" applyProtection="1">
      <alignment vertical="top"/>
    </xf>
    <xf numFmtId="3" fontId="12" fillId="0" borderId="0" xfId="0" applyNumberFormat="1" applyFont="1" applyBorder="1" applyProtection="1">
      <alignment vertical="top"/>
    </xf>
    <xf numFmtId="0" fontId="7" fillId="0" borderId="2" xfId="0" applyFont="1" applyFill="1" applyBorder="1" applyAlignment="1" applyProtection="1"/>
    <xf numFmtId="9" fontId="6" fillId="0" borderId="0" xfId="0" applyNumberFormat="1" applyFont="1" applyBorder="1" applyAlignment="1" applyProtection="1"/>
    <xf numFmtId="0" fontId="7" fillId="0" borderId="0" xfId="0" applyFont="1" applyBorder="1" applyAlignment="1" applyProtection="1"/>
    <xf numFmtId="9" fontId="8" fillId="0" borderId="10" xfId="0" applyNumberFormat="1" applyFont="1" applyBorder="1" applyAlignment="1" applyProtection="1">
      <alignment horizontal="right"/>
    </xf>
    <xf numFmtId="0" fontId="0" fillId="0" borderId="12" xfId="0" applyBorder="1" applyAlignment="1" applyProtection="1"/>
    <xf numFmtId="0" fontId="7" fillId="0" borderId="0" xfId="0" applyFont="1" applyBorder="1" applyAlignment="1" applyProtection="1">
      <alignment horizontal="right"/>
    </xf>
    <xf numFmtId="9" fontId="7" fillId="0" borderId="0" xfId="0" applyNumberFormat="1" applyFont="1" applyFill="1" applyBorder="1" applyAlignment="1" applyProtection="1"/>
    <xf numFmtId="0" fontId="7" fillId="0" borderId="13" xfId="0" applyFont="1" applyFill="1" applyBorder="1" applyAlignment="1" applyProtection="1"/>
    <xf numFmtId="9" fontId="8" fillId="0" borderId="3" xfId="0" applyNumberFormat="1" applyFont="1" applyFill="1" applyBorder="1" applyAlignment="1" applyProtection="1"/>
    <xf numFmtId="9" fontId="8" fillId="0" borderId="14" xfId="0" applyNumberFormat="1" applyFont="1" applyFill="1" applyBorder="1" applyAlignment="1" applyProtection="1">
      <alignment horizontal="right"/>
    </xf>
    <xf numFmtId="0" fontId="7" fillId="0" borderId="0" xfId="0" applyFont="1" applyFill="1" applyBorder="1" applyAlignment="1" applyProtection="1"/>
    <xf numFmtId="9" fontId="7" fillId="0" borderId="0" xfId="0" applyNumberFormat="1" applyFont="1" applyAlignment="1" applyProtection="1"/>
    <xf numFmtId="0" fontId="0" fillId="0" borderId="14" xfId="0" applyFill="1" applyBorder="1" applyAlignment="1" applyProtection="1"/>
    <xf numFmtId="0" fontId="7" fillId="0" borderId="0" xfId="0" applyFont="1" applyAlignment="1" applyProtection="1"/>
    <xf numFmtId="2" fontId="8" fillId="0" borderId="0" xfId="0" applyNumberFormat="1" applyFont="1" applyBorder="1" applyAlignment="1" applyProtection="1"/>
    <xf numFmtId="1" fontId="8" fillId="0" borderId="0" xfId="0" applyNumberFormat="1" applyFont="1" applyBorder="1" applyAlignment="1" applyProtection="1"/>
    <xf numFmtId="0" fontId="13" fillId="0" borderId="0" xfId="0" applyFont="1" applyBorder="1" applyAlignment="1" applyProtection="1"/>
    <xf numFmtId="1" fontId="0" fillId="0" borderId="0" xfId="0" applyNumberFormat="1" applyAlignment="1" applyProtection="1"/>
    <xf numFmtId="2" fontId="0" fillId="0" borderId="0" xfId="0" applyNumberFormat="1" applyAlignment="1" applyProtection="1"/>
    <xf numFmtId="9" fontId="5" fillId="0" borderId="0" xfId="0" applyNumberFormat="1" applyFont="1" applyBorder="1" applyAlignment="1" applyProtection="1"/>
    <xf numFmtId="0" fontId="7" fillId="0" borderId="15" xfId="0" applyNumberFormat="1" applyFont="1" applyBorder="1" applyProtection="1">
      <alignment vertical="top"/>
    </xf>
    <xf numFmtId="9" fontId="8" fillId="0" borderId="0" xfId="0" applyNumberFormat="1" applyFont="1" applyFill="1" applyBorder="1" applyAlignment="1" applyProtection="1"/>
    <xf numFmtId="1" fontId="8" fillId="0" borderId="0" xfId="0" applyNumberFormat="1" applyFont="1" applyFill="1" applyBorder="1" applyAlignment="1" applyProtection="1"/>
    <xf numFmtId="9" fontId="7" fillId="0" borderId="0" xfId="0" applyNumberFormat="1" applyFont="1" applyBorder="1" applyProtection="1">
      <alignment vertical="top"/>
    </xf>
    <xf numFmtId="3" fontId="8" fillId="0" borderId="2" xfId="0" applyNumberFormat="1" applyFont="1" applyFill="1" applyBorder="1" applyAlignment="1" applyProtection="1"/>
    <xf numFmtId="3" fontId="0" fillId="0" borderId="0" xfId="0" applyNumberFormat="1" applyAlignment="1" applyProtection="1"/>
    <xf numFmtId="3" fontId="8" fillId="0" borderId="0" xfId="0" applyNumberFormat="1" applyFont="1" applyBorder="1" applyAlignment="1" applyProtection="1">
      <alignment horizontal="right"/>
    </xf>
    <xf numFmtId="3" fontId="8" fillId="0" borderId="0" xfId="0" applyNumberFormat="1" applyFont="1" applyFill="1" applyBorder="1" applyAlignment="1" applyProtection="1"/>
    <xf numFmtId="3" fontId="12" fillId="0" borderId="0" xfId="0" applyNumberFormat="1" applyFont="1" applyBorder="1" applyAlignment="1" applyProtection="1"/>
    <xf numFmtId="0" fontId="8" fillId="0" borderId="13" xfId="0" applyFont="1" applyFill="1" applyBorder="1" applyAlignment="1" applyProtection="1"/>
    <xf numFmtId="0" fontId="0" fillId="0" borderId="0" xfId="0" applyBorder="1" applyAlignment="1" applyProtection="1"/>
    <xf numFmtId="0" fontId="7" fillId="0" borderId="15" xfId="0" applyNumberFormat="1" applyFont="1" applyBorder="1" applyAlignment="1" applyProtection="1"/>
    <xf numFmtId="0" fontId="7" fillId="0" borderId="0" xfId="0" applyNumberFormat="1" applyFont="1" applyBorder="1" applyProtection="1">
      <alignment vertical="top"/>
    </xf>
    <xf numFmtId="0" fontId="0" fillId="0" borderId="16" xfId="0" applyBorder="1" applyAlignment="1"/>
    <xf numFmtId="0" fontId="0" fillId="0" borderId="17" xfId="0" applyBorder="1" applyAlignment="1"/>
    <xf numFmtId="9" fontId="14" fillId="0" borderId="16" xfId="0" applyNumberFormat="1" applyFont="1" applyBorder="1" applyAlignment="1">
      <alignment horizontal="center"/>
    </xf>
    <xf numFmtId="0" fontId="16" fillId="0" borderId="16" xfId="0" applyFont="1" applyBorder="1" applyAlignment="1"/>
    <xf numFmtId="9" fontId="14" fillId="0" borderId="16" xfId="0" applyNumberFormat="1" applyFont="1" applyBorder="1" applyAlignment="1">
      <alignment horizontal="left"/>
    </xf>
    <xf numFmtId="0" fontId="16" fillId="0" borderId="0" xfId="0" applyFont="1" applyAlignment="1"/>
    <xf numFmtId="9" fontId="7" fillId="0" borderId="18" xfId="0" applyNumberFormat="1" applyFont="1" applyBorder="1" applyAlignment="1" applyProtection="1"/>
    <xf numFmtId="9" fontId="7" fillId="4" borderId="0" xfId="0" applyNumberFormat="1" applyFont="1" applyFill="1" applyBorder="1" applyAlignment="1" applyProtection="1"/>
    <xf numFmtId="0" fontId="17" fillId="0" borderId="0" xfId="0" applyFont="1" applyAlignment="1" applyProtection="1"/>
    <xf numFmtId="9" fontId="7" fillId="0" borderId="4" xfId="0" applyNumberFormat="1" applyFont="1" applyFill="1" applyBorder="1" applyAlignment="1" applyProtection="1"/>
    <xf numFmtId="2" fontId="18" fillId="0" borderId="2" xfId="0" applyNumberFormat="1" applyFont="1" applyFill="1" applyBorder="1" applyAlignment="1" applyProtection="1"/>
    <xf numFmtId="2" fontId="18" fillId="0" borderId="3" xfId="0" applyNumberFormat="1" applyFont="1" applyFill="1" applyBorder="1" applyAlignment="1" applyProtection="1"/>
    <xf numFmtId="0" fontId="7" fillId="4" borderId="0" xfId="0" applyFont="1" applyFill="1" applyBorder="1" applyProtection="1">
      <alignment vertical="top"/>
    </xf>
    <xf numFmtId="3" fontId="8" fillId="5" borderId="10" xfId="0" applyNumberFormat="1" applyFont="1" applyFill="1" applyBorder="1" applyAlignment="1" applyProtection="1"/>
    <xf numFmtId="9" fontId="7" fillId="0" borderId="19" xfId="0" applyNumberFormat="1" applyFont="1" applyFill="1" applyBorder="1" applyAlignment="1" applyProtection="1"/>
    <xf numFmtId="9" fontId="7" fillId="0" borderId="5" xfId="0" applyNumberFormat="1" applyFont="1" applyFill="1" applyBorder="1" applyAlignment="1" applyProtection="1"/>
    <xf numFmtId="9" fontId="7" fillId="0" borderId="0" xfId="0" applyNumberFormat="1" applyFont="1" applyProtection="1">
      <alignment vertical="top"/>
    </xf>
    <xf numFmtId="3" fontId="8" fillId="0" borderId="15" xfId="0" applyNumberFormat="1" applyFont="1" applyBorder="1" applyAlignment="1" applyProtection="1"/>
    <xf numFmtId="2" fontId="7" fillId="0" borderId="15" xfId="0" applyNumberFormat="1" applyFont="1" applyFill="1" applyBorder="1" applyAlignment="1" applyProtection="1">
      <alignment horizontal="right"/>
    </xf>
    <xf numFmtId="9" fontId="7" fillId="0" borderId="5" xfId="0" applyNumberFormat="1" applyFont="1" applyFill="1" applyBorder="1" applyProtection="1">
      <alignment vertical="top"/>
    </xf>
    <xf numFmtId="2" fontId="8" fillId="0" borderId="15" xfId="0" applyNumberFormat="1" applyFont="1" applyBorder="1" applyAlignment="1" applyProtection="1"/>
    <xf numFmtId="9" fontId="0" fillId="0" borderId="0" xfId="0" applyNumberFormat="1" applyAlignment="1"/>
    <xf numFmtId="3" fontId="0" fillId="0" borderId="0" xfId="0" applyNumberFormat="1" applyAlignment="1"/>
    <xf numFmtId="0" fontId="7" fillId="0" borderId="0" xfId="0" applyFont="1" applyAlignment="1"/>
    <xf numFmtId="3" fontId="7" fillId="0" borderId="20" xfId="1" applyNumberFormat="1" applyFont="1" applyBorder="1"/>
    <xf numFmtId="3" fontId="7" fillId="0" borderId="0" xfId="0" applyNumberFormat="1" applyFont="1" applyAlignment="1"/>
    <xf numFmtId="1" fontId="7" fillId="0" borderId="21" xfId="0" applyNumberFormat="1" applyFont="1" applyBorder="1" applyAlignment="1"/>
    <xf numFmtId="0" fontId="7" fillId="0" borderId="22" xfId="0" applyFont="1" applyBorder="1" applyAlignment="1"/>
    <xf numFmtId="9" fontId="7" fillId="0" borderId="0" xfId="0" applyNumberFormat="1" applyFont="1" applyAlignment="1"/>
    <xf numFmtId="10" fontId="7" fillId="6" borderId="12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/>
    <xf numFmtId="0" fontId="7" fillId="0" borderId="23" xfId="0" applyFont="1" applyBorder="1" applyAlignment="1"/>
    <xf numFmtId="9" fontId="7" fillId="0" borderId="10" xfId="0" applyNumberFormat="1" applyFont="1" applyBorder="1" applyAlignment="1"/>
    <xf numFmtId="9" fontId="7" fillId="0" borderId="12" xfId="0" applyNumberFormat="1" applyFont="1" applyBorder="1" applyAlignment="1"/>
    <xf numFmtId="164" fontId="7" fillId="0" borderId="10" xfId="0" applyNumberFormat="1" applyFont="1" applyBorder="1" applyAlignment="1"/>
    <xf numFmtId="166" fontId="7" fillId="0" borderId="12" xfId="0" applyNumberFormat="1" applyFont="1" applyFill="1" applyBorder="1" applyAlignment="1" applyProtection="1"/>
    <xf numFmtId="10" fontId="7" fillId="0" borderId="0" xfId="0" applyNumberFormat="1" applyFont="1" applyBorder="1" applyAlignment="1"/>
    <xf numFmtId="0" fontId="7" fillId="7" borderId="23" xfId="0" applyFont="1" applyFill="1" applyBorder="1" applyAlignment="1" applyProtection="1">
      <protection locked="0"/>
    </xf>
    <xf numFmtId="10" fontId="7" fillId="0" borderId="12" xfId="6" applyNumberFormat="1" applyFont="1" applyFill="1" applyBorder="1" applyProtection="1"/>
    <xf numFmtId="0" fontId="7" fillId="0" borderId="0" xfId="0" applyFont="1" applyFill="1" applyBorder="1" applyAlignment="1" applyProtection="1">
      <alignment horizontal="right"/>
    </xf>
    <xf numFmtId="10" fontId="7" fillId="0" borderId="0" xfId="0" applyNumberFormat="1" applyFont="1" applyAlignment="1"/>
    <xf numFmtId="166" fontId="7" fillId="0" borderId="0" xfId="0" applyNumberFormat="1" applyFont="1" applyBorder="1" applyAlignment="1"/>
    <xf numFmtId="0" fontId="23" fillId="0" borderId="0" xfId="0" applyFont="1" applyAlignment="1">
      <alignment horizontal="right"/>
    </xf>
    <xf numFmtId="167" fontId="7" fillId="0" borderId="23" xfId="0" applyNumberFormat="1" applyFont="1" applyBorder="1" applyAlignment="1"/>
    <xf numFmtId="10" fontId="7" fillId="0" borderId="13" xfId="0" applyNumberFormat="1" applyFont="1" applyBorder="1" applyAlignment="1"/>
    <xf numFmtId="164" fontId="7" fillId="0" borderId="20" xfId="0" applyNumberFormat="1" applyFont="1" applyBorder="1" applyAlignment="1"/>
    <xf numFmtId="164" fontId="7" fillId="0" borderId="20" xfId="0" applyNumberFormat="1" applyFont="1" applyBorder="1" applyAlignment="1" applyProtection="1"/>
    <xf numFmtId="10" fontId="7" fillId="0" borderId="24" xfId="0" applyNumberFormat="1" applyFont="1" applyBorder="1" applyAlignment="1"/>
    <xf numFmtId="168" fontId="7" fillId="0" borderId="24" xfId="0" applyNumberFormat="1" applyFont="1" applyBorder="1" applyAlignment="1"/>
    <xf numFmtId="168" fontId="7" fillId="0" borderId="25" xfId="0" applyNumberFormat="1" applyFont="1" applyBorder="1" applyAlignment="1"/>
    <xf numFmtId="10" fontId="7" fillId="0" borderId="26" xfId="0" applyNumberFormat="1" applyFont="1" applyBorder="1" applyAlignment="1"/>
    <xf numFmtId="164" fontId="7" fillId="0" borderId="25" xfId="0" applyNumberFormat="1" applyFont="1" applyBorder="1" applyAlignment="1"/>
    <xf numFmtId="164" fontId="7" fillId="0" borderId="27" xfId="0" applyNumberFormat="1" applyFont="1" applyBorder="1" applyAlignment="1"/>
    <xf numFmtId="9" fontId="7" fillId="0" borderId="24" xfId="0" applyNumberFormat="1" applyFont="1" applyBorder="1" applyAlignment="1"/>
    <xf numFmtId="9" fontId="7" fillId="0" borderId="27" xfId="0" applyNumberFormat="1" applyFont="1" applyBorder="1" applyAlignment="1"/>
    <xf numFmtId="9" fontId="7" fillId="0" borderId="0" xfId="0" applyNumberFormat="1" applyFont="1" applyBorder="1" applyAlignment="1" applyProtection="1">
      <alignment horizontal="right"/>
    </xf>
    <xf numFmtId="0" fontId="7" fillId="0" borderId="28" xfId="0" applyFont="1" applyBorder="1" applyAlignment="1"/>
    <xf numFmtId="0" fontId="7" fillId="0" borderId="18" xfId="0" applyFont="1" applyBorder="1" applyAlignment="1"/>
    <xf numFmtId="0" fontId="7" fillId="0" borderId="12" xfId="0" applyFont="1" applyBorder="1" applyAlignment="1"/>
    <xf numFmtId="0" fontId="7" fillId="0" borderId="10" xfId="0" applyFont="1" applyBorder="1" applyAlignment="1"/>
    <xf numFmtId="3" fontId="7" fillId="0" borderId="10" xfId="0" applyNumberFormat="1" applyFont="1" applyBorder="1" applyAlignment="1"/>
    <xf numFmtId="3" fontId="7" fillId="0" borderId="12" xfId="0" applyNumberFormat="1" applyFont="1" applyBorder="1" applyAlignment="1"/>
    <xf numFmtId="3" fontId="7" fillId="0" borderId="25" xfId="0" applyNumberFormat="1" applyFont="1" applyBorder="1" applyAlignment="1"/>
    <xf numFmtId="166" fontId="7" fillId="0" borderId="24" xfId="0" applyNumberFormat="1" applyFont="1" applyFill="1" applyBorder="1" applyAlignment="1" applyProtection="1"/>
    <xf numFmtId="3" fontId="7" fillId="0" borderId="24" xfId="0" applyNumberFormat="1" applyFont="1" applyBorder="1" applyAlignment="1"/>
    <xf numFmtId="3" fontId="7" fillId="0" borderId="23" xfId="0" applyNumberFormat="1" applyFont="1" applyBorder="1" applyAlignment="1"/>
    <xf numFmtId="3" fontId="7" fillId="0" borderId="27" xfId="0" applyNumberFormat="1" applyFont="1" applyBorder="1" applyAlignment="1"/>
    <xf numFmtId="3" fontId="7" fillId="0" borderId="18" xfId="0" applyNumberFormat="1" applyFont="1" applyBorder="1" applyAlignment="1"/>
    <xf numFmtId="10" fontId="7" fillId="0" borderId="12" xfId="0" applyNumberFormat="1" applyFont="1" applyBorder="1" applyAlignment="1"/>
    <xf numFmtId="10" fontId="7" fillId="0" borderId="12" xfId="0" applyNumberFormat="1" applyFont="1" applyFill="1" applyBorder="1" applyAlignment="1" applyProtection="1"/>
    <xf numFmtId="0" fontId="7" fillId="0" borderId="29" xfId="0" applyFont="1" applyBorder="1" applyAlignment="1"/>
    <xf numFmtId="10" fontId="7" fillId="0" borderId="24" xfId="0" applyNumberFormat="1" applyFont="1" applyFill="1" applyBorder="1" applyAlignment="1" applyProtection="1"/>
    <xf numFmtId="0" fontId="7" fillId="0" borderId="30" xfId="0" applyFont="1" applyBorder="1" applyAlignment="1"/>
    <xf numFmtId="3" fontId="7" fillId="0" borderId="15" xfId="0" applyNumberFormat="1" applyFont="1" applyBorder="1" applyAlignment="1"/>
    <xf numFmtId="0" fontId="7" fillId="0" borderId="0" xfId="0" applyFont="1" applyAlignment="1">
      <alignment horizontal="right"/>
    </xf>
    <xf numFmtId="166" fontId="7" fillId="0" borderId="26" xfId="0" applyNumberFormat="1" applyFont="1" applyFill="1" applyBorder="1" applyAlignment="1" applyProtection="1"/>
    <xf numFmtId="4" fontId="7" fillId="6" borderId="27" xfId="1" applyNumberFormat="1" applyFont="1" applyFill="1" applyBorder="1" applyProtection="1">
      <protection locked="0"/>
    </xf>
    <xf numFmtId="4" fontId="7" fillId="0" borderId="25" xfId="1" applyNumberFormat="1" applyFont="1" applyBorder="1"/>
    <xf numFmtId="3" fontId="7" fillId="0" borderId="0" xfId="1" applyNumberFormat="1" applyFont="1"/>
    <xf numFmtId="0" fontId="23" fillId="0" borderId="22" xfId="0" applyFont="1" applyBorder="1" applyAlignment="1" applyProtection="1"/>
    <xf numFmtId="1" fontId="7" fillId="0" borderId="20" xfId="0" applyNumberFormat="1" applyFont="1" applyBorder="1" applyAlignment="1" applyProtection="1"/>
    <xf numFmtId="0" fontId="24" fillId="0" borderId="31" xfId="0" applyFont="1" applyBorder="1" applyAlignment="1" applyProtection="1"/>
    <xf numFmtId="1" fontId="7" fillId="0" borderId="21" xfId="0" applyNumberFormat="1" applyFont="1" applyBorder="1" applyAlignment="1" applyProtection="1"/>
    <xf numFmtId="0" fontId="17" fillId="0" borderId="0" xfId="0" applyFont="1" applyAlignment="1"/>
    <xf numFmtId="0" fontId="9" fillId="0" borderId="0" xfId="0" applyFont="1" applyBorder="1" applyAlignment="1" applyProtection="1">
      <alignment horizontal="right"/>
    </xf>
    <xf numFmtId="164" fontId="0" fillId="0" borderId="0" xfId="6" applyNumberFormat="1" applyFont="1" applyAlignment="1" applyProtection="1"/>
    <xf numFmtId="164" fontId="8" fillId="0" borderId="0" xfId="0" applyNumberFormat="1" applyFont="1" applyBorder="1" applyAlignment="1" applyProtection="1"/>
    <xf numFmtId="164" fontId="0" fillId="0" borderId="0" xfId="0" applyNumberFormat="1" applyAlignment="1" applyProtection="1"/>
    <xf numFmtId="164" fontId="8" fillId="0" borderId="0" xfId="0" applyNumberFormat="1" applyFont="1" applyBorder="1" applyAlignment="1" applyProtection="1">
      <alignment horizontal="right"/>
    </xf>
    <xf numFmtId="10" fontId="8" fillId="0" borderId="0" xfId="0" applyNumberFormat="1" applyFont="1" applyBorder="1" applyAlignment="1" applyProtection="1"/>
    <xf numFmtId="164" fontId="8" fillId="8" borderId="0" xfId="0" applyNumberFormat="1" applyFont="1" applyFill="1" applyBorder="1" applyAlignment="1" applyProtection="1">
      <alignment horizontal="right"/>
    </xf>
    <xf numFmtId="164" fontId="8" fillId="0" borderId="33" xfId="0" applyNumberFormat="1" applyFont="1" applyBorder="1" applyAlignment="1" applyProtection="1">
      <alignment horizontal="right"/>
    </xf>
    <xf numFmtId="3" fontId="9" fillId="0" borderId="32" xfId="0" applyNumberFormat="1" applyFont="1" applyBorder="1" applyAlignment="1" applyProtection="1"/>
    <xf numFmtId="10" fontId="7" fillId="9" borderId="12" xfId="0" applyNumberFormat="1" applyFont="1" applyFill="1" applyBorder="1" applyAlignment="1" applyProtection="1"/>
    <xf numFmtId="9" fontId="7" fillId="9" borderId="18" xfId="0" applyNumberFormat="1" applyFont="1" applyFill="1" applyBorder="1" applyAlignment="1" applyProtection="1"/>
    <xf numFmtId="170" fontId="7" fillId="0" borderId="0" xfId="0" applyNumberFormat="1" applyFont="1" applyBorder="1" applyAlignment="1"/>
    <xf numFmtId="164" fontId="7" fillId="0" borderId="0" xfId="0" applyNumberFormat="1" applyFont="1" applyAlignment="1"/>
    <xf numFmtId="164" fontId="7" fillId="0" borderId="0" xfId="0" applyNumberFormat="1" applyFont="1" applyBorder="1" applyAlignment="1" applyProtection="1"/>
    <xf numFmtId="171" fontId="8" fillId="0" borderId="0" xfId="0" applyNumberFormat="1" applyFont="1" applyBorder="1" applyAlignment="1" applyProtection="1"/>
    <xf numFmtId="171" fontId="0" fillId="0" borderId="0" xfId="0" applyNumberFormat="1" applyAlignment="1" applyProtection="1"/>
    <xf numFmtId="172" fontId="7" fillId="0" borderId="10" xfId="0" applyNumberFormat="1" applyFont="1" applyBorder="1" applyAlignment="1"/>
    <xf numFmtId="3" fontId="7" fillId="0" borderId="0" xfId="0" applyNumberFormat="1" applyFont="1" applyBorder="1" applyAlignment="1"/>
    <xf numFmtId="0" fontId="7" fillId="0" borderId="15" xfId="0" applyFont="1" applyBorder="1" applyAlignment="1"/>
    <xf numFmtId="1" fontId="7" fillId="0" borderId="10" xfId="0" applyNumberFormat="1" applyFont="1" applyBorder="1" applyAlignment="1"/>
    <xf numFmtId="1" fontId="7" fillId="0" borderId="27" xfId="0" applyNumberFormat="1" applyFont="1" applyBorder="1" applyAlignment="1"/>
    <xf numFmtId="1" fontId="7" fillId="0" borderId="15" xfId="0" applyNumberFormat="1" applyFont="1" applyBorder="1" applyAlignment="1"/>
    <xf numFmtId="4" fontId="7" fillId="0" borderId="27" xfId="1" applyNumberFormat="1" applyFont="1" applyFill="1" applyBorder="1" applyProtection="1"/>
    <xf numFmtId="1" fontId="7" fillId="0" borderId="23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9" fontId="7" fillId="9" borderId="18" xfId="0" applyNumberFormat="1" applyFont="1" applyFill="1" applyBorder="1" applyAlignment="1" applyProtection="1">
      <alignment horizontal="center"/>
    </xf>
    <xf numFmtId="9" fontId="7" fillId="0" borderId="24" xfId="0" applyNumberFormat="1" applyFont="1" applyBorder="1" applyAlignment="1">
      <alignment horizontal="center"/>
    </xf>
    <xf numFmtId="9" fontId="7" fillId="0" borderId="25" xfId="0" applyNumberFormat="1" applyFont="1" applyBorder="1" applyAlignment="1">
      <alignment horizontal="center"/>
    </xf>
    <xf numFmtId="9" fontId="7" fillId="0" borderId="28" xfId="0" applyNumberFormat="1" applyFont="1" applyBorder="1" applyAlignment="1">
      <alignment horizontal="center"/>
    </xf>
    <xf numFmtId="9" fontId="7" fillId="0" borderId="18" xfId="0" applyNumberFormat="1" applyFont="1" applyBorder="1" applyAlignment="1">
      <alignment horizontal="center"/>
    </xf>
    <xf numFmtId="0" fontId="20" fillId="0" borderId="0" xfId="0" applyFont="1" applyAlignment="1"/>
    <xf numFmtId="9" fontId="20" fillId="0" borderId="0" xfId="6" applyNumberFormat="1" applyFont="1" applyAlignment="1"/>
    <xf numFmtId="3" fontId="20" fillId="0" borderId="0" xfId="0" applyNumberFormat="1" applyFont="1" applyAlignment="1"/>
    <xf numFmtId="1" fontId="20" fillId="0" borderId="0" xfId="0" applyNumberFormat="1" applyFont="1" applyAlignment="1"/>
    <xf numFmtId="1" fontId="20" fillId="0" borderId="0" xfId="6" applyNumberFormat="1" applyFont="1" applyAlignment="1"/>
    <xf numFmtId="165" fontId="20" fillId="0" borderId="0" xfId="0" applyNumberFormat="1" applyFont="1" applyAlignment="1"/>
    <xf numFmtId="9" fontId="20" fillId="0" borderId="0" xfId="0" applyNumberFormat="1" applyFont="1" applyAlignment="1"/>
    <xf numFmtId="165" fontId="20" fillId="0" borderId="0" xfId="6" applyNumberFormat="1" applyFont="1" applyAlignment="1"/>
    <xf numFmtId="164" fontId="20" fillId="0" borderId="0" xfId="6" applyNumberFormat="1" applyFont="1" applyAlignment="1"/>
    <xf numFmtId="2" fontId="20" fillId="0" borderId="0" xfId="0" applyNumberFormat="1" applyFont="1" applyAlignment="1"/>
    <xf numFmtId="0" fontId="20" fillId="0" borderId="0" xfId="0" applyFont="1" applyAlignment="1">
      <alignment textRotation="90"/>
    </xf>
    <xf numFmtId="169" fontId="20" fillId="0" borderId="0" xfId="0" applyNumberFormat="1" applyFont="1" applyAlignment="1"/>
    <xf numFmtId="0" fontId="20" fillId="10" borderId="0" xfId="0" applyFont="1" applyFill="1" applyAlignment="1">
      <alignment horizontal="right"/>
    </xf>
    <xf numFmtId="165" fontId="21" fillId="10" borderId="0" xfId="0" applyNumberFormat="1" applyFont="1" applyFill="1" applyAlignment="1"/>
    <xf numFmtId="9" fontId="7" fillId="0" borderId="15" xfId="0" applyNumberFormat="1" applyFont="1" applyBorder="1" applyAlignment="1" applyProtection="1"/>
    <xf numFmtId="3" fontId="7" fillId="0" borderId="15" xfId="1" applyNumberFormat="1" applyFont="1" applyBorder="1" applyAlignment="1" applyProtection="1"/>
    <xf numFmtId="0" fontId="20" fillId="0" borderId="0" xfId="0" applyFont="1" applyAlignment="1">
      <alignment horizontal="right"/>
    </xf>
    <xf numFmtId="10" fontId="8" fillId="0" borderId="0" xfId="6" applyFont="1" applyAlignment="1" applyProtection="1"/>
    <xf numFmtId="10" fontId="7" fillId="0" borderId="0" xfId="6" applyFont="1" applyAlignment="1" applyProtection="1"/>
    <xf numFmtId="173" fontId="7" fillId="0" borderId="0" xfId="0" applyNumberFormat="1" applyFont="1" applyBorder="1" applyAlignment="1" applyProtection="1"/>
    <xf numFmtId="3" fontId="7" fillId="0" borderId="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</xf>
    <xf numFmtId="164" fontId="8" fillId="0" borderId="0" xfId="0" applyNumberFormat="1" applyFont="1" applyFill="1" applyBorder="1" applyAlignment="1" applyProtection="1">
      <alignment horizontal="right"/>
    </xf>
    <xf numFmtId="164" fontId="7" fillId="0" borderId="0" xfId="0" applyNumberFormat="1" applyFont="1" applyFill="1" applyBorder="1" applyAlignment="1" applyProtection="1"/>
    <xf numFmtId="164" fontId="7" fillId="0" borderId="0" xfId="6" applyNumberFormat="1" applyFont="1" applyFill="1" applyAlignment="1" applyProtection="1"/>
    <xf numFmtId="9" fontId="8" fillId="0" borderId="10" xfId="0" applyNumberFormat="1" applyFont="1" applyFill="1" applyBorder="1" applyAlignment="1" applyProtection="1">
      <alignment horizontal="right"/>
    </xf>
    <xf numFmtId="9" fontId="7" fillId="0" borderId="1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  <protection locked="0"/>
    </xf>
    <xf numFmtId="1" fontId="7" fillId="0" borderId="15" xfId="0" applyNumberFormat="1" applyFont="1" applyFill="1" applyBorder="1" applyAlignment="1" applyProtection="1">
      <alignment horizontal="right"/>
    </xf>
    <xf numFmtId="9" fontId="27" fillId="0" borderId="4" xfId="0" applyNumberFormat="1" applyFont="1" applyFill="1" applyBorder="1" applyAlignment="1" applyProtection="1"/>
    <xf numFmtId="9" fontId="27" fillId="5" borderId="4" xfId="0" applyNumberFormat="1" applyFont="1" applyFill="1" applyBorder="1" applyAlignment="1" applyProtection="1"/>
    <xf numFmtId="9" fontId="7" fillId="2" borderId="0" xfId="0" applyNumberFormat="1" applyFont="1" applyFill="1" applyBorder="1" applyAlignment="1" applyProtection="1">
      <protection locked="0"/>
    </xf>
    <xf numFmtId="3" fontId="7" fillId="0" borderId="0" xfId="1" applyNumberFormat="1" applyFont="1" applyAlignment="1" applyProtection="1"/>
    <xf numFmtId="3" fontId="7" fillId="0" borderId="4" xfId="0" applyNumberFormat="1" applyFont="1" applyFill="1" applyBorder="1" applyAlignment="1" applyProtection="1"/>
    <xf numFmtId="9" fontId="7" fillId="0" borderId="10" xfId="6" applyNumberFormat="1" applyFont="1" applyBorder="1" applyAlignment="1" applyProtection="1"/>
    <xf numFmtId="9" fontId="7" fillId="0" borderId="10" xfId="0" applyNumberFormat="1" applyFont="1" applyBorder="1" applyAlignment="1" applyProtection="1"/>
    <xf numFmtId="3" fontId="7" fillId="0" borderId="0" xfId="1" applyNumberFormat="1" applyFont="1" applyAlignment="1" applyProtection="1">
      <alignment horizontal="right"/>
    </xf>
    <xf numFmtId="3" fontId="0" fillId="0" borderId="0" xfId="1" applyNumberFormat="1" applyFont="1" applyAlignment="1"/>
    <xf numFmtId="9" fontId="7" fillId="0" borderId="10" xfId="0" applyNumberFormat="1" applyFont="1" applyBorder="1" applyAlignment="1" applyProtection="1">
      <alignment horizontal="right"/>
    </xf>
    <xf numFmtId="9" fontId="8" fillId="0" borderId="33" xfId="0" applyNumberFormat="1" applyFont="1" applyBorder="1" applyAlignment="1" applyProtection="1">
      <alignment horizontal="right"/>
    </xf>
    <xf numFmtId="9" fontId="7" fillId="0" borderId="0" xfId="6" applyNumberFormat="1" applyFont="1" applyAlignment="1" applyProtection="1"/>
    <xf numFmtId="10" fontId="0" fillId="0" borderId="0" xfId="6" applyNumberFormat="1" applyFont="1" applyAlignment="1" applyProtection="1"/>
    <xf numFmtId="9" fontId="0" fillId="0" borderId="0" xfId="0" applyNumberFormat="1" applyFont="1" applyBorder="1" applyAlignment="1" applyProtection="1"/>
    <xf numFmtId="0" fontId="28" fillId="0" borderId="17" xfId="0" applyFont="1" applyBorder="1" applyAlignment="1"/>
    <xf numFmtId="9" fontId="28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9" fillId="0" borderId="16" xfId="0" applyFont="1" applyBorder="1" applyAlignment="1"/>
    <xf numFmtId="0" fontId="29" fillId="0" borderId="17" xfId="0" applyFont="1" applyBorder="1" applyAlignment="1"/>
    <xf numFmtId="0" fontId="28" fillId="0" borderId="16" xfId="0" applyFont="1" applyBorder="1" applyAlignment="1"/>
    <xf numFmtId="0" fontId="29" fillId="0" borderId="0" xfId="0" applyFont="1" applyAlignment="1"/>
    <xf numFmtId="38" fontId="7" fillId="0" borderId="0" xfId="0" applyNumberFormat="1" applyFont="1" applyBorder="1" applyAlignment="1" applyProtection="1"/>
    <xf numFmtId="173" fontId="7" fillId="0" borderId="0" xfId="6" applyNumberFormat="1" applyFont="1" applyAlignment="1" applyProtection="1"/>
    <xf numFmtId="1" fontId="7" fillId="0" borderId="0" xfId="6" applyNumberFormat="1" applyFont="1" applyAlignment="1" applyProtection="1"/>
    <xf numFmtId="3" fontId="7" fillId="0" borderId="0" xfId="0" applyNumberFormat="1" applyFont="1" applyBorder="1" applyAlignment="1" applyProtection="1">
      <alignment horizontal="right"/>
    </xf>
    <xf numFmtId="10" fontId="8" fillId="0" borderId="4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10" fontId="7" fillId="9" borderId="10" xfId="0" applyNumberFormat="1" applyFont="1" applyFill="1" applyBorder="1" applyAlignment="1" applyProtection="1">
      <alignment horizontal="center"/>
    </xf>
    <xf numFmtId="9" fontId="7" fillId="0" borderId="12" xfId="0" applyNumberFormat="1" applyFont="1" applyBorder="1" applyAlignment="1">
      <alignment horizontal="center"/>
    </xf>
    <xf numFmtId="9" fontId="7" fillId="0" borderId="10" xfId="0" quotePrefix="1" applyNumberFormat="1" applyFont="1" applyBorder="1" applyAlignment="1">
      <alignment horizontal="center"/>
    </xf>
    <xf numFmtId="10" fontId="7" fillId="6" borderId="12" xfId="0" applyNumberFormat="1" applyFont="1" applyFill="1" applyBorder="1" applyAlignment="1" applyProtection="1">
      <alignment horizontal="center"/>
      <protection locked="0"/>
    </xf>
    <xf numFmtId="10" fontId="7" fillId="6" borderId="10" xfId="0" applyNumberFormat="1" applyFont="1" applyFill="1" applyBorder="1" applyAlignment="1" applyProtection="1">
      <alignment horizontal="center"/>
      <protection locked="0"/>
    </xf>
    <xf numFmtId="9" fontId="7" fillId="0" borderId="10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center"/>
    </xf>
    <xf numFmtId="9" fontId="30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8" fillId="0" borderId="16" xfId="0" applyFont="1" applyBorder="1" applyAlignment="1">
      <alignment horizontal="left"/>
    </xf>
    <xf numFmtId="9" fontId="14" fillId="0" borderId="16" xfId="0" applyNumberFormat="1" applyFont="1" applyBorder="1" applyAlignment="1">
      <alignment horizontal="center"/>
    </xf>
    <xf numFmtId="9" fontId="15" fillId="0" borderId="16" xfId="0" applyNumberFormat="1" applyFont="1" applyBorder="1" applyAlignment="1">
      <alignment horizontal="center"/>
    </xf>
    <xf numFmtId="9" fontId="14" fillId="0" borderId="16" xfId="0" applyNumberFormat="1" applyFont="1" applyBorder="1" applyAlignment="1">
      <alignment horizontal="left"/>
    </xf>
  </cellXfs>
  <cellStyles count="122">
    <cellStyle name="Comma" xfId="1" builtinId="3"/>
    <cellStyle name="Date" xfId="2"/>
    <cellStyle name="Fixed" xfId="3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HEADING1" xfId="4"/>
    <cellStyle name="HEADING2" xfId="5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Normal" xfId="0" builtinId="0"/>
    <cellStyle name="Percent" xfId="6" builtinId="5"/>
    <cellStyle name="Total" xfId="7" builtinId="25" customBuiltin="1"/>
  </cellStyles>
  <dxfs count="540"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00CCFF"/>
      <color rgb="FFF7F4B3"/>
      <color rgb="FF723F95"/>
      <color rgb="FF008080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53966787437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Poor!$K$6:$M$6</c:f>
              <c:numCache>
                <c:formatCode>0%</c:formatCode>
                <c:ptCount val="3"/>
                <c:pt idx="0">
                  <c:v>0.0140776587795766</c:v>
                </c:pt>
                <c:pt idx="1">
                  <c:v>0.00703882938978829</c:v>
                </c:pt>
                <c:pt idx="2" formatCode="0.0%">
                  <c:v>0.00703882938978829</c:v>
                </c:pt>
              </c:numCache>
            </c:numRef>
          </c:val>
        </c:ser>
        <c:ser>
          <c:idx val="1"/>
          <c:order val="1"/>
          <c:tx>
            <c:strRef>
              <c:f>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Poor!$K$7:$M$7</c:f>
              <c:numCache>
                <c:formatCode>0%</c:formatCode>
                <c:ptCount val="3"/>
                <c:pt idx="0">
                  <c:v>0.00938510585305106</c:v>
                </c:pt>
                <c:pt idx="1">
                  <c:v>0.00469255292652553</c:v>
                </c:pt>
                <c:pt idx="2" formatCode="0.0%">
                  <c:v>0.00469255292652553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Poor!$K$8:$M$8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Poor!$K$9:$M$9</c:f>
              <c:numCache>
                <c:formatCode>0%</c:formatCode>
                <c:ptCount val="3"/>
                <c:pt idx="0">
                  <c:v>0.0416666666666667</c:v>
                </c:pt>
                <c:pt idx="1">
                  <c:v>0.0416666666666667</c:v>
                </c:pt>
                <c:pt idx="2" formatCode="0.0%">
                  <c:v>0.0416666666666667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Poor!$K$10:$M$10</c:f>
              <c:numCache>
                <c:formatCode>0%</c:formatCode>
                <c:ptCount val="3"/>
                <c:pt idx="0">
                  <c:v>0.245454734589041</c:v>
                </c:pt>
                <c:pt idx="1">
                  <c:v>0.267545660702055</c:v>
                </c:pt>
                <c:pt idx="2" formatCode="0.0%">
                  <c:v>0.319120727825342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Maize (irrigated):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Poor!$K$11:$M$11</c:f>
              <c:numCache>
                <c:formatCode>0%</c:formatCode>
                <c:ptCount val="3"/>
                <c:pt idx="0">
                  <c:v>0.0443592893835616</c:v>
                </c:pt>
                <c:pt idx="1">
                  <c:v>0.0483516254280822</c:v>
                </c:pt>
                <c:pt idx="2" formatCode="0.0%">
                  <c:v>0.0999266925513699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Poor!$K$12:$M$12</c:f>
              <c:numCache>
                <c:formatCode>0%</c:formatCode>
                <c:ptCount val="3"/>
                <c:pt idx="0">
                  <c:v>0.00221592777085928</c:v>
                </c:pt>
                <c:pt idx="1">
                  <c:v>0.00221592777085928</c:v>
                </c:pt>
                <c:pt idx="2" formatCode="0.0%">
                  <c:v>0.00221592777085928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Beans season 2: kg produced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Poor!$K$13:$M$13</c:f>
              <c:numCache>
                <c:formatCode>0%</c:formatCode>
                <c:ptCount val="3"/>
                <c:pt idx="0">
                  <c:v>0.00718058359277708</c:v>
                </c:pt>
                <c:pt idx="1">
                  <c:v>0.00718058359277708</c:v>
                </c:pt>
                <c:pt idx="2" formatCode="0.0%">
                  <c:v>0.00718058359277708</c:v>
                </c:pt>
              </c:numCache>
            </c:numRef>
          </c:val>
        </c:ser>
        <c:ser>
          <c:idx val="9"/>
          <c:order val="8"/>
          <c:tx>
            <c:strRef>
              <c:f>Poor!$A$14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Poor!$K$14:$M$14</c:f>
              <c:numCache>
                <c:formatCode>0%</c:formatCode>
                <c:ptCount val="3"/>
                <c:pt idx="0">
                  <c:v>0.0111680417185554</c:v>
                </c:pt>
                <c:pt idx="1">
                  <c:v>0.0111680417185554</c:v>
                </c:pt>
                <c:pt idx="2" formatCode="0.0%">
                  <c:v>0.0111680417185554</c:v>
                </c:pt>
              </c:numCache>
            </c:numRef>
          </c:val>
        </c:ser>
        <c:ser>
          <c:idx val="10"/>
          <c:order val="9"/>
          <c:tx>
            <c:strRef>
              <c:f>Poor!$A$15</c:f>
              <c:strCache>
                <c:ptCount val="1"/>
                <c:pt idx="0">
                  <c:v>Other root crops (sweet potato): no. local meas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Poor!$K$15:$M$15</c:f>
              <c:numCache>
                <c:formatCode>0%</c:formatCode>
                <c:ptCount val="3"/>
                <c:pt idx="0">
                  <c:v>0.0204321575342466</c:v>
                </c:pt>
                <c:pt idx="1">
                  <c:v>0.0204321575342466</c:v>
                </c:pt>
                <c:pt idx="2" formatCode="0.0%">
                  <c:v>0.0668688792029888</c:v>
                </c:pt>
              </c:numCache>
            </c:numRef>
          </c:val>
        </c:ser>
        <c:ser>
          <c:idx val="11"/>
          <c:order val="10"/>
          <c:tx>
            <c:strRef>
              <c:f>Poor!$A$16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Poor!$K$16:$M$16</c:f>
              <c:numCache>
                <c:formatCode>0%</c:formatCode>
                <c:ptCount val="3"/>
                <c:pt idx="0">
                  <c:v>0.0225326899128269</c:v>
                </c:pt>
                <c:pt idx="1">
                  <c:v>0.0225326899128269</c:v>
                </c:pt>
                <c:pt idx="2" formatCode="0.0%">
                  <c:v>0.0563317247820672</c:v>
                </c:pt>
              </c:numCache>
            </c:numRef>
          </c:val>
        </c:ser>
        <c:ser>
          <c:idx val="12"/>
          <c:order val="11"/>
          <c:tx>
            <c:strRef>
              <c:f>Poor!$A$17</c:f>
              <c:strCache>
                <c:ptCount val="1"/>
                <c:pt idx="0">
                  <c:v>Other crop: Rape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Poor!$K$17:$M$17</c:f>
              <c:numCache>
                <c:formatCode>0%</c:formatCode>
                <c:ptCount val="3"/>
                <c:pt idx="0">
                  <c:v>0.0207289072229141</c:v>
                </c:pt>
                <c:pt idx="1">
                  <c:v>0.0207289072229141</c:v>
                </c:pt>
                <c:pt idx="2" formatCode="0.0%">
                  <c:v>0.0234666874221669</c:v>
                </c:pt>
              </c:numCache>
            </c:numRef>
          </c:val>
        </c:ser>
        <c:ser>
          <c:idx val="13"/>
          <c:order val="12"/>
          <c:tx>
            <c:strRef>
              <c:f>Poor!$A$18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Poor!$A$19</c:f>
              <c:strCache>
                <c:ptCount val="1"/>
                <c:pt idx="0">
                  <c:v>Labour: Weeding, ploughing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Poor!$K$19:$M$19</c:f>
              <c:numCache>
                <c:formatCode>0%</c:formatCode>
                <c:ptCount val="3"/>
                <c:pt idx="0">
                  <c:v>0.0798467208904109</c:v>
                </c:pt>
                <c:pt idx="1">
                  <c:v>0.0798467208904109</c:v>
                </c:pt>
                <c:pt idx="2" formatCode="0.0%">
                  <c:v>0.0798467208904109</c:v>
                </c:pt>
              </c:numCache>
            </c:numRef>
          </c:val>
        </c:ser>
        <c:ser>
          <c:idx val="15"/>
          <c:order val="14"/>
          <c:tx>
            <c:strRef>
              <c:f>Poor!$A$20</c:f>
              <c:strCache>
                <c:ptCount val="1"/>
                <c:pt idx="0">
                  <c:v>Gifts/remittances: cereal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Poor!$K$20:$M$20</c:f>
              <c:numCache>
                <c:formatCode>0%</c:formatCode>
                <c:ptCount val="3"/>
                <c:pt idx="0">
                  <c:v>0.00707793399750934</c:v>
                </c:pt>
                <c:pt idx="1">
                  <c:v>0.00707793399750934</c:v>
                </c:pt>
                <c:pt idx="2" formatCode="0.0%">
                  <c:v>0.00707793399750934</c:v>
                </c:pt>
              </c:numCache>
            </c:numRef>
          </c:val>
        </c:ser>
        <c:ser>
          <c:idx val="16"/>
          <c:order val="15"/>
          <c:tx>
            <c:strRef>
              <c:f>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Poor!$K$26:$M$26</c:f>
              <c:numCache>
                <c:formatCode>0%</c:formatCode>
                <c:ptCount val="3"/>
                <c:pt idx="0">
                  <c:v>0.0744047619047619</c:v>
                </c:pt>
                <c:pt idx="1">
                  <c:v>0.0744047619047619</c:v>
                </c:pt>
                <c:pt idx="2" formatCode="0.0%">
                  <c:v>0.0744047619047619</c:v>
                </c:pt>
              </c:numCache>
            </c:numRef>
          </c:val>
        </c:ser>
        <c:ser>
          <c:idx val="21"/>
          <c:order val="21"/>
          <c:tx>
            <c:strRef>
              <c:f>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Poor!$K$27:$M$27</c:f>
              <c:numCache>
                <c:formatCode>0%</c:formatCode>
                <c:ptCount val="3"/>
                <c:pt idx="0">
                  <c:v>0.0241100762764633</c:v>
                </c:pt>
                <c:pt idx="1">
                  <c:v>0.0241100762764633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Poor!$K$29:$M$29</c:f>
              <c:numCache>
                <c:formatCode>0%</c:formatCode>
                <c:ptCount val="3"/>
                <c:pt idx="0">
                  <c:v>0.0967333939912826</c:v>
                </c:pt>
                <c:pt idx="1">
                  <c:v>0.0967333939912826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Poor!$K$30:$M$30</c:f>
              <c:numCache>
                <c:formatCode>0%</c:formatCode>
                <c:ptCount val="3"/>
                <c:pt idx="0">
                  <c:v>0.593920782067248</c:v>
                </c:pt>
                <c:pt idx="1">
                  <c:v>0.150900192665164</c:v>
                </c:pt>
                <c:pt idx="2" formatCode="0.0%">
                  <c:v>-0.0256435045837866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99395768"/>
        <c:axId val="-2099322200"/>
      </c:barChart>
      <c:catAx>
        <c:axId val="-2099395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993222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993222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437395436928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9939576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5840648806094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Middle!$A$37</c:f>
              <c:strCache>
                <c:ptCount val="1"/>
                <c:pt idx="0">
                  <c:v>Pig sales: no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Middle!$K$37:$M$37</c:f>
              <c:numCache>
                <c:formatCode>0%</c:formatCode>
                <c:ptCount val="3"/>
                <c:pt idx="0">
                  <c:v>0.0277241447596416</c:v>
                </c:pt>
                <c:pt idx="1">
                  <c:v>0.0261715926531016</c:v>
                </c:pt>
                <c:pt idx="2">
                  <c:v>0.0261715926531016</c:v>
                </c:pt>
              </c:numCache>
            </c:numRef>
          </c:val>
        </c:ser>
        <c:ser>
          <c:idx val="1"/>
          <c:order val="1"/>
          <c:tx>
            <c:strRef>
              <c:f>Middle!$A$38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Middle!$K$38:$M$38</c:f>
              <c:numCache>
                <c:formatCode>0%</c:formatCode>
                <c:ptCount val="3"/>
                <c:pt idx="0">
                  <c:v>0.0495074013565028</c:v>
                </c:pt>
                <c:pt idx="1">
                  <c:v>0.0467349868805386</c:v>
                </c:pt>
                <c:pt idx="2">
                  <c:v>0.0652685771169282</c:v>
                </c:pt>
              </c:numCache>
            </c:numRef>
          </c:val>
        </c:ser>
        <c:ser>
          <c:idx val="2"/>
          <c:order val="2"/>
          <c:tx>
            <c:strRef>
              <c:f>Middle!$A$39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Middle!$K$39:$M$39</c:f>
              <c:numCache>
                <c:formatCode>0%</c:formatCode>
                <c:ptCount val="3"/>
                <c:pt idx="0">
                  <c:v>0.00990148027130056</c:v>
                </c:pt>
                <c:pt idx="1">
                  <c:v>0.00934699737610772</c:v>
                </c:pt>
                <c:pt idx="2">
                  <c:v>0.00749363835246877</c:v>
                </c:pt>
              </c:numCache>
            </c:numRef>
          </c:val>
        </c:ser>
        <c:ser>
          <c:idx val="3"/>
          <c:order val="3"/>
          <c:tx>
            <c:strRef>
              <c:f>Middle!$A$40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Middle!$K$40:$M$40</c:f>
              <c:numCache>
                <c:formatCode>0%</c:formatCode>
                <c:ptCount val="3"/>
                <c:pt idx="0">
                  <c:v>0.0089113322441705</c:v>
                </c:pt>
                <c:pt idx="1">
                  <c:v>0.0135986930046042</c:v>
                </c:pt>
                <c:pt idx="2">
                  <c:v>0.0028130858729697</c:v>
                </c:pt>
              </c:numCache>
            </c:numRef>
          </c:val>
        </c:ser>
        <c:ser>
          <c:idx val="4"/>
          <c:order val="4"/>
          <c:tx>
            <c:strRef>
              <c:f>Middle!$A$41</c:f>
              <c:strCache>
                <c:ptCount val="1"/>
                <c:pt idx="0">
                  <c:v>Maize (irrigated):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Middle!$K$41:$M$41</c:f>
              <c:numCache>
                <c:formatCode>0%</c:formatCode>
                <c:ptCount val="3"/>
                <c:pt idx="0">
                  <c:v>0.00297044408139017</c:v>
                </c:pt>
                <c:pt idx="1">
                  <c:v>0.0045328976682014</c:v>
                </c:pt>
                <c:pt idx="2">
                  <c:v>0.0009376952909899</c:v>
                </c:pt>
              </c:numCache>
            </c:numRef>
          </c:val>
        </c:ser>
        <c:ser>
          <c:idx val="5"/>
          <c:order val="5"/>
          <c:tx>
            <c:strRef>
              <c:f>Middle!$A$42</c:f>
              <c:strCache>
                <c:ptCount val="1"/>
                <c:pt idx="0">
                  <c:v>Beans season 2: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Middle!$K$42:$M$42</c:f>
              <c:numCache>
                <c:formatCode>0%</c:formatCode>
                <c:ptCount val="3"/>
                <c:pt idx="0">
                  <c:v>0.00297044408139017</c:v>
                </c:pt>
                <c:pt idx="1">
                  <c:v>0.00415862171394623</c:v>
                </c:pt>
                <c:pt idx="2">
                  <c:v>0.000860270909165046</c:v>
                </c:pt>
              </c:numCache>
            </c:numRef>
          </c:val>
        </c:ser>
        <c:ser>
          <c:idx val="6"/>
          <c:order val="6"/>
          <c:tx>
            <c:strRef>
              <c:f>Middle!$A$43</c:f>
              <c:strCache>
                <c:ptCount val="1"/>
                <c:pt idx="0">
                  <c:v>Other root crops (sweet potato): no. local meas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Middle!$K$43:$M$43</c:f>
              <c:numCache>
                <c:formatCode>0%</c:formatCode>
                <c:ptCount val="3"/>
                <c:pt idx="0">
                  <c:v>0.0198029605426011</c:v>
                </c:pt>
                <c:pt idx="1">
                  <c:v>0.0277241447596416</c:v>
                </c:pt>
                <c:pt idx="2">
                  <c:v>0.00573513939443364</c:v>
                </c:pt>
              </c:numCache>
            </c:numRef>
          </c:val>
        </c:ser>
        <c:ser>
          <c:idx val="7"/>
          <c:order val="7"/>
          <c:tx>
            <c:strRef>
              <c:f>Middle!$A$44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Middle!$K$44:$M$44</c:f>
              <c:numCache>
                <c:formatCode>0%</c:formatCode>
                <c:ptCount val="3"/>
                <c:pt idx="0">
                  <c:v>0.0089113322441705</c:v>
                </c:pt>
                <c:pt idx="1">
                  <c:v>0.0124758651418387</c:v>
                </c:pt>
                <c:pt idx="2">
                  <c:v>0.00258081272749514</c:v>
                </c:pt>
              </c:numCache>
            </c:numRef>
          </c:val>
        </c:ser>
        <c:ser>
          <c:idx val="8"/>
          <c:order val="8"/>
          <c:tx>
            <c:strRef>
              <c:f>Middle!$A$45</c:f>
              <c:strCache>
                <c:ptCount val="1"/>
                <c:pt idx="0">
                  <c:v>Other crop: Rape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Middle!$K$45:$M$45</c:f>
              <c:numCache>
                <c:formatCode>0%</c:formatCode>
                <c:ptCount val="3"/>
                <c:pt idx="0">
                  <c:v>0.0017327590474776</c:v>
                </c:pt>
                <c:pt idx="1">
                  <c:v>0.00242586266646864</c:v>
                </c:pt>
                <c:pt idx="2">
                  <c:v>0.000501824697012943</c:v>
                </c:pt>
              </c:numCache>
            </c:numRef>
          </c:val>
        </c:ser>
        <c:ser>
          <c:idx val="9"/>
          <c:order val="9"/>
          <c:tx>
            <c:strRef>
              <c:f>Middle!$A$46</c:f>
              <c:strCache>
                <c:ptCount val="1"/>
                <c:pt idx="0">
                  <c:v>Other cashcrop (cabbage): kg produced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Middle!$K$46:$M$46</c:f>
              <c:numCache>
                <c:formatCode>0%</c:formatCode>
                <c:ptCount val="3"/>
                <c:pt idx="0">
                  <c:v>0.00792118421704045</c:v>
                </c:pt>
                <c:pt idx="1">
                  <c:v>0.0110896579038566</c:v>
                </c:pt>
                <c:pt idx="2">
                  <c:v>0.0110896579038566</c:v>
                </c:pt>
              </c:numCache>
            </c:numRef>
          </c:val>
        </c:ser>
        <c:ser>
          <c:idx val="10"/>
          <c:order val="10"/>
          <c:tx>
            <c:strRef>
              <c:f>Middle!$A$47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Middle!$A$48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Middle!$A$49</c:f>
              <c:strCache>
                <c:ptCount val="1"/>
                <c:pt idx="0">
                  <c:v>Agricultural casual work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Middle!$A$50</c:f>
              <c:strCache>
                <c:ptCount val="1"/>
                <c:pt idx="0">
                  <c:v>Construction casual work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Middle!$A$51</c:f>
              <c:strCache>
                <c:ptCount val="1"/>
                <c:pt idx="0">
                  <c:v>Domestic casual work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Middle!$A$52</c:f>
              <c:strCache>
                <c:ptCount val="1"/>
                <c:pt idx="0">
                  <c:v>Labour migration: no. people per HH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Middle!$K$52:$M$52</c:f>
              <c:numCache>
                <c:formatCode>0%</c:formatCode>
                <c:ptCount val="3"/>
                <c:pt idx="0">
                  <c:v>0.415862171394623</c:v>
                </c:pt>
                <c:pt idx="1">
                  <c:v>0.392573889796525</c:v>
                </c:pt>
                <c:pt idx="2">
                  <c:v>0.392573889796525</c:v>
                </c:pt>
              </c:numCache>
            </c:numRef>
          </c:val>
        </c:ser>
        <c:ser>
          <c:idx val="16"/>
          <c:order val="16"/>
          <c:tx>
            <c:strRef>
              <c:f>Middle!$A$53</c:f>
              <c:strCache>
                <c:ptCount val="1"/>
                <c:pt idx="0">
                  <c:v>Formal Employment (e.g. teachers, salaried staff, etc.)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Middle!$K$53:$M$53</c:f>
              <c:numCache>
                <c:formatCode>0%</c:formatCode>
                <c:ptCount val="3"/>
                <c:pt idx="0">
                  <c:v>0.35645328976682</c:v>
                </c:pt>
                <c:pt idx="1">
                  <c:v>0.336491905539878</c:v>
                </c:pt>
                <c:pt idx="2">
                  <c:v>0.336491905539878</c:v>
                </c:pt>
              </c:numCache>
            </c:numRef>
          </c:val>
        </c:ser>
        <c:ser>
          <c:idx val="17"/>
          <c:order val="17"/>
          <c:tx>
            <c:strRef>
              <c:f>Middle!$A$54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Middle!$K$54:$M$54</c:f>
              <c:numCache>
                <c:formatCode>0%</c:formatCode>
                <c:ptCount val="3"/>
                <c:pt idx="0">
                  <c:v>0.0118817763255607</c:v>
                </c:pt>
                <c:pt idx="1">
                  <c:v>0.00950542106044853</c:v>
                </c:pt>
                <c:pt idx="2">
                  <c:v>0.0110132385712056</c:v>
                </c:pt>
              </c:numCache>
            </c:numRef>
          </c:val>
        </c:ser>
        <c:ser>
          <c:idx val="18"/>
          <c:order val="18"/>
          <c:tx>
            <c:strRef>
              <c:f>Middle!$A$55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Middle!$A$56</c:f>
              <c:strCache>
                <c:ptCount val="1"/>
                <c:pt idx="0">
                  <c:v>Social Cash Transfers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Middle!$K$56:$M$56</c:f>
              <c:numCache>
                <c:formatCode>0%</c:formatCode>
                <c:ptCount val="3"/>
                <c:pt idx="0">
                  <c:v>0.0754492796673102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Middle!$A$57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Middle!$A$58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Middle!$A$59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Middle!$A$60</c:f>
              <c:strCache>
                <c:ptCount val="1"/>
              </c:strCache>
            </c:strRef>
          </c:tx>
          <c:invertIfNegative val="0"/>
          <c:val>
            <c:numRef>
              <c:f>Middle!$K$60:$M$60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Middle!$A$61</c:f>
              <c:strCache>
                <c:ptCount val="1"/>
              </c:strCache>
            </c:strRef>
          </c:tx>
          <c:invertIfNegative val="0"/>
          <c:val>
            <c:numRef>
              <c:f>Middle!$K$61:$M$61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Middle!$A$62</c:f>
              <c:strCache>
                <c:ptCount val="1"/>
              </c:strCache>
            </c:strRef>
          </c:tx>
          <c:invertIfNegative val="0"/>
          <c:val>
            <c:numRef>
              <c:f>Middle!$K$62:$M$62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Middle!$A$63</c:f>
              <c:strCache>
                <c:ptCount val="1"/>
              </c:strCache>
            </c:strRef>
          </c:tx>
          <c:invertIfNegative val="0"/>
          <c:val>
            <c:numRef>
              <c:f>Middle!$K$63:$M$63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Middle!$A$64</c:f>
              <c:strCache>
                <c:ptCount val="1"/>
              </c:strCache>
            </c:strRef>
          </c:tx>
          <c:invertIfNegative val="0"/>
          <c:val>
            <c:numRef>
              <c:f>Middle!$K$64:$M$64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69081528"/>
        <c:axId val="-2069087544"/>
      </c:barChart>
      <c:catAx>
        <c:axId val="-2069081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690875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690875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8484235964406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6908152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118694362017804"/>
          <c:y val="0.733739837398374"/>
          <c:w val="0.98813056379822"/>
          <c:h val="0.2642276422764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Rich!$A$37</c:f>
              <c:strCache>
                <c:ptCount val="1"/>
                <c:pt idx="0">
                  <c:v>Pig sales: no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Rich!$K$37:$M$37</c:f>
              <c:numCache>
                <c:formatCode>0%</c:formatCode>
                <c:ptCount val="3"/>
                <c:pt idx="0">
                  <c:v>0.0212447701012378</c:v>
                </c:pt>
                <c:pt idx="1">
                  <c:v>0.0200550629755685</c:v>
                </c:pt>
                <c:pt idx="2">
                  <c:v>0.0200550629755685</c:v>
                </c:pt>
              </c:numCache>
            </c:numRef>
          </c:val>
        </c:ser>
        <c:ser>
          <c:idx val="1"/>
          <c:order val="1"/>
          <c:tx>
            <c:strRef>
              <c:f>Rich!$A$38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Rich!$K$38:$M$38</c:f>
              <c:numCache>
                <c:formatCode>0%</c:formatCode>
                <c:ptCount val="3"/>
                <c:pt idx="0">
                  <c:v>0.078042012616792</c:v>
                </c:pt>
                <c:pt idx="1">
                  <c:v>0.0736716599102517</c:v>
                </c:pt>
                <c:pt idx="2">
                  <c:v>0.0736716599102517</c:v>
                </c:pt>
              </c:numCache>
            </c:numRef>
          </c:val>
        </c:ser>
        <c:ser>
          <c:idx val="2"/>
          <c:order val="2"/>
          <c:tx>
            <c:strRef>
              <c:f>Rich!$A$39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Rich!$K$39:$M$39</c:f>
              <c:numCache>
                <c:formatCode>0%</c:formatCode>
                <c:ptCount val="3"/>
                <c:pt idx="0">
                  <c:v>0.009755251577099</c:v>
                </c:pt>
                <c:pt idx="1">
                  <c:v>0.00920895748878146</c:v>
                </c:pt>
                <c:pt idx="2">
                  <c:v>0.00924706243530644</c:v>
                </c:pt>
              </c:numCache>
            </c:numRef>
          </c:val>
        </c:ser>
        <c:ser>
          <c:idx val="3"/>
          <c:order val="3"/>
          <c:tx>
            <c:strRef>
              <c:f>Rich!$A$40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Rich!$K$40:$M$40</c:f>
              <c:numCache>
                <c:formatCode>0%</c:formatCode>
                <c:ptCount val="3"/>
                <c:pt idx="0">
                  <c:v>0.0130070021027987</c:v>
                </c:pt>
                <c:pt idx="1">
                  <c:v>0.0198486852088708</c:v>
                </c:pt>
                <c:pt idx="2">
                  <c:v>0.0200950756681806</c:v>
                </c:pt>
              </c:numCache>
            </c:numRef>
          </c:val>
        </c:ser>
        <c:ser>
          <c:idx val="4"/>
          <c:order val="4"/>
          <c:tx>
            <c:strRef>
              <c:f>Rich!$A$41</c:f>
              <c:strCache>
                <c:ptCount val="1"/>
                <c:pt idx="0">
                  <c:v>Maize (irrigated):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Rich!$K$41:$M$41</c:f>
              <c:numCache>
                <c:formatCode>0%</c:formatCode>
                <c:ptCount val="3"/>
                <c:pt idx="0">
                  <c:v>0.00130070021027987</c:v>
                </c:pt>
                <c:pt idx="1">
                  <c:v>0.00198486852088708</c:v>
                </c:pt>
                <c:pt idx="2">
                  <c:v>0.00200950756681806</c:v>
                </c:pt>
              </c:numCache>
            </c:numRef>
          </c:val>
        </c:ser>
        <c:ser>
          <c:idx val="5"/>
          <c:order val="5"/>
          <c:tx>
            <c:strRef>
              <c:f>Rich!$A$42</c:f>
              <c:strCache>
                <c:ptCount val="1"/>
                <c:pt idx="0">
                  <c:v>Beans season 2: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Rich!$K$42:$M$42</c:f>
              <c:numCache>
                <c:formatCode>0%</c:formatCode>
                <c:ptCount val="3"/>
                <c:pt idx="0">
                  <c:v>0.0104056016822389</c:v>
                </c:pt>
                <c:pt idx="1">
                  <c:v>0.0145678423551345</c:v>
                </c:pt>
                <c:pt idx="2">
                  <c:v>0.0147486793894903</c:v>
                </c:pt>
              </c:numCache>
            </c:numRef>
          </c:val>
        </c:ser>
        <c:ser>
          <c:idx val="6"/>
          <c:order val="6"/>
          <c:tx>
            <c:strRef>
              <c:f>Rich!$A$43</c:f>
              <c:strCache>
                <c:ptCount val="1"/>
                <c:pt idx="0">
                  <c:v>Other root crops (sweet potato): no. local meas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Rich!$K$43:$M$43</c:f>
              <c:numCache>
                <c:formatCode>0%</c:formatCode>
                <c:ptCount val="3"/>
                <c:pt idx="0">
                  <c:v>0.0173426694703982</c:v>
                </c:pt>
                <c:pt idx="1">
                  <c:v>0.0242797372585575</c:v>
                </c:pt>
                <c:pt idx="2">
                  <c:v>0.0245811323158172</c:v>
                </c:pt>
              </c:numCache>
            </c:numRef>
          </c:val>
        </c:ser>
        <c:ser>
          <c:idx val="7"/>
          <c:order val="7"/>
          <c:tx>
            <c:strRef>
              <c:f>Rich!$A$44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Rich!$K$44:$M$44</c:f>
              <c:numCache>
                <c:formatCode>0%</c:formatCode>
                <c:ptCount val="3"/>
                <c:pt idx="0">
                  <c:v>0.00520280084111947</c:v>
                </c:pt>
                <c:pt idx="1">
                  <c:v>0.00728392117756726</c:v>
                </c:pt>
                <c:pt idx="2">
                  <c:v>0.00737433969474517</c:v>
                </c:pt>
              </c:numCache>
            </c:numRef>
          </c:val>
        </c:ser>
        <c:ser>
          <c:idx val="8"/>
          <c:order val="8"/>
          <c:tx>
            <c:strRef>
              <c:f>Rich!$A$45</c:f>
              <c:strCache>
                <c:ptCount val="1"/>
                <c:pt idx="0">
                  <c:v>Other crop: Rape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Rich!$K$45:$M$45</c:f>
              <c:numCache>
                <c:formatCode>0%</c:formatCode>
                <c:ptCount val="3"/>
                <c:pt idx="0">
                  <c:v>0.000758741789329922</c:v>
                </c:pt>
                <c:pt idx="1">
                  <c:v>0.00106223850506189</c:v>
                </c:pt>
                <c:pt idx="2">
                  <c:v>0.001075424538817</c:v>
                </c:pt>
              </c:numCache>
            </c:numRef>
          </c:val>
        </c:ser>
        <c:ser>
          <c:idx val="9"/>
          <c:order val="9"/>
          <c:tx>
            <c:strRef>
              <c:f>Rich!$A$46</c:f>
              <c:strCache>
                <c:ptCount val="1"/>
                <c:pt idx="0">
                  <c:v>Other cashcrop (cabbage): kg produced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Rich!$K$46:$M$46</c:f>
              <c:numCache>
                <c:formatCode>0%</c:formatCode>
                <c:ptCount val="3"/>
                <c:pt idx="0">
                  <c:v>0.00346853389407964</c:v>
                </c:pt>
                <c:pt idx="1">
                  <c:v>0.0048559474517115</c:v>
                </c:pt>
                <c:pt idx="2">
                  <c:v>0.0048559474517115</c:v>
                </c:pt>
              </c:numCache>
            </c:numRef>
          </c:val>
        </c:ser>
        <c:ser>
          <c:idx val="10"/>
          <c:order val="10"/>
          <c:tx>
            <c:strRef>
              <c:f>Rich!$A$47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Rich!$A$48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Rich!$A$49</c:f>
              <c:strCache>
                <c:ptCount val="1"/>
                <c:pt idx="0">
                  <c:v>Agricultural casual work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Rich!$A$50</c:f>
              <c:strCache>
                <c:ptCount val="1"/>
                <c:pt idx="0">
                  <c:v>Construction casual work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Rich!$A$51</c:f>
              <c:strCache>
                <c:ptCount val="1"/>
                <c:pt idx="0">
                  <c:v>Domestic casual work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Rich!$A$52</c:f>
              <c:strCache>
                <c:ptCount val="1"/>
                <c:pt idx="0">
                  <c:v>Labour migration: no. people per HH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Rich!$K$52:$M$52</c:f>
              <c:numCache>
                <c:formatCode>0%</c:formatCode>
                <c:ptCount val="3"/>
                <c:pt idx="0">
                  <c:v>0.182098029439181</c:v>
                </c:pt>
                <c:pt idx="1">
                  <c:v>0.171900539790587</c:v>
                </c:pt>
                <c:pt idx="2">
                  <c:v>0.171900539790587</c:v>
                </c:pt>
              </c:numCache>
            </c:numRef>
          </c:val>
        </c:ser>
        <c:ser>
          <c:idx val="16"/>
          <c:order val="16"/>
          <c:tx>
            <c:strRef>
              <c:f>Rich!$A$53</c:f>
              <c:strCache>
                <c:ptCount val="1"/>
                <c:pt idx="0">
                  <c:v>Formal Employment (e.g. teachers, salaried staff, etc.)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Rich!$K$53:$M$53</c:f>
              <c:numCache>
                <c:formatCode>0%</c:formatCode>
                <c:ptCount val="3"/>
                <c:pt idx="0">
                  <c:v>0.624336100934336</c:v>
                </c:pt>
                <c:pt idx="1">
                  <c:v>0.589373279282013</c:v>
                </c:pt>
                <c:pt idx="2">
                  <c:v>0.589373279282014</c:v>
                </c:pt>
              </c:numCache>
            </c:numRef>
          </c:val>
        </c:ser>
        <c:ser>
          <c:idx val="17"/>
          <c:order val="17"/>
          <c:tx>
            <c:strRef>
              <c:f>Rich!$A$54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Rich!$A$55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Rich!$A$56</c:f>
              <c:strCache>
                <c:ptCount val="1"/>
                <c:pt idx="0">
                  <c:v>Social Cash Transfers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Rich!$K$56:$M$56</c:f>
              <c:numCache>
                <c:formatCode>0%</c:formatCode>
                <c:ptCount val="3"/>
                <c:pt idx="0">
                  <c:v>0.0330377853411086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Rich!$A$57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Rich!$A$59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Rich!$A$60</c:f>
              <c:strCache>
                <c:ptCount val="1"/>
              </c:strCache>
            </c:strRef>
          </c:tx>
          <c:invertIfNegative val="0"/>
          <c:val>
            <c:numRef>
              <c:f>Rich!$K$60:$M$60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Rich!$A$61</c:f>
              <c:strCache>
                <c:ptCount val="1"/>
              </c:strCache>
            </c:strRef>
          </c:tx>
          <c:invertIfNegative val="0"/>
          <c:val>
            <c:numRef>
              <c:f>Rich!$K$61:$M$61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Rich!$A$62</c:f>
              <c:strCache>
                <c:ptCount val="1"/>
              </c:strCache>
            </c:strRef>
          </c:tx>
          <c:invertIfNegative val="0"/>
          <c:val>
            <c:numRef>
              <c:f>Rich!$K$62:$M$62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Rich!$A$63</c:f>
              <c:strCache>
                <c:ptCount val="1"/>
              </c:strCache>
            </c:strRef>
          </c:tx>
          <c:invertIfNegative val="0"/>
          <c:val>
            <c:numRef>
              <c:f>Rich!$K$63:$M$63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Rich!$A$64</c:f>
              <c:strCache>
                <c:ptCount val="1"/>
              </c:strCache>
            </c:strRef>
          </c:tx>
          <c:invertIfNegative val="0"/>
          <c:val>
            <c:numRef>
              <c:f>Rich!$K$64:$M$64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69322360"/>
        <c:axId val="-2069326760"/>
      </c:barChart>
      <c:catAx>
        <c:axId val="-2069322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693267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693267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8587286345304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6932236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V.Poor!$A$37</c:f>
              <c:strCache>
                <c:ptCount val="1"/>
                <c:pt idx="0">
                  <c:v>Pig sales: no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V.Poor!$A$38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V.Poor!$A$39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V.Poor!$A$40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V.Poor!$A$41</c:f>
              <c:strCache>
                <c:ptCount val="1"/>
                <c:pt idx="0">
                  <c:v>Maize (irrigated):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V.Poor!$A$42</c:f>
              <c:strCache>
                <c:ptCount val="1"/>
                <c:pt idx="0">
                  <c:v>Beans season 2: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V.Poor!$A$43</c:f>
              <c:strCache>
                <c:ptCount val="1"/>
                <c:pt idx="0">
                  <c:v>Other root crops (sweet potato): no. local meas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V.Poor!$K$43:$M$43</c:f>
              <c:numCache>
                <c:formatCode>0%</c:formatCode>
                <c:ptCount val="3"/>
                <c:pt idx="0">
                  <c:v>0.0335143106106307</c:v>
                </c:pt>
                <c:pt idx="1">
                  <c:v>0.046920034854883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V.Poor!$A$44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V.Poor!$K$44:$M$44</c:f>
              <c:numCache>
                <c:formatCode>0%</c:formatCode>
                <c:ptCount val="3"/>
                <c:pt idx="0">
                  <c:v>0.00462497486426704</c:v>
                </c:pt>
                <c:pt idx="1">
                  <c:v>0.00647496480997386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V.Poor!$A$45</c:f>
              <c:strCache>
                <c:ptCount val="1"/>
                <c:pt idx="0">
                  <c:v>Other crop: Rape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V.Poor!$A$46</c:f>
              <c:strCache>
                <c:ptCount val="1"/>
                <c:pt idx="0">
                  <c:v>Other cashcrop (cabbage): kg produced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V.Poor!$A$47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V.Poor!$A$48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V.Poor!$K$48:$M$48</c:f>
              <c:numCache>
                <c:formatCode>0%</c:formatCode>
                <c:ptCount val="3"/>
                <c:pt idx="0">
                  <c:v>0.0449091762182452</c:v>
                </c:pt>
                <c:pt idx="1">
                  <c:v>0.0529928279375293</c:v>
                </c:pt>
                <c:pt idx="2">
                  <c:v>0.0860144781821838</c:v>
                </c:pt>
              </c:numCache>
            </c:numRef>
          </c:val>
        </c:ser>
        <c:ser>
          <c:idx val="12"/>
          <c:order val="12"/>
          <c:tx>
            <c:strRef>
              <c:f>V.Poor!$A$49</c:f>
              <c:strCache>
                <c:ptCount val="1"/>
                <c:pt idx="0">
                  <c:v>Agricultural casual work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V.Poor!$K$49:$M$49</c:f>
              <c:numCache>
                <c:formatCode>0%</c:formatCode>
                <c:ptCount val="3"/>
                <c:pt idx="0">
                  <c:v>0.0301628795495677</c:v>
                </c:pt>
                <c:pt idx="1">
                  <c:v>0.0334807963000201</c:v>
                </c:pt>
                <c:pt idx="2">
                  <c:v>0.0334807963000201</c:v>
                </c:pt>
              </c:numCache>
            </c:numRef>
          </c:val>
        </c:ser>
        <c:ser>
          <c:idx val="13"/>
          <c:order val="13"/>
          <c:tx>
            <c:strRef>
              <c:f>V.Poor!$A$50</c:f>
              <c:strCache>
                <c:ptCount val="1"/>
                <c:pt idx="0">
                  <c:v>Construction casual work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V.Poor!$K$50:$M$50</c:f>
              <c:numCache>
                <c:formatCode>0%</c:formatCode>
                <c:ptCount val="3"/>
                <c:pt idx="0">
                  <c:v>0.0482606072793083</c:v>
                </c:pt>
                <c:pt idx="1">
                  <c:v>0.0535692740800322</c:v>
                </c:pt>
                <c:pt idx="2">
                  <c:v>0.0535692740800322</c:v>
                </c:pt>
              </c:numCache>
            </c:numRef>
          </c:val>
        </c:ser>
        <c:ser>
          <c:idx val="14"/>
          <c:order val="14"/>
          <c:tx>
            <c:strRef>
              <c:f>V.Poor!$A$51</c:f>
              <c:strCache>
                <c:ptCount val="1"/>
                <c:pt idx="0">
                  <c:v>Domestic casual work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V.Poor!$K$51:$M$51</c:f>
              <c:numCache>
                <c:formatCode>0%</c:formatCode>
                <c:ptCount val="3"/>
                <c:pt idx="0">
                  <c:v>0.160868690931028</c:v>
                </c:pt>
                <c:pt idx="1">
                  <c:v>0.178564246933441</c:v>
                </c:pt>
                <c:pt idx="2">
                  <c:v>0.178564246933441</c:v>
                </c:pt>
              </c:numCache>
            </c:numRef>
          </c:val>
        </c:ser>
        <c:ser>
          <c:idx val="15"/>
          <c:order val="15"/>
          <c:tx>
            <c:strRef>
              <c:f>V.Poor!$A$52</c:f>
              <c:strCache>
                <c:ptCount val="1"/>
                <c:pt idx="0">
                  <c:v>Labour migration: no. people per HH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V.Poor!$A$53</c:f>
              <c:strCache>
                <c:ptCount val="1"/>
                <c:pt idx="0">
                  <c:v>Formal Employment (e.g. teachers, salaried staff, etc.)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V.Poor!$A$54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V.Poor!$A$55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V.Poor!$A$56</c:f>
              <c:strCache>
                <c:ptCount val="1"/>
                <c:pt idx="0">
                  <c:v>Social Cash Transfers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V.Poor!$K$56:$M$56</c:f>
              <c:numCache>
                <c:formatCode>0%</c:formatCode>
                <c:ptCount val="3"/>
                <c:pt idx="0">
                  <c:v>0.677659360546953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V.Poor!$A$57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V.Poor!$A$58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V.Poor!$A$60</c:f>
              <c:strCache>
                <c:ptCount val="1"/>
              </c:strCache>
            </c:strRef>
          </c:tx>
          <c:invertIfNegative val="0"/>
          <c:val>
            <c:numRef>
              <c:f>V.Poor!$K$60:$M$60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V.Poor!$A$61</c:f>
              <c:strCache>
                <c:ptCount val="1"/>
              </c:strCache>
            </c:strRef>
          </c:tx>
          <c:invertIfNegative val="0"/>
          <c:val>
            <c:numRef>
              <c:f>V.Poor!$K$61:$M$61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V.Poor!$A$62</c:f>
              <c:strCache>
                <c:ptCount val="1"/>
              </c:strCache>
            </c:strRef>
          </c:tx>
          <c:invertIfNegative val="0"/>
          <c:val>
            <c:numRef>
              <c:f>V.Poor!$K$62:$M$62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V.Poor!$A$63</c:f>
              <c:strCache>
                <c:ptCount val="1"/>
              </c:strCache>
            </c:strRef>
          </c:tx>
          <c:invertIfNegative val="0"/>
          <c:val>
            <c:numRef>
              <c:f>V.Poor!$K$63:$M$63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V.Poor!$A$64</c:f>
              <c:strCache>
                <c:ptCount val="1"/>
              </c:strCache>
            </c:strRef>
          </c:tx>
          <c:invertIfNegative val="0"/>
          <c:val>
            <c:numRef>
              <c:f>V.Poor!$K$64:$M$64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86682088"/>
        <c:axId val="2086670456"/>
      </c:barChart>
      <c:catAx>
        <c:axId val="2086682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66704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866704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206951580941"/>
              <c:y val="0.28484234470691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668208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>
                <a:latin typeface="Helvetica Light"/>
                <a:cs typeface="Helvetica Light"/>
              </a:defRPr>
            </a:pPr>
            <a:r>
              <a:rPr lang="en-US" sz="1300" b="0" i="0">
                <a:latin typeface="Helvetica Light"/>
                <a:cs typeface="Helvetica Light"/>
              </a:rPr>
              <a:t>ZALOI - Non-Affected Area without Grants</a:t>
            </a:r>
          </a:p>
        </c:rich>
      </c:tx>
      <c:layout>
        <c:manualLayout>
          <c:xMode val="edge"/>
          <c:yMode val="edge"/>
          <c:x val="0.308082221587586"/>
          <c:y val="0.0274263278065851"/>
        </c:manualLayout>
      </c:layout>
      <c:overlay val="1"/>
      <c:spPr>
        <a:solidFill>
          <a:schemeClr val="bg1"/>
        </a:solidFill>
        <a:ln w="3175" cmpd="sng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0997886663130839"/>
          <c:y val="0.0491059044448712"/>
          <c:w val="0.837439924931663"/>
          <c:h val="0.680472014168961"/>
        </c:manualLayout>
      </c:layout>
      <c:barChart>
        <c:barDir val="col"/>
        <c:grouping val="stacked"/>
        <c:varyColors val="0"/>
        <c:ser>
          <c:idx val="1"/>
          <c:order val="2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Income!$B$72:$I$72</c:f>
              <c:numCache>
                <c:formatCode>#,##0</c:formatCode>
                <c:ptCount val="8"/>
                <c:pt idx="0">
                  <c:v>2273.002257565641</c:v>
                </c:pt>
                <c:pt idx="1">
                  <c:v>4695.350787805511</c:v>
                </c:pt>
                <c:pt idx="2">
                  <c:v>5493.79933591558</c:v>
                </c:pt>
                <c:pt idx="3">
                  <c:v>3588.691220685665</c:v>
                </c:pt>
                <c:pt idx="4">
                  <c:v>3343.563195889893</c:v>
                </c:pt>
                <c:pt idx="5">
                  <c:v>8038.780003642886</c:v>
                </c:pt>
                <c:pt idx="6">
                  <c:v>10229.99693465767</c:v>
                </c:pt>
                <c:pt idx="7">
                  <c:v>4081.263972177876</c:v>
                </c:pt>
              </c:numCache>
            </c:numRef>
          </c:val>
        </c:ser>
        <c:ser>
          <c:idx val="2"/>
          <c:order val="7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Income!$B$73:$I$73</c:f>
              <c:numCache>
                <c:formatCode>#,##0</c:formatCode>
                <c:ptCount val="8"/>
                <c:pt idx="0">
                  <c:v>1656.553979438456</c:v>
                </c:pt>
                <c:pt idx="1">
                  <c:v>3893.920821615002</c:v>
                </c:pt>
                <c:pt idx="2">
                  <c:v>7824.23342660958</c:v>
                </c:pt>
                <c:pt idx="3">
                  <c:v>19755.53954891456</c:v>
                </c:pt>
                <c:pt idx="4">
                  <c:v>0.0</c:v>
                </c:pt>
                <c:pt idx="5">
                  <c:v>0.0</c:v>
                </c:pt>
                <c:pt idx="6">
                  <c:v>2476.244573954243</c:v>
                </c:pt>
                <c:pt idx="7">
                  <c:v>19701.0650201793</c:v>
                </c:pt>
              </c:numCache>
            </c:numRef>
          </c:val>
        </c:ser>
        <c:ser>
          <c:idx val="5"/>
          <c:order val="8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Income!$B$74:$I$74</c:f>
              <c:numCache>
                <c:formatCode>#,##0</c:formatCode>
                <c:ptCount val="8"/>
                <c:pt idx="0">
                  <c:v>0.0</c:v>
                </c:pt>
                <c:pt idx="1">
                  <c:v>264.9881556172274</c:v>
                </c:pt>
                <c:pt idx="2">
                  <c:v>596.6833990200416</c:v>
                </c:pt>
                <c:pt idx="3">
                  <c:v>2463.758923060174</c:v>
                </c:pt>
                <c:pt idx="4">
                  <c:v>0.0</c:v>
                </c:pt>
                <c:pt idx="5">
                  <c:v>150.1817224124308</c:v>
                </c:pt>
                <c:pt idx="6">
                  <c:v>338.1696075849353</c:v>
                </c:pt>
                <c:pt idx="7">
                  <c:v>1396.332442906054</c:v>
                </c:pt>
              </c:numCache>
            </c:numRef>
          </c:val>
        </c:ser>
        <c:ser>
          <c:idx val="7"/>
          <c:order val="9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Income!$B$76:$I$76</c:f>
              <c:numCache>
                <c:formatCode>#,##0</c:formatCode>
                <c:ptCount val="8"/>
                <c:pt idx="0">
                  <c:v>0.0</c:v>
                </c:pt>
                <c:pt idx="1">
                  <c:v>2911.342670366356</c:v>
                </c:pt>
                <c:pt idx="2">
                  <c:v>12809.90774961197</c:v>
                </c:pt>
                <c:pt idx="3">
                  <c:v>41840.1532341222</c:v>
                </c:pt>
                <c:pt idx="4">
                  <c:v>0.0</c:v>
                </c:pt>
                <c:pt idx="5">
                  <c:v>1888</c:v>
                </c:pt>
                <c:pt idx="6">
                  <c:v>9991.819951331744</c:v>
                </c:pt>
                <c:pt idx="7">
                  <c:v>27143.30138901858</c:v>
                </c:pt>
              </c:numCache>
            </c:numRef>
          </c:val>
        </c:ser>
        <c:ser>
          <c:idx val="8"/>
          <c:order val="10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Income!$B$77:$I$77</c:f>
              <c:numCache>
                <c:formatCode>#,##0</c:formatCode>
                <c:ptCount val="8"/>
                <c:pt idx="0">
                  <c:v>2081.529140348738</c:v>
                </c:pt>
                <c:pt idx="1">
                  <c:v>3391.714210976805</c:v>
                </c:pt>
                <c:pt idx="2">
                  <c:v>0.0</c:v>
                </c:pt>
                <c:pt idx="3">
                  <c:v>0.0</c:v>
                </c:pt>
                <c:pt idx="4">
                  <c:v>2566.5</c:v>
                </c:pt>
                <c:pt idx="5">
                  <c:v>5354.25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Income!$B$78:$I$78</c:f>
              <c:numCache>
                <c:formatCode>#,##0</c:formatCode>
                <c:ptCount val="8"/>
                <c:pt idx="0">
                  <c:v>12130.2698698158</c:v>
                </c:pt>
                <c:pt idx="1">
                  <c:v>21404.91857313994</c:v>
                </c:pt>
                <c:pt idx="2">
                  <c:v>0.0</c:v>
                </c:pt>
                <c:pt idx="3">
                  <c:v>0.0</c:v>
                </c:pt>
                <c:pt idx="4">
                  <c:v>9894.03207795628</c:v>
                </c:pt>
                <c:pt idx="5">
                  <c:v>16656.52434816961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4"/>
          <c:order val="12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Income!$B$79:$I$79</c:f>
              <c:numCache>
                <c:formatCode>#,##0</c:formatCode>
                <c:ptCount val="8"/>
                <c:pt idx="0">
                  <c:v>0.0</c:v>
                </c:pt>
                <c:pt idx="1">
                  <c:v>20961.66722663776</c:v>
                </c:pt>
                <c:pt idx="2">
                  <c:v>113542.3641442879</c:v>
                </c:pt>
                <c:pt idx="3">
                  <c:v>309434.1352503669</c:v>
                </c:pt>
                <c:pt idx="4">
                  <c:v>0.0</c:v>
                </c:pt>
                <c:pt idx="5">
                  <c:v>13593.6</c:v>
                </c:pt>
                <c:pt idx="6">
                  <c:v>73632.0</c:v>
                </c:pt>
                <c:pt idx="7">
                  <c:v>200667.4285714286</c:v>
                </c:pt>
              </c:numCache>
            </c:numRef>
          </c:val>
        </c:ser>
        <c:ser>
          <c:idx val="0"/>
          <c:order val="13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Income!$B$80:$I$80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6"/>
          <c:order val="14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Income!$B$81:$I$81</c:f>
              <c:numCache>
                <c:formatCode>#,##0</c:formatCode>
                <c:ptCount val="8"/>
                <c:pt idx="0">
                  <c:v>0.0</c:v>
                </c:pt>
                <c:pt idx="1">
                  <c:v>9345.409971876002</c:v>
                </c:pt>
                <c:pt idx="2">
                  <c:v>1746.805602219814</c:v>
                </c:pt>
                <c:pt idx="3">
                  <c:v>0.0</c:v>
                </c:pt>
                <c:pt idx="4">
                  <c:v>0.0</c:v>
                </c:pt>
                <c:pt idx="5">
                  <c:v>6163.2</c:v>
                </c:pt>
                <c:pt idx="6">
                  <c:v>1112.282029498915</c:v>
                </c:pt>
                <c:pt idx="7">
                  <c:v>0.0</c:v>
                </c:pt>
              </c:numCache>
            </c:numRef>
          </c:val>
        </c:ser>
        <c:ser>
          <c:idx val="3"/>
          <c:order val="15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Income!$B$82:$I$82</c:f>
              <c:numCache>
                <c:formatCode>#,##0</c:formatCode>
                <c:ptCount val="8"/>
                <c:pt idx="0">
                  <c:v>0.0</c:v>
                </c:pt>
                <c:pt idx="1">
                  <c:v>1397.444481775851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906.24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9"/>
          <c:order val="16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Income!$B$83:$I$83</c:f>
              <c:numCache>
                <c:formatCode>#,##0</c:formatCode>
                <c:ptCount val="8"/>
                <c:pt idx="0">
                  <c:v>1008.391684526244</c:v>
                </c:pt>
                <c:pt idx="1">
                  <c:v>840.3264037718696</c:v>
                </c:pt>
                <c:pt idx="2">
                  <c:v>0.0</c:v>
                </c:pt>
                <c:pt idx="3">
                  <c:v>0.0</c:v>
                </c:pt>
                <c:pt idx="4">
                  <c:v>1143.009578641547</c:v>
                </c:pt>
                <c:pt idx="5">
                  <c:v>952.5079822012888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Income!$B$84:$I$84</c:f>
              <c:numCache>
                <c:formatCode>#,##0</c:formatCode>
                <c:ptCount val="8"/>
                <c:pt idx="0">
                  <c:v>66.6150780093308</c:v>
                </c:pt>
                <c:pt idx="1">
                  <c:v>79.93809361119694</c:v>
                </c:pt>
                <c:pt idx="2">
                  <c:v>106.5841248149293</c:v>
                </c:pt>
                <c:pt idx="3">
                  <c:v>0.0</c:v>
                </c:pt>
                <c:pt idx="4">
                  <c:v>75.50803265736107</c:v>
                </c:pt>
                <c:pt idx="5">
                  <c:v>90.60963918883327</c:v>
                </c:pt>
                <c:pt idx="6">
                  <c:v>120.8128522517777</c:v>
                </c:pt>
                <c:pt idx="7">
                  <c:v>0.0</c:v>
                </c:pt>
              </c:numCache>
            </c:numRef>
          </c:val>
        </c:ser>
        <c:ser>
          <c:idx val="10"/>
          <c:order val="18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Income!$B$85:$I$85</c:f>
              <c:numCache>
                <c:formatCode>#,##0</c:formatCode>
                <c:ptCount val="8"/>
                <c:pt idx="0">
                  <c:v>29433.67439740386</c:v>
                </c:pt>
                <c:pt idx="1">
                  <c:v>29433.67439740386</c:v>
                </c:pt>
                <c:pt idx="2">
                  <c:v>11092.21557409582</c:v>
                </c:pt>
                <c:pt idx="3">
                  <c:v>12676.81779896665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1"/>
          <c:order val="19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Income!$B$86:$I$86</c:f>
              <c:numCache>
                <c:formatCode>#,##0</c:formatCode>
                <c:ptCount val="8"/>
                <c:pt idx="0">
                  <c:v>0.0</c:v>
                </c:pt>
                <c:pt idx="1">
                  <c:v>6987.222408879254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5328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4"/>
          <c:order val="20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Income!$B$87:$I$87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71551400"/>
        <c:axId val="-2071808456"/>
      </c:barChart>
      <c:lineChart>
        <c:grouping val="standard"/>
        <c:varyColors val="0"/>
        <c:ser>
          <c:idx val="13"/>
          <c:order val="0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39324.2862920528</c:v>
                </c:pt>
                <c:pt idx="1">
                  <c:v>39324.2862920528</c:v>
                </c:pt>
                <c:pt idx="2">
                  <c:v>39324.2862920528</c:v>
                </c:pt>
                <c:pt idx="3">
                  <c:v>39324.2862920528</c:v>
                </c:pt>
              </c:numCache>
            </c:numRef>
          </c:val>
          <c:smooth val="0"/>
        </c:ser>
        <c:ser>
          <c:idx val="15"/>
          <c:order val="1"/>
          <c:tx>
            <c:strRef>
              <c:f>Income!$A$93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Income!$B$93:$I$93</c:f>
              <c:numCache>
                <c:formatCode>General</c:formatCode>
                <c:ptCount val="8"/>
                <c:pt idx="4" formatCode="#,##0">
                  <c:v>39324.2862920528</c:v>
                </c:pt>
                <c:pt idx="5" formatCode="#,##0">
                  <c:v>39324.2862920528</c:v>
                </c:pt>
                <c:pt idx="6" formatCode="#,##0">
                  <c:v>39324.2862920528</c:v>
                </c:pt>
                <c:pt idx="7" formatCode="#,##0">
                  <c:v>39324.2862920528</c:v>
                </c:pt>
              </c:numCache>
            </c:numRef>
          </c:val>
          <c:smooth val="0"/>
        </c:ser>
        <c:ser>
          <c:idx val="18"/>
          <c:order val="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59595.11295871947</c:v>
                </c:pt>
                <c:pt idx="1">
                  <c:v>59595.11295871947</c:v>
                </c:pt>
                <c:pt idx="2">
                  <c:v>59595.11295871947</c:v>
                </c:pt>
                <c:pt idx="3">
                  <c:v>59595.11295871947</c:v>
                </c:pt>
              </c:numCache>
            </c:numRef>
          </c:val>
          <c:smooth val="0"/>
        </c:ser>
        <c:ser>
          <c:idx val="19"/>
          <c:order val="4"/>
          <c:tx>
            <c:strRef>
              <c:f>Income!$A$94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Income!$B$94:$I$94</c:f>
              <c:numCache>
                <c:formatCode>General</c:formatCode>
                <c:ptCount val="8"/>
                <c:pt idx="4" formatCode="#,##0">
                  <c:v>59595.11295871947</c:v>
                </c:pt>
                <c:pt idx="5" formatCode="#,##0">
                  <c:v>59595.11295871947</c:v>
                </c:pt>
                <c:pt idx="6" formatCode="#,##0">
                  <c:v>59595.11295871947</c:v>
                </c:pt>
                <c:pt idx="7" formatCode="#,##0">
                  <c:v>59595.11295871947</c:v>
                </c:pt>
              </c:numCache>
            </c:numRef>
          </c:val>
          <c:smooth val="0"/>
        </c:ser>
        <c:ser>
          <c:idx val="20"/>
          <c:order val="5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92333.03295871947</c:v>
                </c:pt>
                <c:pt idx="1">
                  <c:v>92333.03295871947</c:v>
                </c:pt>
                <c:pt idx="2">
                  <c:v>92333.03295871947</c:v>
                </c:pt>
                <c:pt idx="3">
                  <c:v>92333.03295871946</c:v>
                </c:pt>
              </c:numCache>
            </c:numRef>
          </c:val>
          <c:smooth val="0"/>
        </c:ser>
        <c:ser>
          <c:idx val="21"/>
          <c:order val="6"/>
          <c:tx>
            <c:strRef>
              <c:f>Income!$A$95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Income!$B$95:$I$95</c:f>
              <c:numCache>
                <c:formatCode>General</c:formatCode>
                <c:ptCount val="8"/>
                <c:pt idx="4" formatCode="#,##0">
                  <c:v>92333.03295871947</c:v>
                </c:pt>
                <c:pt idx="5" formatCode="#,##0">
                  <c:v>92333.03295871947</c:v>
                </c:pt>
                <c:pt idx="6" formatCode="#,##0">
                  <c:v>92333.03295871947</c:v>
                </c:pt>
                <c:pt idx="7" formatCode="#,##0">
                  <c:v>92333.03295871946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1551400"/>
        <c:axId val="-2071808456"/>
      </c:lineChart>
      <c:catAx>
        <c:axId val="-2071551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718084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718084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Cash income today's prices, Hhs size = 'Poor')</a:t>
                </a:r>
              </a:p>
            </c:rich>
          </c:tx>
          <c:layout>
            <c:manualLayout>
              <c:xMode val="edge"/>
              <c:yMode val="edge"/>
              <c:x val="0.0165335291637768"/>
              <c:y val="0.13865907005526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7155140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egendEntry>
        <c:idx val="16"/>
        <c:delete val="1"/>
      </c:legendEntry>
      <c:legendEntry>
        <c:idx val="18"/>
        <c:delete val="1"/>
      </c:legendEntry>
      <c:legendEntry>
        <c:idx val="20"/>
        <c:delete val="1"/>
      </c:legendEntry>
      <c:layout>
        <c:manualLayout>
          <c:xMode val="edge"/>
          <c:yMode val="edge"/>
          <c:x val="0.0889954170236492"/>
          <c:y val="0.792363271664213"/>
          <c:w val="0.825463261392844"/>
          <c:h val="0.19950664703497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>
                <a:latin typeface="Helvetica Light"/>
                <a:cs typeface="Helvetica Light"/>
              </a:defRPr>
            </a:pPr>
            <a:r>
              <a:rPr lang="en-US" sz="1400" b="0" i="0">
                <a:latin typeface="Helvetica Light"/>
                <a:cs typeface="Helvetica Light"/>
              </a:rPr>
              <a:t>ZALOI - Baseline Total Income</a:t>
            </a:r>
          </a:p>
        </c:rich>
      </c:tx>
      <c:layout>
        <c:manualLayout>
          <c:xMode val="edge"/>
          <c:yMode val="edge"/>
          <c:x val="0.246303382138332"/>
          <c:y val="0.0145348837209302"/>
        </c:manualLayout>
      </c:layout>
      <c:overlay val="0"/>
      <c:spPr>
        <a:solidFill>
          <a:srgbClr val="FFFFFF"/>
        </a:solidFill>
        <a:ln w="3175" cmpd="sng">
          <a:solidFill>
            <a:srgbClr val="000000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20297191111981"/>
          <c:y val="0.0347394540942928"/>
          <c:w val="0.568554963238291"/>
          <c:h val="0.90951108438414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Income!$B$72:$E$72</c:f>
              <c:numCache>
                <c:formatCode>#,##0</c:formatCode>
                <c:ptCount val="4"/>
                <c:pt idx="0">
                  <c:v>2273.002257565641</c:v>
                </c:pt>
                <c:pt idx="1">
                  <c:v>4695.350787805511</c:v>
                </c:pt>
                <c:pt idx="2">
                  <c:v>5493.79933591558</c:v>
                </c:pt>
                <c:pt idx="3">
                  <c:v>3588.691220685665</c:v>
                </c:pt>
              </c:numCache>
            </c:numRef>
          </c:val>
        </c:ser>
        <c:ser>
          <c:idx val="2"/>
          <c:order val="1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Income!$B$73:$E$73</c:f>
              <c:numCache>
                <c:formatCode>#,##0</c:formatCode>
                <c:ptCount val="4"/>
                <c:pt idx="0">
                  <c:v>1656.553979438456</c:v>
                </c:pt>
                <c:pt idx="1">
                  <c:v>3893.920821615002</c:v>
                </c:pt>
                <c:pt idx="2">
                  <c:v>7824.23342660958</c:v>
                </c:pt>
                <c:pt idx="3">
                  <c:v>19755.53954891456</c:v>
                </c:pt>
              </c:numCache>
            </c:numRef>
          </c:val>
        </c:ser>
        <c:ser>
          <c:idx val="5"/>
          <c:order val="2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Income!$B$74:$E$74</c:f>
              <c:numCache>
                <c:formatCode>#,##0</c:formatCode>
                <c:ptCount val="4"/>
                <c:pt idx="0">
                  <c:v>0.0</c:v>
                </c:pt>
                <c:pt idx="1">
                  <c:v>264.9881556172274</c:v>
                </c:pt>
                <c:pt idx="2">
                  <c:v>596.6833990200416</c:v>
                </c:pt>
                <c:pt idx="3">
                  <c:v>2463.758923060174</c:v>
                </c:pt>
              </c:numCache>
            </c:numRef>
          </c:val>
        </c:ser>
        <c:ser>
          <c:idx val="7"/>
          <c:order val="3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Income!$B$76:$E$76</c:f>
              <c:numCache>
                <c:formatCode>#,##0</c:formatCode>
                <c:ptCount val="4"/>
                <c:pt idx="0">
                  <c:v>0.0</c:v>
                </c:pt>
                <c:pt idx="1">
                  <c:v>2911.342670366356</c:v>
                </c:pt>
                <c:pt idx="2">
                  <c:v>12809.90774961197</c:v>
                </c:pt>
                <c:pt idx="3">
                  <c:v>41840.1532341222</c:v>
                </c:pt>
              </c:numCache>
            </c:numRef>
          </c:val>
        </c:ser>
        <c:ser>
          <c:idx val="8"/>
          <c:order val="4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Income!$B$77:$E$77</c:f>
              <c:numCache>
                <c:formatCode>#,##0</c:formatCode>
                <c:ptCount val="4"/>
                <c:pt idx="0">
                  <c:v>2081.529140348738</c:v>
                </c:pt>
                <c:pt idx="1">
                  <c:v>3391.714210976805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5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Income!$B$78:$E$78</c:f>
              <c:numCache>
                <c:formatCode>#,##0</c:formatCode>
                <c:ptCount val="4"/>
                <c:pt idx="0">
                  <c:v>12130.2698698158</c:v>
                </c:pt>
                <c:pt idx="1">
                  <c:v>21404.91857313994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6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>
                <a:alpha val="97255"/>
              </a:srgb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Income!$B$79:$E$79</c:f>
              <c:numCache>
                <c:formatCode>#,##0</c:formatCode>
                <c:ptCount val="4"/>
                <c:pt idx="0">
                  <c:v>0.0</c:v>
                </c:pt>
                <c:pt idx="1">
                  <c:v>20961.66722663776</c:v>
                </c:pt>
                <c:pt idx="2">
                  <c:v>113542.3641442879</c:v>
                </c:pt>
                <c:pt idx="3">
                  <c:v>309434.1352503669</c:v>
                </c:pt>
              </c:numCache>
            </c:numRef>
          </c:val>
        </c:ser>
        <c:ser>
          <c:idx val="0"/>
          <c:order val="7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Income!$B$80:$E$80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5"/>
          <c:order val="8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Income!$B$81:$E$81</c:f>
              <c:numCache>
                <c:formatCode>#,##0</c:formatCode>
                <c:ptCount val="4"/>
                <c:pt idx="0">
                  <c:v>0.0</c:v>
                </c:pt>
                <c:pt idx="1">
                  <c:v>9345.409971876002</c:v>
                </c:pt>
                <c:pt idx="2">
                  <c:v>1746.805602219814</c:v>
                </c:pt>
                <c:pt idx="3">
                  <c:v>0.0</c:v>
                </c:pt>
              </c:numCache>
            </c:numRef>
          </c:val>
        </c:ser>
        <c:ser>
          <c:idx val="3"/>
          <c:order val="9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Income!$B$82:$E$82</c:f>
              <c:numCache>
                <c:formatCode>#,##0</c:formatCode>
                <c:ptCount val="4"/>
                <c:pt idx="0">
                  <c:v>0.0</c:v>
                </c:pt>
                <c:pt idx="1">
                  <c:v>1397.444481775851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10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Income!$B$83:$E$83</c:f>
              <c:numCache>
                <c:formatCode>#,##0</c:formatCode>
                <c:ptCount val="4"/>
                <c:pt idx="0">
                  <c:v>1008.391684526244</c:v>
                </c:pt>
                <c:pt idx="1">
                  <c:v>840.3264037718696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11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Income!$B$84:$E$84</c:f>
              <c:numCache>
                <c:formatCode>#,##0</c:formatCode>
                <c:ptCount val="4"/>
                <c:pt idx="0">
                  <c:v>66.6150780093308</c:v>
                </c:pt>
                <c:pt idx="1">
                  <c:v>79.93809361119694</c:v>
                </c:pt>
                <c:pt idx="2">
                  <c:v>106.5841248149293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Income!$B$85:$E$85</c:f>
              <c:numCache>
                <c:formatCode>#,##0</c:formatCode>
                <c:ptCount val="4"/>
                <c:pt idx="0">
                  <c:v>29433.67439740386</c:v>
                </c:pt>
                <c:pt idx="1">
                  <c:v>29433.67439740386</c:v>
                </c:pt>
                <c:pt idx="2">
                  <c:v>11092.21557409582</c:v>
                </c:pt>
                <c:pt idx="3">
                  <c:v>12676.81779896665</c:v>
                </c:pt>
              </c:numCache>
            </c:numRef>
          </c:val>
        </c:ser>
        <c:ser>
          <c:idx val="12"/>
          <c:order val="13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Income!$B$86:$E$86</c:f>
              <c:numCache>
                <c:formatCode>#,##0</c:formatCode>
                <c:ptCount val="4"/>
                <c:pt idx="0">
                  <c:v>0.0</c:v>
                </c:pt>
                <c:pt idx="1">
                  <c:v>6987.222408879254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7"/>
          <c:order val="14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48A54"/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Income!$B$87:$E$87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71090424"/>
        <c:axId val="-2071087128"/>
      </c:barChart>
      <c:lineChart>
        <c:grouping val="standard"/>
        <c:varyColors val="0"/>
        <c:ser>
          <c:idx val="13"/>
          <c:order val="15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905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39324.2862920528</c:v>
                </c:pt>
                <c:pt idx="1">
                  <c:v>39324.2862920528</c:v>
                </c:pt>
                <c:pt idx="2">
                  <c:v>39324.2862920528</c:v>
                </c:pt>
                <c:pt idx="3">
                  <c:v>39324.2862920528</c:v>
                </c:pt>
              </c:numCache>
            </c:numRef>
          </c:val>
          <c:smooth val="0"/>
        </c:ser>
        <c:ser>
          <c:idx val="14"/>
          <c:order val="16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22225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59595.11295871947</c:v>
                </c:pt>
                <c:pt idx="1">
                  <c:v>59595.11295871947</c:v>
                </c:pt>
                <c:pt idx="2">
                  <c:v>59595.11295871947</c:v>
                </c:pt>
                <c:pt idx="3">
                  <c:v>59595.11295871947</c:v>
                </c:pt>
              </c:numCache>
            </c:numRef>
          </c:val>
          <c:smooth val="0"/>
        </c:ser>
        <c:ser>
          <c:idx val="16"/>
          <c:order val="17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22225">
              <a:solidFill>
                <a:srgbClr val="723F95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92333.03295871947</c:v>
                </c:pt>
                <c:pt idx="1">
                  <c:v>92333.03295871947</c:v>
                </c:pt>
                <c:pt idx="2">
                  <c:v>92333.03295871947</c:v>
                </c:pt>
                <c:pt idx="3">
                  <c:v>92333.03295871946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1090424"/>
        <c:axId val="-2071087128"/>
      </c:lineChart>
      <c:catAx>
        <c:axId val="-2071090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710871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710871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Annual total income (ZAR)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5015296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7109042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6354859919496"/>
          <c:y val="0.0382165605095541"/>
          <c:w val="0.278513719389964"/>
          <c:h val="0.780701794543124"/>
        </c:manualLayout>
      </c:layout>
      <c:overlay val="0"/>
      <c:spPr>
        <a:noFill/>
        <a:ln w="3175" cmpd="sng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chemeClr val="tx1"/>
      </a:solidFill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197836166925"/>
          <c:y val="0.0347394540942928"/>
          <c:w val="0.727975270479137"/>
          <c:h val="0.7344913151364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Percentiles!$P$3:$Y$3</c:f>
              <c:numCache>
                <c:formatCode>0</c:formatCode>
                <c:ptCount val="10"/>
                <c:pt idx="0">
                  <c:v>2273.002257565641</c:v>
                </c:pt>
                <c:pt idx="1">
                  <c:v>2273.002257565641</c:v>
                </c:pt>
                <c:pt idx="2">
                  <c:v>2273.002257565641</c:v>
                </c:pt>
                <c:pt idx="3">
                  <c:v>2273.002257565641</c:v>
                </c:pt>
                <c:pt idx="4">
                  <c:v>2273.002257565641</c:v>
                </c:pt>
                <c:pt idx="5">
                  <c:v>2273.002257565641</c:v>
                </c:pt>
                <c:pt idx="6">
                  <c:v>2273.002257565641</c:v>
                </c:pt>
                <c:pt idx="7">
                  <c:v>2273.002257565641</c:v>
                </c:pt>
                <c:pt idx="8">
                  <c:v>2273.002257565641</c:v>
                </c:pt>
                <c:pt idx="9">
                  <c:v>2273.002257565641</c:v>
                </c:pt>
              </c:numCache>
            </c:numRef>
          </c:val>
        </c:ser>
        <c:ser>
          <c:idx val="2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D7E4B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Percentiles!$P$4:$Y$4</c:f>
              <c:numCache>
                <c:formatCode>0</c:formatCode>
                <c:ptCount val="10"/>
                <c:pt idx="0">
                  <c:v>1656.553979438456</c:v>
                </c:pt>
                <c:pt idx="1">
                  <c:v>1656.553979438456</c:v>
                </c:pt>
                <c:pt idx="2">
                  <c:v>1656.553979438456</c:v>
                </c:pt>
                <c:pt idx="3">
                  <c:v>1656.553979438456</c:v>
                </c:pt>
                <c:pt idx="4">
                  <c:v>1656.553979438456</c:v>
                </c:pt>
                <c:pt idx="5">
                  <c:v>1656.553979438456</c:v>
                </c:pt>
                <c:pt idx="6">
                  <c:v>1656.553979438456</c:v>
                </c:pt>
                <c:pt idx="7">
                  <c:v>1656.553979438456</c:v>
                </c:pt>
                <c:pt idx="8">
                  <c:v>1656.553979438456</c:v>
                </c:pt>
                <c:pt idx="9">
                  <c:v>1656.553979438456</c:v>
                </c:pt>
              </c:numCache>
            </c:numRef>
          </c:val>
        </c:ser>
        <c:ser>
          <c:idx val="5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Percentiles!$P$5:$Y$5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6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E6B9B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Percentiles!$P$6:$Y$6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7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CC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Percentiles!$P$7:$Y$7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8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9900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Percentiles!$F$8:$O$8</c:f>
              <c:numCache>
                <c:formatCode>0</c:formatCode>
                <c:ptCount val="10"/>
                <c:pt idx="0">
                  <c:v>2081.529140348738</c:v>
                </c:pt>
                <c:pt idx="1">
                  <c:v>2081.529140348738</c:v>
                </c:pt>
                <c:pt idx="2">
                  <c:v>2081.529140348738</c:v>
                </c:pt>
                <c:pt idx="3">
                  <c:v>2081.529140348738</c:v>
                </c:pt>
                <c:pt idx="4">
                  <c:v>2081.529140348738</c:v>
                </c:pt>
                <c:pt idx="5">
                  <c:v>2081.529140348738</c:v>
                </c:pt>
                <c:pt idx="6">
                  <c:v>2081.529140348738</c:v>
                </c:pt>
                <c:pt idx="7">
                  <c:v>2081.529140348738</c:v>
                </c:pt>
                <c:pt idx="8">
                  <c:v>2081.529140348738</c:v>
                </c:pt>
                <c:pt idx="9">
                  <c:v>2081.529140348738</c:v>
                </c:pt>
              </c:numCache>
            </c:numRef>
          </c:val>
        </c:ser>
        <c:ser>
          <c:idx val="9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FF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Percentiles!$F$9:$O$9</c:f>
              <c:numCache>
                <c:formatCode>0</c:formatCode>
                <c:ptCount val="10"/>
                <c:pt idx="0">
                  <c:v>12130.2698698158</c:v>
                </c:pt>
                <c:pt idx="1">
                  <c:v>12130.2698698158</c:v>
                </c:pt>
                <c:pt idx="2">
                  <c:v>12130.2698698158</c:v>
                </c:pt>
                <c:pt idx="3">
                  <c:v>12130.2698698158</c:v>
                </c:pt>
                <c:pt idx="4">
                  <c:v>12130.2698698158</c:v>
                </c:pt>
                <c:pt idx="5">
                  <c:v>12130.2698698158</c:v>
                </c:pt>
                <c:pt idx="6">
                  <c:v>12130.2698698158</c:v>
                </c:pt>
                <c:pt idx="7">
                  <c:v>12130.2698698158</c:v>
                </c:pt>
                <c:pt idx="8">
                  <c:v>12130.2698698158</c:v>
                </c:pt>
                <c:pt idx="9">
                  <c:v>12130.2698698158</c:v>
                </c:pt>
              </c:numCache>
            </c:numRef>
          </c:val>
        </c:ser>
        <c:ser>
          <c:idx val="11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FFC000">
                <a:alpha val="98431"/>
              </a:srgb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Percentiles!$F$10:$O$10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A6A6A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Percentiles!$F$11:$O$11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3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B7DEE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Percentiles!$F$12:$O$12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4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3C8DA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Percentiles!$F$13:$O$13</c:f>
              <c:numCache>
                <c:formatCode>0</c:formatCode>
                <c:ptCount val="10"/>
                <c:pt idx="0">
                  <c:v>1008.391684526244</c:v>
                </c:pt>
                <c:pt idx="1">
                  <c:v>1008.391684526244</c:v>
                </c:pt>
                <c:pt idx="2">
                  <c:v>1008.391684526244</c:v>
                </c:pt>
                <c:pt idx="3">
                  <c:v>1008.391684526244</c:v>
                </c:pt>
                <c:pt idx="4">
                  <c:v>1008.391684526244</c:v>
                </c:pt>
                <c:pt idx="5">
                  <c:v>1008.391684526244</c:v>
                </c:pt>
                <c:pt idx="6">
                  <c:v>1008.391684526244</c:v>
                </c:pt>
                <c:pt idx="7">
                  <c:v>1008.391684526244</c:v>
                </c:pt>
                <c:pt idx="8">
                  <c:v>1008.391684526244</c:v>
                </c:pt>
                <c:pt idx="9">
                  <c:v>1008.391684526244</c:v>
                </c:pt>
              </c:numCache>
            </c:numRef>
          </c:val>
        </c:ser>
        <c:ser>
          <c:idx val="10"/>
          <c:order val="11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4BACC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Percentiles!$F$15:$O$15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99916168"/>
        <c:axId val="-2099917688"/>
      </c:barChart>
      <c:lineChart>
        <c:grouping val="standard"/>
        <c:varyColors val="0"/>
        <c:ser>
          <c:idx val="13"/>
          <c:order val="12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39324.2862920528</c:v>
                </c:pt>
                <c:pt idx="1">
                  <c:v>39324.2862920528</c:v>
                </c:pt>
                <c:pt idx="2">
                  <c:v>39324.2862920528</c:v>
                </c:pt>
                <c:pt idx="3">
                  <c:v>39324.2862920528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59595.11295871947</c:v>
                </c:pt>
                <c:pt idx="1">
                  <c:v>59595.11295871947</c:v>
                </c:pt>
                <c:pt idx="2">
                  <c:v>59595.11295871947</c:v>
                </c:pt>
                <c:pt idx="3">
                  <c:v>59595.11295871947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9916168"/>
        <c:axId val="-2099917688"/>
      </c:lineChart>
      <c:catAx>
        <c:axId val="-2099916168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999176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999176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Cash income (nominal)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6496712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9991616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88798370672098"/>
          <c:y val="0.821780878875289"/>
          <c:w val="0.804481293198839"/>
          <c:h val="0.16501624178165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chemeClr val="tx1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Poor!$K$70:$M$70</c:f>
              <c:numCache>
                <c:formatCode>0%</c:formatCode>
                <c:ptCount val="3"/>
                <c:pt idx="0">
                  <c:v>0.309306159499325</c:v>
                </c:pt>
                <c:pt idx="1">
                  <c:v>0.433028623299055</c:v>
                </c:pt>
                <c:pt idx="2">
                  <c:v>0.433028623299055</c:v>
                </c:pt>
              </c:numCache>
            </c:numRef>
          </c:val>
        </c:ser>
        <c:ser>
          <c:idx val="2"/>
          <c:order val="1"/>
          <c:tx>
            <c:strRef>
              <c:f>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Poor!$K$71:$M$71</c:f>
              <c:numCache>
                <c:formatCode>0%</c:formatCode>
                <c:ptCount val="3"/>
                <c:pt idx="0">
                  <c:v>0.253036775175529</c:v>
                </c:pt>
                <c:pt idx="1">
                  <c:v>0.289554820507102</c:v>
                </c:pt>
                <c:pt idx="2">
                  <c:v>0.286777533719651</c:v>
                </c:pt>
              </c:numCache>
            </c:numRef>
          </c:val>
        </c:ser>
        <c:ser>
          <c:idx val="1"/>
          <c:order val="2"/>
          <c:tx>
            <c:strRef>
              <c:f>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Poor!$K$72:$M$72</c:f>
              <c:numCache>
                <c:formatCode>0%</c:formatCode>
                <c:ptCount val="3"/>
                <c:pt idx="0">
                  <c:v>0.408661069376933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Poor!$K$73:$M$73</c:f>
              <c:numCache>
                <c:formatCode>0%</c:formatCode>
                <c:ptCount val="3"/>
                <c:pt idx="0">
                  <c:v>0.0557519516865518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Poor!$A$75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val>
            <c:numRef>
              <c:f>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0.00483547855847865</c:v>
                </c:pt>
              </c:numCache>
            </c:numRef>
          </c:val>
        </c:ser>
        <c:ser>
          <c:idx val="5"/>
          <c:order val="5"/>
          <c:tx>
            <c:strRef>
              <c:f>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Poor!$K$74:$M$74</c:f>
              <c:numCache>
                <c:formatCode>0%</c:formatCode>
                <c:ptCount val="3"/>
                <c:pt idx="0">
                  <c:v>0.0678745028722934</c:v>
                </c:pt>
                <c:pt idx="1">
                  <c:v>0.0284545602461855</c:v>
                </c:pt>
                <c:pt idx="2">
                  <c:v>-0.00483547855847861</c:v>
                </c:pt>
              </c:numCache>
            </c:numRef>
          </c:val>
        </c:ser>
        <c:ser>
          <c:idx val="4"/>
          <c:order val="6"/>
          <c:tx>
            <c:strRef>
              <c:f>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Poor!$K$77:$M$77</c:f>
              <c:numCache>
                <c:formatCode>0%</c:formatCode>
                <c:ptCount val="3"/>
                <c:pt idx="1">
                  <c:v>-0.298583394707124</c:v>
                </c:pt>
                <c:pt idx="2">
                  <c:v>-0.00697038242899429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17300536"/>
        <c:axId val="-2140875512"/>
      </c:barChart>
      <c:catAx>
        <c:axId val="2117300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408755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408755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570952071970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1730053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82955395777076"/>
          <c:w val="0.729119638826185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Middle!$K$70:$M$70</c:f>
              <c:numCache>
                <c:formatCode>0%</c:formatCode>
                <c:ptCount val="3"/>
                <c:pt idx="0">
                  <c:v>0.207919156081085</c:v>
                </c:pt>
                <c:pt idx="1">
                  <c:v>0.291086818513519</c:v>
                </c:pt>
                <c:pt idx="2">
                  <c:v>0.291086818513519</c:v>
                </c:pt>
              </c:numCache>
            </c:numRef>
          </c:val>
        </c:ser>
        <c:ser>
          <c:idx val="2"/>
          <c:order val="1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Middle!$K$74:$M$74</c:f>
              <c:numCache>
                <c:formatCode>0%</c:formatCode>
                <c:ptCount val="3"/>
                <c:pt idx="0">
                  <c:v>0.0488163578295355</c:v>
                </c:pt>
                <c:pt idx="1">
                  <c:v>0.037332303010351</c:v>
                </c:pt>
                <c:pt idx="2">
                  <c:v>-0.00803793087713988</c:v>
                </c:pt>
              </c:numCache>
            </c:numRef>
          </c:val>
        </c:ser>
        <c:ser>
          <c:idx val="1"/>
          <c:order val="2"/>
          <c:tx>
            <c:strRef>
              <c:f>Middle!$A$73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Middle!$K$73:$M$73</c:f>
              <c:numCache>
                <c:formatCode>0%</c:formatCode>
                <c:ptCount val="3"/>
                <c:pt idx="0">
                  <c:v>0.39992078815783</c:v>
                </c:pt>
                <c:pt idx="1">
                  <c:v>0.0435463553149171</c:v>
                </c:pt>
                <c:pt idx="2">
                  <c:v>0.0556173818632813</c:v>
                </c:pt>
              </c:numCache>
            </c:numRef>
          </c:val>
        </c:ser>
        <c:ser>
          <c:idx val="5"/>
          <c:order val="3"/>
          <c:tx>
            <c:strRef>
              <c:f>Middle!$A$72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Middle!$K$72:$M$72</c:f>
              <c:numCache>
                <c:formatCode>0%</c:formatCode>
                <c:ptCount val="3"/>
                <c:pt idx="0">
                  <c:v>0.274706668646963</c:v>
                </c:pt>
                <c:pt idx="1">
                  <c:v>0.324153869003416</c:v>
                </c:pt>
                <c:pt idx="2">
                  <c:v>0.324153869003416</c:v>
                </c:pt>
              </c:numCache>
            </c:numRef>
          </c:val>
        </c:ser>
        <c:ser>
          <c:idx val="3"/>
          <c:order val="4"/>
          <c:tx>
            <c:strRef>
              <c:f>Middle!$A$75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5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Middle!$K$74:$M$74</c:f>
              <c:numCache>
                <c:formatCode>0%</c:formatCode>
                <c:ptCount val="3"/>
                <c:pt idx="0">
                  <c:v>0.0488163578295355</c:v>
                </c:pt>
                <c:pt idx="1">
                  <c:v>0.037332303010351</c:v>
                </c:pt>
                <c:pt idx="2">
                  <c:v>-0.00803793087713988</c:v>
                </c:pt>
              </c:numCache>
            </c:numRef>
          </c:val>
        </c:ser>
        <c:ser>
          <c:idx val="4"/>
          <c:order val="6"/>
          <c:tx>
            <c:strRef>
              <c:f>Middle!$A$77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17516168"/>
        <c:axId val="2117325944"/>
      </c:barChart>
      <c:catAx>
        <c:axId val="2117516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173259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173259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5819037620297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1751616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150419250691"/>
          <c:y val="0.756667143879742"/>
          <c:w val="0.799532436763988"/>
          <c:h val="0.2137874015748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527104111986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Rich!$K$70:$M$70</c:f>
              <c:numCache>
                <c:formatCode>0%</c:formatCode>
                <c:ptCount val="3"/>
                <c:pt idx="0">
                  <c:v>0.0796633170992566</c:v>
                </c:pt>
                <c:pt idx="1">
                  <c:v>0.111528643938959</c:v>
                </c:pt>
                <c:pt idx="2">
                  <c:v>0.111528643938959</c:v>
                </c:pt>
              </c:numCache>
            </c:numRef>
          </c:val>
        </c:ser>
        <c:ser>
          <c:idx val="2"/>
          <c:order val="1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Rich!$K$74:$M$74</c:f>
              <c:numCache>
                <c:formatCode>0%</c:formatCode>
                <c:ptCount val="3"/>
                <c:pt idx="0">
                  <c:v>0.0190474305852603</c:v>
                </c:pt>
                <c:pt idx="1">
                  <c:v>0.0171066985974527</c:v>
                </c:pt>
                <c:pt idx="2">
                  <c:v>0.0129039866399604</c:v>
                </c:pt>
              </c:numCache>
            </c:numRef>
          </c:val>
        </c:ser>
        <c:ser>
          <c:idx val="1"/>
          <c:order val="2"/>
          <c:tx>
            <c:strRef>
              <c:f>Rich!$A$73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Rich!$K$73:$M$73</c:f>
              <c:numCache>
                <c:formatCode>0%</c:formatCode>
                <c:ptCount val="3"/>
                <c:pt idx="0">
                  <c:v>0.337965271304385</c:v>
                </c:pt>
                <c:pt idx="1">
                  <c:v>0.398799020139175</c:v>
                </c:pt>
                <c:pt idx="2">
                  <c:v>0.398799020139175</c:v>
                </c:pt>
              </c:numCache>
            </c:numRef>
          </c:val>
        </c:ser>
        <c:ser>
          <c:idx val="3"/>
          <c:order val="3"/>
          <c:tx>
            <c:strRef>
              <c:f>Rich!$A$75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Rich!$K$75:$M$75</c:f>
              <c:numCache>
                <c:formatCode>0%</c:formatCode>
                <c:ptCount val="3"/>
                <c:pt idx="0">
                  <c:v>0.392900458570406</c:v>
                </c:pt>
                <c:pt idx="1">
                  <c:v>0.20955862076939</c:v>
                </c:pt>
                <c:pt idx="2">
                  <c:v>0.214656303821197</c:v>
                </c:pt>
              </c:numCache>
            </c:numRef>
          </c:val>
        </c:ser>
        <c:ser>
          <c:idx val="5"/>
          <c:order val="4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Rich!$K$74:$M$74</c:f>
              <c:numCache>
                <c:formatCode>0%</c:formatCode>
                <c:ptCount val="3"/>
                <c:pt idx="0">
                  <c:v>0.0190474305852603</c:v>
                </c:pt>
                <c:pt idx="1">
                  <c:v>0.0171066985974527</c:v>
                </c:pt>
                <c:pt idx="2">
                  <c:v>0.0129039866399604</c:v>
                </c:pt>
              </c:numCache>
            </c:numRef>
          </c:val>
        </c:ser>
        <c:ser>
          <c:idx val="4"/>
          <c:order val="5"/>
          <c:tx>
            <c:strRef>
              <c:f>Rich!$A$77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71138680"/>
        <c:axId val="-2071130488"/>
      </c:barChart>
      <c:catAx>
        <c:axId val="-2071138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711304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711304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5761806658868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7113868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V.Poor!$K$70:$M$70</c:f>
              <c:numCache>
                <c:formatCode>0%</c:formatCode>
                <c:ptCount val="3"/>
                <c:pt idx="0">
                  <c:v>0.703760143723078</c:v>
                </c:pt>
                <c:pt idx="1">
                  <c:v>0.372002144915879</c:v>
                </c:pt>
                <c:pt idx="2">
                  <c:v>0.351628795495677</c:v>
                </c:pt>
              </c:numCache>
            </c:numRef>
          </c:val>
        </c:ser>
        <c:ser>
          <c:idx val="2"/>
          <c:order val="1"/>
          <c:tx>
            <c:strRef>
              <c:f>V.Poor!$A$71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V.Poor!$K$71:$M$71</c:f>
              <c:numCache>
                <c:formatCode>0%</c:formatCode>
                <c:ptCount val="3"/>
                <c:pt idx="0">
                  <c:v>0.575731170543155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2"/>
          <c:tx>
            <c:strRef>
              <c:f>V.Poor!$A$72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2700" cmpd="sng">
              <a:solidFill>
                <a:schemeClr val="tx1"/>
              </a:solidFill>
            </a:ln>
          </c:spPr>
          <c:invertIfNegative val="0"/>
          <c:val>
            <c:numRef>
              <c:f>V.Poor!$K$72:$M$72</c:f>
              <c:numCache>
                <c:formatCode>0%</c:formatCode>
                <c:ptCount val="3"/>
                <c:pt idx="0">
                  <c:v>0.929821033581339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3"/>
          <c:tx>
            <c:strRef>
              <c:f>V.Poor!$A$73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V.Poor!$K$73:$M$73</c:f>
              <c:numCache>
                <c:formatCode>0%</c:formatCode>
                <c:ptCount val="3"/>
                <c:pt idx="0">
                  <c:v>0.0594879013338695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V.Poor!$A$74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V.Poor!$K$74:$M$74</c:f>
              <c:numCache>
                <c:formatCode>0%</c:formatCode>
                <c:ptCount val="3"/>
                <c:pt idx="0">
                  <c:v>0.147234889313539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5"/>
          <c:tx>
            <c:strRef>
              <c:f>V.Poor!$A$75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V.Poor!$A$77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V.Poor!$K$77:$M$77</c:f>
              <c:numCache>
                <c:formatCode>0%</c:formatCode>
                <c:ptCount val="3"/>
                <c:pt idx="1">
                  <c:v>-1.312998186957555</c:v>
                </c:pt>
                <c:pt idx="2">
                  <c:v>-1.312998186957555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71235544"/>
        <c:axId val="-2071241640"/>
      </c:barChart>
      <c:catAx>
        <c:axId val="-2071235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712416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712416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5652475940507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7123554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6530667773205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Middle!$K$6:$M$6</c:f>
              <c:numCache>
                <c:formatCode>0%</c:formatCode>
                <c:ptCount val="3"/>
                <c:pt idx="0">
                  <c:v>0.0281553175591532</c:v>
                </c:pt>
                <c:pt idx="1">
                  <c:v>0.0140776587795766</c:v>
                </c:pt>
                <c:pt idx="2" formatCode="0.0%">
                  <c:v>0.0140776587795766</c:v>
                </c:pt>
              </c:numCache>
            </c:numRef>
          </c:val>
        </c:ser>
        <c:ser>
          <c:idx val="1"/>
          <c:order val="1"/>
          <c:tx>
            <c:strRef>
              <c:f>Middle!$A$7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Middle!$K$7:$M$7</c:f>
              <c:numCache>
                <c:formatCode>0%</c:formatCode>
                <c:ptCount val="3"/>
                <c:pt idx="0">
                  <c:v>0.0187702117061021</c:v>
                </c:pt>
                <c:pt idx="1">
                  <c:v>0.00938510585305106</c:v>
                </c:pt>
                <c:pt idx="2" formatCode="0.0%">
                  <c:v>0.00938510585305106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Middle!$K$8:$M$8</c:f>
              <c:numCache>
                <c:formatCode>0%</c:formatCode>
                <c:ptCount val="3"/>
                <c:pt idx="0">
                  <c:v>0.005906425124533</c:v>
                </c:pt>
                <c:pt idx="1">
                  <c:v>0.0029532125622665</c:v>
                </c:pt>
                <c:pt idx="2" formatCode="0.0%">
                  <c:v>0.0029532125622665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Middle!$K$9:$M$9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Middle!$K$10:$M$10</c:f>
              <c:numCache>
                <c:formatCode>0%</c:formatCode>
                <c:ptCount val="3"/>
                <c:pt idx="0">
                  <c:v>0.325301455479452</c:v>
                </c:pt>
                <c:pt idx="1">
                  <c:v>0.354578586472603</c:v>
                </c:pt>
                <c:pt idx="2" formatCode="0.0%">
                  <c:v>0.477296647301931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Maize (irrigated):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Middle!$K$11:$M$11</c:f>
              <c:numCache>
                <c:formatCode>0%</c:formatCode>
                <c:ptCount val="3"/>
                <c:pt idx="0">
                  <c:v>0.0443592893835616</c:v>
                </c:pt>
                <c:pt idx="1">
                  <c:v>0.0483516254280822</c:v>
                </c:pt>
                <c:pt idx="2" formatCode="0.0%">
                  <c:v>0.0892576457045249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Middle!$K$12:$M$12</c:f>
              <c:numCache>
                <c:formatCode>0%</c:formatCode>
                <c:ptCount val="3"/>
                <c:pt idx="0">
                  <c:v>0.00997167496886675</c:v>
                </c:pt>
                <c:pt idx="1">
                  <c:v>0.00997167496886675</c:v>
                </c:pt>
                <c:pt idx="2" formatCode="0.0%">
                  <c:v>0.00997167496886675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Beans season 2: kg produced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0.0131427144530613</c:v>
                </c:pt>
              </c:numCache>
            </c:numRef>
          </c:val>
        </c:ser>
        <c:ser>
          <c:idx val="9"/>
          <c:order val="8"/>
          <c:tx>
            <c:strRef>
              <c:f>Middle!$A$14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Middle!$K$14:$M$14</c:f>
              <c:numCache>
                <c:formatCode>0%</c:formatCode>
                <c:ptCount val="3"/>
                <c:pt idx="0">
                  <c:v>0.0111680417185554</c:v>
                </c:pt>
                <c:pt idx="1">
                  <c:v>0.0111680417185554</c:v>
                </c:pt>
                <c:pt idx="2" formatCode="0.0%">
                  <c:v>0.0111680417185554</c:v>
                </c:pt>
              </c:numCache>
            </c:numRef>
          </c:val>
        </c:ser>
        <c:ser>
          <c:idx val="10"/>
          <c:order val="9"/>
          <c:tx>
            <c:strRef>
              <c:f>Middle!$A$15</c:f>
              <c:strCache>
                <c:ptCount val="1"/>
                <c:pt idx="0">
                  <c:v>Other root crops (sweet potato): no. local meas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Middle!$K$15:$M$15</c:f>
              <c:numCache>
                <c:formatCode>0%</c:formatCode>
                <c:ptCount val="3"/>
                <c:pt idx="0">
                  <c:v>0.0185746886674969</c:v>
                </c:pt>
                <c:pt idx="1">
                  <c:v>0.0185746886674969</c:v>
                </c:pt>
                <c:pt idx="2" formatCode="0.0%">
                  <c:v>0.0922359201153333</c:v>
                </c:pt>
              </c:numCache>
            </c:numRef>
          </c:val>
        </c:ser>
        <c:ser>
          <c:idx val="11"/>
          <c:order val="10"/>
          <c:tx>
            <c:strRef>
              <c:f>Middle!$A$16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Middle!$K$16:$M$16</c:f>
              <c:numCache>
                <c:formatCode>0%</c:formatCode>
                <c:ptCount val="3"/>
                <c:pt idx="0">
                  <c:v>0.0563317247820672</c:v>
                </c:pt>
                <c:pt idx="1">
                  <c:v>0.0563317247820672</c:v>
                </c:pt>
                <c:pt idx="2" formatCode="0.0%">
                  <c:v>0.0831389415789032</c:v>
                </c:pt>
              </c:numCache>
            </c:numRef>
          </c:val>
        </c:ser>
        <c:ser>
          <c:idx val="12"/>
          <c:order val="11"/>
          <c:tx>
            <c:strRef>
              <c:f>Middle!$A$17</c:f>
              <c:strCache>
                <c:ptCount val="1"/>
                <c:pt idx="0">
                  <c:v>Other crop: Rape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Middle!$K$17:$M$17</c:f>
              <c:numCache>
                <c:formatCode>0%</c:formatCode>
                <c:ptCount val="3"/>
                <c:pt idx="0">
                  <c:v>0.0207289072229141</c:v>
                </c:pt>
                <c:pt idx="1">
                  <c:v>0.0207289072229141</c:v>
                </c:pt>
                <c:pt idx="2" formatCode="0.0%">
                  <c:v>0.0229003380826232</c:v>
                </c:pt>
              </c:numCache>
            </c:numRef>
          </c:val>
        </c:ser>
        <c:ser>
          <c:idx val="13"/>
          <c:order val="12"/>
          <c:tx>
            <c:strRef>
              <c:f>Middle!$A$18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Middle!$A$19</c:f>
              <c:strCache>
                <c:ptCount val="1"/>
                <c:pt idx="0">
                  <c:v>Labour: Weeding, ploughing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Middle!$A$20</c:f>
              <c:strCache>
                <c:ptCount val="1"/>
                <c:pt idx="0">
                  <c:v>Gifts/remittances: cereal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Middle!$K$20:$M$20</c:f>
              <c:numCache>
                <c:formatCode>0%</c:formatCode>
                <c:ptCount val="3"/>
                <c:pt idx="0">
                  <c:v>0.00943724533001245</c:v>
                </c:pt>
                <c:pt idx="1">
                  <c:v>0.00943724533001245</c:v>
                </c:pt>
                <c:pt idx="2" formatCode="0.0%">
                  <c:v>0.00943724533001245</c:v>
                </c:pt>
              </c:numCache>
            </c:numRef>
          </c:val>
        </c:ser>
        <c:ser>
          <c:idx val="16"/>
          <c:order val="15"/>
          <c:tx>
            <c:strRef>
              <c:f>Middle!$A$21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Middle!$A$22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Middle!$K$26:$M$26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Middle!$A$27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Middle!$K$27:$M$27</c:f>
              <c:numCache>
                <c:formatCode>0%</c:formatCode>
                <c:ptCount val="3"/>
                <c:pt idx="0">
                  <c:v>0.0384712434620174</c:v>
                </c:pt>
                <c:pt idx="1">
                  <c:v>0.0384712434620174</c:v>
                </c:pt>
                <c:pt idx="2" formatCode="0.0%">
                  <c:v>0.00795833183835664</c:v>
                </c:pt>
              </c:numCache>
            </c:numRef>
          </c:val>
        </c:ser>
        <c:ser>
          <c:idx val="22"/>
          <c:order val="2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Middle!$K$29:$M$29</c:f>
              <c:numCache>
                <c:formatCode>0%</c:formatCode>
                <c:ptCount val="3"/>
                <c:pt idx="0">
                  <c:v>0.204587160803238</c:v>
                </c:pt>
                <c:pt idx="1">
                  <c:v>0.204587160803238</c:v>
                </c:pt>
                <c:pt idx="2" formatCode="0.0%">
                  <c:v>0.220489222154479</c:v>
                </c:pt>
              </c:numCache>
            </c:numRef>
          </c:val>
        </c:ser>
        <c:ser>
          <c:idx val="24"/>
          <c:order val="2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Middle!$K$30:$M$30</c:f>
              <c:numCache>
                <c:formatCode>0%</c:formatCode>
                <c:ptCount val="3"/>
                <c:pt idx="0">
                  <c:v>0.635449875466999</c:v>
                </c:pt>
                <c:pt idx="1">
                  <c:v>0.294521336868055</c:v>
                </c:pt>
                <c:pt idx="2" formatCode="0.0%">
                  <c:v>-0.0634127004415417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99894824"/>
        <c:axId val="-2099906264"/>
      </c:barChart>
      <c:catAx>
        <c:axId val="-2099894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999062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999062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465806982836893"/>
              <c:y val="0.24108655863503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9989482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"/>
          <c:y val="0.770655332963563"/>
          <c:w val="0.993747736609297"/>
          <c:h val="0.21667158677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Percentiles!$F$3:$DA$3</c:f>
              <c:numCache>
                <c:formatCode>0</c:formatCode>
                <c:ptCount val="100"/>
                <c:pt idx="0">
                  <c:v>2273.002257565641</c:v>
                </c:pt>
                <c:pt idx="1">
                  <c:v>2273.002257565641</c:v>
                </c:pt>
                <c:pt idx="2">
                  <c:v>2273.002257565641</c:v>
                </c:pt>
                <c:pt idx="3">
                  <c:v>2273.002257565641</c:v>
                </c:pt>
                <c:pt idx="4">
                  <c:v>2273.002257565641</c:v>
                </c:pt>
                <c:pt idx="5">
                  <c:v>2273.002257565641</c:v>
                </c:pt>
                <c:pt idx="6">
                  <c:v>2273.002257565641</c:v>
                </c:pt>
                <c:pt idx="7">
                  <c:v>2273.002257565641</c:v>
                </c:pt>
                <c:pt idx="8">
                  <c:v>2273.002257565641</c:v>
                </c:pt>
                <c:pt idx="9">
                  <c:v>2273.002257565641</c:v>
                </c:pt>
                <c:pt idx="10">
                  <c:v>2273.002257565641</c:v>
                </c:pt>
                <c:pt idx="11">
                  <c:v>2273.002257565641</c:v>
                </c:pt>
                <c:pt idx="12">
                  <c:v>2273.002257565641</c:v>
                </c:pt>
                <c:pt idx="13">
                  <c:v>2273.002257565641</c:v>
                </c:pt>
                <c:pt idx="14">
                  <c:v>2273.002257565641</c:v>
                </c:pt>
                <c:pt idx="15">
                  <c:v>2273.002257565641</c:v>
                </c:pt>
                <c:pt idx="16">
                  <c:v>2273.002257565641</c:v>
                </c:pt>
                <c:pt idx="17">
                  <c:v>2273.002257565641</c:v>
                </c:pt>
                <c:pt idx="18">
                  <c:v>2273.002257565641</c:v>
                </c:pt>
                <c:pt idx="19">
                  <c:v>2273.002257565641</c:v>
                </c:pt>
                <c:pt idx="20">
                  <c:v>2273.002257565641</c:v>
                </c:pt>
                <c:pt idx="21">
                  <c:v>2273.002257565641</c:v>
                </c:pt>
                <c:pt idx="22">
                  <c:v>2273.002257565641</c:v>
                </c:pt>
                <c:pt idx="23">
                  <c:v>2273.002257565641</c:v>
                </c:pt>
                <c:pt idx="24">
                  <c:v>2273.002257565641</c:v>
                </c:pt>
                <c:pt idx="25">
                  <c:v>2273.002257565641</c:v>
                </c:pt>
                <c:pt idx="26">
                  <c:v>2273.002257565641</c:v>
                </c:pt>
                <c:pt idx="27">
                  <c:v>2273.002257565641</c:v>
                </c:pt>
                <c:pt idx="28">
                  <c:v>2273.002257565641</c:v>
                </c:pt>
                <c:pt idx="29">
                  <c:v>2273.002257565641</c:v>
                </c:pt>
                <c:pt idx="30">
                  <c:v>2273.002257565641</c:v>
                </c:pt>
                <c:pt idx="31">
                  <c:v>2273.002257565641</c:v>
                </c:pt>
                <c:pt idx="32">
                  <c:v>2273.002257565641</c:v>
                </c:pt>
                <c:pt idx="33">
                  <c:v>2273.002257565641</c:v>
                </c:pt>
                <c:pt idx="34">
                  <c:v>2273.002257565641</c:v>
                </c:pt>
                <c:pt idx="35">
                  <c:v>2273.002257565641</c:v>
                </c:pt>
                <c:pt idx="36">
                  <c:v>2273.002257565641</c:v>
                </c:pt>
                <c:pt idx="37">
                  <c:v>2273.002257565641</c:v>
                </c:pt>
                <c:pt idx="38">
                  <c:v>2273.002257565641</c:v>
                </c:pt>
                <c:pt idx="39">
                  <c:v>2273.002257565641</c:v>
                </c:pt>
                <c:pt idx="40">
                  <c:v>2273.002257565641</c:v>
                </c:pt>
                <c:pt idx="41">
                  <c:v>2273.002257565641</c:v>
                </c:pt>
                <c:pt idx="42">
                  <c:v>2273.002257565641</c:v>
                </c:pt>
                <c:pt idx="43">
                  <c:v>2273.002257565641</c:v>
                </c:pt>
                <c:pt idx="44">
                  <c:v>2273.002257565641</c:v>
                </c:pt>
                <c:pt idx="45">
                  <c:v>2273.002257565641</c:v>
                </c:pt>
                <c:pt idx="46">
                  <c:v>2273.002257565641</c:v>
                </c:pt>
                <c:pt idx="47">
                  <c:v>4695.350787805511</c:v>
                </c:pt>
                <c:pt idx="48">
                  <c:v>4695.350787805511</c:v>
                </c:pt>
                <c:pt idx="49">
                  <c:v>4695.350787805511</c:v>
                </c:pt>
                <c:pt idx="50">
                  <c:v>4695.350787805511</c:v>
                </c:pt>
                <c:pt idx="51">
                  <c:v>4695.350787805511</c:v>
                </c:pt>
                <c:pt idx="52">
                  <c:v>4695.350787805511</c:v>
                </c:pt>
                <c:pt idx="53">
                  <c:v>4695.350787805511</c:v>
                </c:pt>
                <c:pt idx="54">
                  <c:v>4695.350787805511</c:v>
                </c:pt>
                <c:pt idx="55">
                  <c:v>4695.350787805511</c:v>
                </c:pt>
                <c:pt idx="56">
                  <c:v>4695.350787805511</c:v>
                </c:pt>
                <c:pt idx="57">
                  <c:v>4695.350787805511</c:v>
                </c:pt>
                <c:pt idx="58">
                  <c:v>4695.350787805511</c:v>
                </c:pt>
                <c:pt idx="59">
                  <c:v>4695.350787805511</c:v>
                </c:pt>
                <c:pt idx="60">
                  <c:v>4695.350787805511</c:v>
                </c:pt>
                <c:pt idx="61">
                  <c:v>4695.350787805511</c:v>
                </c:pt>
                <c:pt idx="62">
                  <c:v>4695.350787805511</c:v>
                </c:pt>
                <c:pt idx="63">
                  <c:v>4695.350787805511</c:v>
                </c:pt>
                <c:pt idx="64">
                  <c:v>4695.350787805511</c:v>
                </c:pt>
                <c:pt idx="65">
                  <c:v>4695.350787805511</c:v>
                </c:pt>
                <c:pt idx="66">
                  <c:v>4695.350787805511</c:v>
                </c:pt>
                <c:pt idx="67">
                  <c:v>4695.350787805511</c:v>
                </c:pt>
                <c:pt idx="68">
                  <c:v>4695.350787805511</c:v>
                </c:pt>
                <c:pt idx="69">
                  <c:v>4695.350787805511</c:v>
                </c:pt>
                <c:pt idx="70">
                  <c:v>4695.350787805511</c:v>
                </c:pt>
                <c:pt idx="71">
                  <c:v>4695.350787805511</c:v>
                </c:pt>
                <c:pt idx="72">
                  <c:v>5493.79933591558</c:v>
                </c:pt>
                <c:pt idx="73">
                  <c:v>5493.79933591558</c:v>
                </c:pt>
                <c:pt idx="74">
                  <c:v>5493.79933591558</c:v>
                </c:pt>
                <c:pt idx="75">
                  <c:v>5493.79933591558</c:v>
                </c:pt>
                <c:pt idx="76">
                  <c:v>5493.79933591558</c:v>
                </c:pt>
                <c:pt idx="77">
                  <c:v>5493.79933591558</c:v>
                </c:pt>
                <c:pt idx="78">
                  <c:v>5493.79933591558</c:v>
                </c:pt>
                <c:pt idx="79">
                  <c:v>5493.79933591558</c:v>
                </c:pt>
                <c:pt idx="80">
                  <c:v>5493.79933591558</c:v>
                </c:pt>
                <c:pt idx="81">
                  <c:v>5493.79933591558</c:v>
                </c:pt>
                <c:pt idx="82">
                  <c:v>5493.79933591558</c:v>
                </c:pt>
                <c:pt idx="83">
                  <c:v>5493.79933591558</c:v>
                </c:pt>
                <c:pt idx="84">
                  <c:v>5493.79933591558</c:v>
                </c:pt>
                <c:pt idx="85">
                  <c:v>5493.79933591558</c:v>
                </c:pt>
                <c:pt idx="86">
                  <c:v>5493.79933591558</c:v>
                </c:pt>
                <c:pt idx="87">
                  <c:v>5493.79933591558</c:v>
                </c:pt>
                <c:pt idx="88">
                  <c:v>5493.79933591558</c:v>
                </c:pt>
                <c:pt idx="89">
                  <c:v>5493.79933591558</c:v>
                </c:pt>
                <c:pt idx="90">
                  <c:v>3588.691220685665</c:v>
                </c:pt>
                <c:pt idx="91">
                  <c:v>3588.691220685665</c:v>
                </c:pt>
                <c:pt idx="92">
                  <c:v>3588.691220685665</c:v>
                </c:pt>
                <c:pt idx="93">
                  <c:v>3588.691220685665</c:v>
                </c:pt>
                <c:pt idx="94">
                  <c:v>3588.691220685665</c:v>
                </c:pt>
                <c:pt idx="95">
                  <c:v>3588.691220685665</c:v>
                </c:pt>
                <c:pt idx="96">
                  <c:v>3588.691220685665</c:v>
                </c:pt>
                <c:pt idx="97">
                  <c:v>3588.691220685665</c:v>
                </c:pt>
                <c:pt idx="98">
                  <c:v>3588.691220685665</c:v>
                </c:pt>
                <c:pt idx="99">
                  <c:v>3588.691220685665</c:v>
                </c:pt>
              </c:numCache>
            </c:numRef>
          </c:val>
        </c:ser>
        <c:ser>
          <c:idx val="1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Percentiles!$F$4:$DA$4</c:f>
              <c:numCache>
                <c:formatCode>0</c:formatCode>
                <c:ptCount val="100"/>
                <c:pt idx="0">
                  <c:v>1656.553979438456</c:v>
                </c:pt>
                <c:pt idx="1">
                  <c:v>1656.553979438456</c:v>
                </c:pt>
                <c:pt idx="2">
                  <c:v>1656.553979438456</c:v>
                </c:pt>
                <c:pt idx="3">
                  <c:v>1656.553979438456</c:v>
                </c:pt>
                <c:pt idx="4">
                  <c:v>1656.553979438456</c:v>
                </c:pt>
                <c:pt idx="5">
                  <c:v>1656.553979438456</c:v>
                </c:pt>
                <c:pt idx="6">
                  <c:v>1656.553979438456</c:v>
                </c:pt>
                <c:pt idx="7">
                  <c:v>1656.553979438456</c:v>
                </c:pt>
                <c:pt idx="8">
                  <c:v>1656.553979438456</c:v>
                </c:pt>
                <c:pt idx="9">
                  <c:v>1656.553979438456</c:v>
                </c:pt>
                <c:pt idx="10">
                  <c:v>1656.553979438456</c:v>
                </c:pt>
                <c:pt idx="11">
                  <c:v>1656.553979438456</c:v>
                </c:pt>
                <c:pt idx="12">
                  <c:v>1656.553979438456</c:v>
                </c:pt>
                <c:pt idx="13">
                  <c:v>1656.553979438456</c:v>
                </c:pt>
                <c:pt idx="14">
                  <c:v>1656.553979438456</c:v>
                </c:pt>
                <c:pt idx="15">
                  <c:v>1656.553979438456</c:v>
                </c:pt>
                <c:pt idx="16">
                  <c:v>1656.553979438456</c:v>
                </c:pt>
                <c:pt idx="17">
                  <c:v>1656.553979438456</c:v>
                </c:pt>
                <c:pt idx="18">
                  <c:v>1656.553979438456</c:v>
                </c:pt>
                <c:pt idx="19">
                  <c:v>1656.553979438456</c:v>
                </c:pt>
                <c:pt idx="20">
                  <c:v>1656.553979438456</c:v>
                </c:pt>
                <c:pt idx="21">
                  <c:v>1656.553979438456</c:v>
                </c:pt>
                <c:pt idx="22">
                  <c:v>1656.553979438456</c:v>
                </c:pt>
                <c:pt idx="23">
                  <c:v>1656.553979438456</c:v>
                </c:pt>
                <c:pt idx="24">
                  <c:v>1656.553979438456</c:v>
                </c:pt>
                <c:pt idx="25">
                  <c:v>1656.553979438456</c:v>
                </c:pt>
                <c:pt idx="26">
                  <c:v>1656.553979438456</c:v>
                </c:pt>
                <c:pt idx="27">
                  <c:v>1656.553979438456</c:v>
                </c:pt>
                <c:pt idx="28">
                  <c:v>1656.553979438456</c:v>
                </c:pt>
                <c:pt idx="29">
                  <c:v>1656.553979438456</c:v>
                </c:pt>
                <c:pt idx="30">
                  <c:v>1656.553979438456</c:v>
                </c:pt>
                <c:pt idx="31">
                  <c:v>1656.553979438456</c:v>
                </c:pt>
                <c:pt idx="32">
                  <c:v>1656.553979438456</c:v>
                </c:pt>
                <c:pt idx="33">
                  <c:v>1656.553979438456</c:v>
                </c:pt>
                <c:pt idx="34">
                  <c:v>1656.553979438456</c:v>
                </c:pt>
                <c:pt idx="35">
                  <c:v>1656.553979438456</c:v>
                </c:pt>
                <c:pt idx="36">
                  <c:v>1656.553979438456</c:v>
                </c:pt>
                <c:pt idx="37">
                  <c:v>1656.553979438456</c:v>
                </c:pt>
                <c:pt idx="38">
                  <c:v>1656.553979438456</c:v>
                </c:pt>
                <c:pt idx="39">
                  <c:v>1656.553979438456</c:v>
                </c:pt>
                <c:pt idx="40">
                  <c:v>1656.553979438456</c:v>
                </c:pt>
                <c:pt idx="41">
                  <c:v>1656.553979438456</c:v>
                </c:pt>
                <c:pt idx="42">
                  <c:v>1656.553979438456</c:v>
                </c:pt>
                <c:pt idx="43">
                  <c:v>1656.553979438456</c:v>
                </c:pt>
                <c:pt idx="44">
                  <c:v>1656.553979438456</c:v>
                </c:pt>
                <c:pt idx="45">
                  <c:v>1656.553979438456</c:v>
                </c:pt>
                <c:pt idx="46">
                  <c:v>1656.553979438456</c:v>
                </c:pt>
                <c:pt idx="47">
                  <c:v>3893.920821615002</c:v>
                </c:pt>
                <c:pt idx="48">
                  <c:v>3893.920821615002</c:v>
                </c:pt>
                <c:pt idx="49">
                  <c:v>3893.920821615002</c:v>
                </c:pt>
                <c:pt idx="50">
                  <c:v>3893.920821615002</c:v>
                </c:pt>
                <c:pt idx="51">
                  <c:v>3893.920821615002</c:v>
                </c:pt>
                <c:pt idx="52">
                  <c:v>3893.920821615002</c:v>
                </c:pt>
                <c:pt idx="53">
                  <c:v>3893.920821615002</c:v>
                </c:pt>
                <c:pt idx="54">
                  <c:v>3893.920821615002</c:v>
                </c:pt>
                <c:pt idx="55">
                  <c:v>3893.920821615002</c:v>
                </c:pt>
                <c:pt idx="56">
                  <c:v>3893.920821615002</c:v>
                </c:pt>
                <c:pt idx="57">
                  <c:v>3893.920821615002</c:v>
                </c:pt>
                <c:pt idx="58">
                  <c:v>3893.920821615002</c:v>
                </c:pt>
                <c:pt idx="59">
                  <c:v>3893.920821615002</c:v>
                </c:pt>
                <c:pt idx="60">
                  <c:v>3893.920821615002</c:v>
                </c:pt>
                <c:pt idx="61">
                  <c:v>3893.920821615002</c:v>
                </c:pt>
                <c:pt idx="62">
                  <c:v>3893.920821615002</c:v>
                </c:pt>
                <c:pt idx="63">
                  <c:v>3893.920821615002</c:v>
                </c:pt>
                <c:pt idx="64">
                  <c:v>3893.920821615002</c:v>
                </c:pt>
                <c:pt idx="65">
                  <c:v>3893.920821615002</c:v>
                </c:pt>
                <c:pt idx="66">
                  <c:v>3893.920821615002</c:v>
                </c:pt>
                <c:pt idx="67">
                  <c:v>3893.920821615002</c:v>
                </c:pt>
                <c:pt idx="68">
                  <c:v>3893.920821615002</c:v>
                </c:pt>
                <c:pt idx="69">
                  <c:v>3893.920821615002</c:v>
                </c:pt>
                <c:pt idx="70">
                  <c:v>3893.920821615002</c:v>
                </c:pt>
                <c:pt idx="71">
                  <c:v>3893.920821615002</c:v>
                </c:pt>
                <c:pt idx="72">
                  <c:v>7824.23342660958</c:v>
                </c:pt>
                <c:pt idx="73">
                  <c:v>7824.23342660958</c:v>
                </c:pt>
                <c:pt idx="74">
                  <c:v>7824.23342660958</c:v>
                </c:pt>
                <c:pt idx="75">
                  <c:v>7824.23342660958</c:v>
                </c:pt>
                <c:pt idx="76">
                  <c:v>7824.23342660958</c:v>
                </c:pt>
                <c:pt idx="77">
                  <c:v>7824.23342660958</c:v>
                </c:pt>
                <c:pt idx="78">
                  <c:v>7824.23342660958</c:v>
                </c:pt>
                <c:pt idx="79">
                  <c:v>7824.23342660958</c:v>
                </c:pt>
                <c:pt idx="80">
                  <c:v>7824.23342660958</c:v>
                </c:pt>
                <c:pt idx="81">
                  <c:v>7824.23342660958</c:v>
                </c:pt>
                <c:pt idx="82">
                  <c:v>7824.23342660958</c:v>
                </c:pt>
                <c:pt idx="83">
                  <c:v>7824.23342660958</c:v>
                </c:pt>
                <c:pt idx="84">
                  <c:v>7824.23342660958</c:v>
                </c:pt>
                <c:pt idx="85">
                  <c:v>7824.23342660958</c:v>
                </c:pt>
                <c:pt idx="86">
                  <c:v>7824.23342660958</c:v>
                </c:pt>
                <c:pt idx="87">
                  <c:v>7824.23342660958</c:v>
                </c:pt>
                <c:pt idx="88">
                  <c:v>7824.23342660958</c:v>
                </c:pt>
                <c:pt idx="89">
                  <c:v>7824.23342660958</c:v>
                </c:pt>
                <c:pt idx="90">
                  <c:v>19755.53954891456</c:v>
                </c:pt>
                <c:pt idx="91">
                  <c:v>19755.53954891456</c:v>
                </c:pt>
                <c:pt idx="92">
                  <c:v>19755.53954891456</c:v>
                </c:pt>
                <c:pt idx="93">
                  <c:v>19755.53954891456</c:v>
                </c:pt>
                <c:pt idx="94">
                  <c:v>19755.53954891456</c:v>
                </c:pt>
                <c:pt idx="95">
                  <c:v>19755.53954891456</c:v>
                </c:pt>
                <c:pt idx="96">
                  <c:v>19755.53954891456</c:v>
                </c:pt>
                <c:pt idx="97">
                  <c:v>19755.53954891456</c:v>
                </c:pt>
                <c:pt idx="98">
                  <c:v>19755.53954891456</c:v>
                </c:pt>
                <c:pt idx="99">
                  <c:v>19755.53954891456</c:v>
                </c:pt>
              </c:numCache>
            </c:numRef>
          </c:val>
        </c:ser>
        <c:ser>
          <c:idx val="2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Percentiles!$F$5:$DA$5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264.9881556172274</c:v>
                </c:pt>
                <c:pt idx="48">
                  <c:v>264.9881556172274</c:v>
                </c:pt>
                <c:pt idx="49">
                  <c:v>264.9881556172274</c:v>
                </c:pt>
                <c:pt idx="50">
                  <c:v>264.9881556172274</c:v>
                </c:pt>
                <c:pt idx="51">
                  <c:v>264.9881556172274</c:v>
                </c:pt>
                <c:pt idx="52">
                  <c:v>264.9881556172274</c:v>
                </c:pt>
                <c:pt idx="53">
                  <c:v>264.9881556172274</c:v>
                </c:pt>
                <c:pt idx="54">
                  <c:v>264.9881556172274</c:v>
                </c:pt>
                <c:pt idx="55">
                  <c:v>264.9881556172274</c:v>
                </c:pt>
                <c:pt idx="56">
                  <c:v>264.9881556172274</c:v>
                </c:pt>
                <c:pt idx="57">
                  <c:v>264.9881556172274</c:v>
                </c:pt>
                <c:pt idx="58">
                  <c:v>264.9881556172274</c:v>
                </c:pt>
                <c:pt idx="59">
                  <c:v>264.9881556172274</c:v>
                </c:pt>
                <c:pt idx="60">
                  <c:v>264.9881556172274</c:v>
                </c:pt>
                <c:pt idx="61">
                  <c:v>264.9881556172274</c:v>
                </c:pt>
                <c:pt idx="62">
                  <c:v>264.9881556172274</c:v>
                </c:pt>
                <c:pt idx="63">
                  <c:v>264.9881556172274</c:v>
                </c:pt>
                <c:pt idx="64">
                  <c:v>264.9881556172274</c:v>
                </c:pt>
                <c:pt idx="65">
                  <c:v>264.9881556172274</c:v>
                </c:pt>
                <c:pt idx="66">
                  <c:v>264.9881556172274</c:v>
                </c:pt>
                <c:pt idx="67">
                  <c:v>264.9881556172274</c:v>
                </c:pt>
                <c:pt idx="68">
                  <c:v>264.9881556172274</c:v>
                </c:pt>
                <c:pt idx="69">
                  <c:v>264.9881556172274</c:v>
                </c:pt>
                <c:pt idx="70">
                  <c:v>264.9881556172274</c:v>
                </c:pt>
                <c:pt idx="71">
                  <c:v>264.9881556172274</c:v>
                </c:pt>
                <c:pt idx="72">
                  <c:v>596.6833990200416</c:v>
                </c:pt>
                <c:pt idx="73">
                  <c:v>596.6833990200416</c:v>
                </c:pt>
                <c:pt idx="74">
                  <c:v>596.6833990200416</c:v>
                </c:pt>
                <c:pt idx="75">
                  <c:v>596.6833990200416</c:v>
                </c:pt>
                <c:pt idx="76">
                  <c:v>596.6833990200416</c:v>
                </c:pt>
                <c:pt idx="77">
                  <c:v>596.6833990200416</c:v>
                </c:pt>
                <c:pt idx="78">
                  <c:v>596.6833990200416</c:v>
                </c:pt>
                <c:pt idx="79">
                  <c:v>596.6833990200416</c:v>
                </c:pt>
                <c:pt idx="80">
                  <c:v>596.6833990200416</c:v>
                </c:pt>
                <c:pt idx="81">
                  <c:v>596.6833990200416</c:v>
                </c:pt>
                <c:pt idx="82">
                  <c:v>596.6833990200416</c:v>
                </c:pt>
                <c:pt idx="83">
                  <c:v>596.6833990200416</c:v>
                </c:pt>
                <c:pt idx="84">
                  <c:v>596.6833990200416</c:v>
                </c:pt>
                <c:pt idx="85">
                  <c:v>596.6833990200416</c:v>
                </c:pt>
                <c:pt idx="86">
                  <c:v>596.6833990200416</c:v>
                </c:pt>
                <c:pt idx="87">
                  <c:v>596.6833990200416</c:v>
                </c:pt>
                <c:pt idx="88">
                  <c:v>596.6833990200416</c:v>
                </c:pt>
                <c:pt idx="89">
                  <c:v>596.6833990200416</c:v>
                </c:pt>
                <c:pt idx="90">
                  <c:v>2463.758923060174</c:v>
                </c:pt>
                <c:pt idx="91">
                  <c:v>2463.758923060174</c:v>
                </c:pt>
                <c:pt idx="92">
                  <c:v>2463.758923060174</c:v>
                </c:pt>
                <c:pt idx="93">
                  <c:v>2463.758923060174</c:v>
                </c:pt>
                <c:pt idx="94">
                  <c:v>2463.758923060174</c:v>
                </c:pt>
                <c:pt idx="95">
                  <c:v>2463.758923060174</c:v>
                </c:pt>
                <c:pt idx="96">
                  <c:v>2463.758923060174</c:v>
                </c:pt>
                <c:pt idx="97">
                  <c:v>2463.758923060174</c:v>
                </c:pt>
                <c:pt idx="98">
                  <c:v>2463.758923060174</c:v>
                </c:pt>
                <c:pt idx="99">
                  <c:v>2463.758923060174</c:v>
                </c:pt>
              </c:numCache>
            </c:numRef>
          </c:val>
        </c:ser>
        <c:ser>
          <c:idx val="3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Percentiles!$F$6:$DA$6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Percentiles!$F$7:$DA$7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2911.342670366356</c:v>
                </c:pt>
                <c:pt idx="48">
                  <c:v>2911.342670366356</c:v>
                </c:pt>
                <c:pt idx="49">
                  <c:v>2911.342670366356</c:v>
                </c:pt>
                <c:pt idx="50">
                  <c:v>2911.342670366356</c:v>
                </c:pt>
                <c:pt idx="51">
                  <c:v>2911.342670366356</c:v>
                </c:pt>
                <c:pt idx="52">
                  <c:v>2911.342670366356</c:v>
                </c:pt>
                <c:pt idx="53">
                  <c:v>2911.342670366356</c:v>
                </c:pt>
                <c:pt idx="54">
                  <c:v>2911.342670366356</c:v>
                </c:pt>
                <c:pt idx="55">
                  <c:v>2911.342670366356</c:v>
                </c:pt>
                <c:pt idx="56">
                  <c:v>2911.342670366356</c:v>
                </c:pt>
                <c:pt idx="57">
                  <c:v>2911.342670366356</c:v>
                </c:pt>
                <c:pt idx="58">
                  <c:v>2911.342670366356</c:v>
                </c:pt>
                <c:pt idx="59">
                  <c:v>2911.342670366356</c:v>
                </c:pt>
                <c:pt idx="60">
                  <c:v>2911.342670366356</c:v>
                </c:pt>
                <c:pt idx="61">
                  <c:v>2911.342670366356</c:v>
                </c:pt>
                <c:pt idx="62">
                  <c:v>2911.342670366356</c:v>
                </c:pt>
                <c:pt idx="63">
                  <c:v>2911.342670366356</c:v>
                </c:pt>
                <c:pt idx="64">
                  <c:v>2911.342670366356</c:v>
                </c:pt>
                <c:pt idx="65">
                  <c:v>2911.342670366356</c:v>
                </c:pt>
                <c:pt idx="66">
                  <c:v>2911.342670366356</c:v>
                </c:pt>
                <c:pt idx="67">
                  <c:v>2911.342670366356</c:v>
                </c:pt>
                <c:pt idx="68">
                  <c:v>2911.342670366356</c:v>
                </c:pt>
                <c:pt idx="69">
                  <c:v>2911.342670366356</c:v>
                </c:pt>
                <c:pt idx="70">
                  <c:v>2911.342670366356</c:v>
                </c:pt>
                <c:pt idx="71">
                  <c:v>2911.342670366356</c:v>
                </c:pt>
                <c:pt idx="72">
                  <c:v>12809.90774961197</c:v>
                </c:pt>
                <c:pt idx="73">
                  <c:v>12809.90774961197</c:v>
                </c:pt>
                <c:pt idx="74">
                  <c:v>12809.90774961197</c:v>
                </c:pt>
                <c:pt idx="75">
                  <c:v>12809.90774961197</c:v>
                </c:pt>
                <c:pt idx="76">
                  <c:v>12809.90774961197</c:v>
                </c:pt>
                <c:pt idx="77">
                  <c:v>12809.90774961197</c:v>
                </c:pt>
                <c:pt idx="78">
                  <c:v>12809.90774961197</c:v>
                </c:pt>
                <c:pt idx="79">
                  <c:v>12809.90774961197</c:v>
                </c:pt>
                <c:pt idx="80">
                  <c:v>12809.90774961197</c:v>
                </c:pt>
                <c:pt idx="81">
                  <c:v>12809.90774961197</c:v>
                </c:pt>
                <c:pt idx="82">
                  <c:v>12809.90774961197</c:v>
                </c:pt>
                <c:pt idx="83">
                  <c:v>12809.90774961197</c:v>
                </c:pt>
                <c:pt idx="84">
                  <c:v>12809.90774961197</c:v>
                </c:pt>
                <c:pt idx="85">
                  <c:v>12809.90774961197</c:v>
                </c:pt>
                <c:pt idx="86">
                  <c:v>12809.90774961197</c:v>
                </c:pt>
                <c:pt idx="87">
                  <c:v>12809.90774961197</c:v>
                </c:pt>
                <c:pt idx="88">
                  <c:v>12809.90774961197</c:v>
                </c:pt>
                <c:pt idx="89">
                  <c:v>12809.90774961197</c:v>
                </c:pt>
                <c:pt idx="90">
                  <c:v>41840.1532341222</c:v>
                </c:pt>
                <c:pt idx="91">
                  <c:v>41840.1532341222</c:v>
                </c:pt>
                <c:pt idx="92">
                  <c:v>41840.1532341222</c:v>
                </c:pt>
                <c:pt idx="93">
                  <c:v>41840.1532341222</c:v>
                </c:pt>
                <c:pt idx="94">
                  <c:v>41840.1532341222</c:v>
                </c:pt>
                <c:pt idx="95">
                  <c:v>41840.1532341222</c:v>
                </c:pt>
                <c:pt idx="96">
                  <c:v>41840.1532341222</c:v>
                </c:pt>
                <c:pt idx="97">
                  <c:v>41840.1532341222</c:v>
                </c:pt>
                <c:pt idx="98">
                  <c:v>41840.1532341222</c:v>
                </c:pt>
                <c:pt idx="99">
                  <c:v>41840.1532341222</c:v>
                </c:pt>
              </c:numCache>
            </c:numRef>
          </c:val>
        </c:ser>
        <c:ser>
          <c:idx val="5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Percentiles!$F$8:$DA$8</c:f>
              <c:numCache>
                <c:formatCode>0</c:formatCode>
                <c:ptCount val="100"/>
                <c:pt idx="0">
                  <c:v>2081.529140348738</c:v>
                </c:pt>
                <c:pt idx="1">
                  <c:v>2081.529140348738</c:v>
                </c:pt>
                <c:pt idx="2">
                  <c:v>2081.529140348738</c:v>
                </c:pt>
                <c:pt idx="3">
                  <c:v>2081.529140348738</c:v>
                </c:pt>
                <c:pt idx="4">
                  <c:v>2081.529140348738</c:v>
                </c:pt>
                <c:pt idx="5">
                  <c:v>2081.529140348738</c:v>
                </c:pt>
                <c:pt idx="6">
                  <c:v>2081.529140348738</c:v>
                </c:pt>
                <c:pt idx="7">
                  <c:v>2081.529140348738</c:v>
                </c:pt>
                <c:pt idx="8">
                  <c:v>2081.529140348738</c:v>
                </c:pt>
                <c:pt idx="9">
                  <c:v>2081.529140348738</c:v>
                </c:pt>
                <c:pt idx="10">
                  <c:v>2081.529140348738</c:v>
                </c:pt>
                <c:pt idx="11">
                  <c:v>2081.529140348738</c:v>
                </c:pt>
                <c:pt idx="12">
                  <c:v>2081.529140348738</c:v>
                </c:pt>
                <c:pt idx="13">
                  <c:v>2081.529140348738</c:v>
                </c:pt>
                <c:pt idx="14">
                  <c:v>2081.529140348738</c:v>
                </c:pt>
                <c:pt idx="15">
                  <c:v>2081.529140348738</c:v>
                </c:pt>
                <c:pt idx="16">
                  <c:v>2081.529140348738</c:v>
                </c:pt>
                <c:pt idx="17">
                  <c:v>2081.529140348738</c:v>
                </c:pt>
                <c:pt idx="18">
                  <c:v>2081.529140348738</c:v>
                </c:pt>
                <c:pt idx="19">
                  <c:v>2081.529140348738</c:v>
                </c:pt>
                <c:pt idx="20">
                  <c:v>2081.529140348738</c:v>
                </c:pt>
                <c:pt idx="21">
                  <c:v>2081.529140348738</c:v>
                </c:pt>
                <c:pt idx="22">
                  <c:v>2081.529140348738</c:v>
                </c:pt>
                <c:pt idx="23">
                  <c:v>2081.529140348738</c:v>
                </c:pt>
                <c:pt idx="24">
                  <c:v>2081.529140348738</c:v>
                </c:pt>
                <c:pt idx="25">
                  <c:v>2081.529140348738</c:v>
                </c:pt>
                <c:pt idx="26">
                  <c:v>2081.529140348738</c:v>
                </c:pt>
                <c:pt idx="27">
                  <c:v>2081.529140348738</c:v>
                </c:pt>
                <c:pt idx="28">
                  <c:v>2081.529140348738</c:v>
                </c:pt>
                <c:pt idx="29">
                  <c:v>2081.529140348738</c:v>
                </c:pt>
                <c:pt idx="30">
                  <c:v>2081.529140348738</c:v>
                </c:pt>
                <c:pt idx="31">
                  <c:v>2081.529140348738</c:v>
                </c:pt>
                <c:pt idx="32">
                  <c:v>2081.529140348738</c:v>
                </c:pt>
                <c:pt idx="33">
                  <c:v>2081.529140348738</c:v>
                </c:pt>
                <c:pt idx="34">
                  <c:v>2081.529140348738</c:v>
                </c:pt>
                <c:pt idx="35">
                  <c:v>2081.529140348738</c:v>
                </c:pt>
                <c:pt idx="36">
                  <c:v>2081.529140348738</c:v>
                </c:pt>
                <c:pt idx="37">
                  <c:v>2081.529140348738</c:v>
                </c:pt>
                <c:pt idx="38">
                  <c:v>2081.529140348738</c:v>
                </c:pt>
                <c:pt idx="39">
                  <c:v>2081.529140348738</c:v>
                </c:pt>
                <c:pt idx="40">
                  <c:v>2081.529140348738</c:v>
                </c:pt>
                <c:pt idx="41">
                  <c:v>2081.529140348738</c:v>
                </c:pt>
                <c:pt idx="42">
                  <c:v>2081.529140348738</c:v>
                </c:pt>
                <c:pt idx="43">
                  <c:v>2081.529140348738</c:v>
                </c:pt>
                <c:pt idx="44">
                  <c:v>2081.529140348738</c:v>
                </c:pt>
                <c:pt idx="45">
                  <c:v>2081.529140348738</c:v>
                </c:pt>
                <c:pt idx="46">
                  <c:v>2081.529140348738</c:v>
                </c:pt>
                <c:pt idx="47">
                  <c:v>3391.714210976805</c:v>
                </c:pt>
                <c:pt idx="48">
                  <c:v>3391.714210976805</c:v>
                </c:pt>
                <c:pt idx="49">
                  <c:v>3391.714210976805</c:v>
                </c:pt>
                <c:pt idx="50">
                  <c:v>3391.714210976805</c:v>
                </c:pt>
                <c:pt idx="51">
                  <c:v>3391.714210976805</c:v>
                </c:pt>
                <c:pt idx="52">
                  <c:v>3391.714210976805</c:v>
                </c:pt>
                <c:pt idx="53">
                  <c:v>3391.714210976805</c:v>
                </c:pt>
                <c:pt idx="54">
                  <c:v>3391.714210976805</c:v>
                </c:pt>
                <c:pt idx="55">
                  <c:v>3391.714210976805</c:v>
                </c:pt>
                <c:pt idx="56">
                  <c:v>3391.714210976805</c:v>
                </c:pt>
                <c:pt idx="57">
                  <c:v>3391.714210976805</c:v>
                </c:pt>
                <c:pt idx="58">
                  <c:v>3391.714210976805</c:v>
                </c:pt>
                <c:pt idx="59">
                  <c:v>3391.714210976805</c:v>
                </c:pt>
                <c:pt idx="60">
                  <c:v>3391.714210976805</c:v>
                </c:pt>
                <c:pt idx="61">
                  <c:v>3391.714210976805</c:v>
                </c:pt>
                <c:pt idx="62">
                  <c:v>3391.714210976805</c:v>
                </c:pt>
                <c:pt idx="63">
                  <c:v>3391.714210976805</c:v>
                </c:pt>
                <c:pt idx="64">
                  <c:v>3391.714210976805</c:v>
                </c:pt>
                <c:pt idx="65">
                  <c:v>3391.714210976805</c:v>
                </c:pt>
                <c:pt idx="66">
                  <c:v>3391.714210976805</c:v>
                </c:pt>
                <c:pt idx="67">
                  <c:v>3391.714210976805</c:v>
                </c:pt>
                <c:pt idx="68">
                  <c:v>3391.714210976805</c:v>
                </c:pt>
                <c:pt idx="69">
                  <c:v>3391.714210976805</c:v>
                </c:pt>
                <c:pt idx="70">
                  <c:v>3391.714210976805</c:v>
                </c:pt>
                <c:pt idx="71">
                  <c:v>3391.714210976805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Percentiles!$F$9:$DA$9</c:f>
              <c:numCache>
                <c:formatCode>0</c:formatCode>
                <c:ptCount val="100"/>
                <c:pt idx="0">
                  <c:v>12130.2698698158</c:v>
                </c:pt>
                <c:pt idx="1">
                  <c:v>12130.2698698158</c:v>
                </c:pt>
                <c:pt idx="2">
                  <c:v>12130.2698698158</c:v>
                </c:pt>
                <c:pt idx="3">
                  <c:v>12130.2698698158</c:v>
                </c:pt>
                <c:pt idx="4">
                  <c:v>12130.2698698158</c:v>
                </c:pt>
                <c:pt idx="5">
                  <c:v>12130.2698698158</c:v>
                </c:pt>
                <c:pt idx="6">
                  <c:v>12130.2698698158</c:v>
                </c:pt>
                <c:pt idx="7">
                  <c:v>12130.2698698158</c:v>
                </c:pt>
                <c:pt idx="8">
                  <c:v>12130.2698698158</c:v>
                </c:pt>
                <c:pt idx="9">
                  <c:v>12130.2698698158</c:v>
                </c:pt>
                <c:pt idx="10">
                  <c:v>12130.2698698158</c:v>
                </c:pt>
                <c:pt idx="11">
                  <c:v>12130.2698698158</c:v>
                </c:pt>
                <c:pt idx="12">
                  <c:v>12130.2698698158</c:v>
                </c:pt>
                <c:pt idx="13">
                  <c:v>12130.2698698158</c:v>
                </c:pt>
                <c:pt idx="14">
                  <c:v>12130.2698698158</c:v>
                </c:pt>
                <c:pt idx="15">
                  <c:v>12130.2698698158</c:v>
                </c:pt>
                <c:pt idx="16">
                  <c:v>12130.2698698158</c:v>
                </c:pt>
                <c:pt idx="17">
                  <c:v>12130.2698698158</c:v>
                </c:pt>
                <c:pt idx="18">
                  <c:v>12130.2698698158</c:v>
                </c:pt>
                <c:pt idx="19">
                  <c:v>12130.2698698158</c:v>
                </c:pt>
                <c:pt idx="20">
                  <c:v>12130.2698698158</c:v>
                </c:pt>
                <c:pt idx="21">
                  <c:v>12130.2698698158</c:v>
                </c:pt>
                <c:pt idx="22">
                  <c:v>12130.2698698158</c:v>
                </c:pt>
                <c:pt idx="23">
                  <c:v>12130.2698698158</c:v>
                </c:pt>
                <c:pt idx="24">
                  <c:v>12130.2698698158</c:v>
                </c:pt>
                <c:pt idx="25">
                  <c:v>12130.2698698158</c:v>
                </c:pt>
                <c:pt idx="26">
                  <c:v>12130.2698698158</c:v>
                </c:pt>
                <c:pt idx="27">
                  <c:v>12130.2698698158</c:v>
                </c:pt>
                <c:pt idx="28">
                  <c:v>12130.2698698158</c:v>
                </c:pt>
                <c:pt idx="29">
                  <c:v>12130.2698698158</c:v>
                </c:pt>
                <c:pt idx="30">
                  <c:v>12130.2698698158</c:v>
                </c:pt>
                <c:pt idx="31">
                  <c:v>12130.2698698158</c:v>
                </c:pt>
                <c:pt idx="32">
                  <c:v>12130.2698698158</c:v>
                </c:pt>
                <c:pt idx="33">
                  <c:v>12130.2698698158</c:v>
                </c:pt>
                <c:pt idx="34">
                  <c:v>12130.2698698158</c:v>
                </c:pt>
                <c:pt idx="35">
                  <c:v>12130.2698698158</c:v>
                </c:pt>
                <c:pt idx="36">
                  <c:v>12130.2698698158</c:v>
                </c:pt>
                <c:pt idx="37">
                  <c:v>12130.2698698158</c:v>
                </c:pt>
                <c:pt idx="38">
                  <c:v>12130.2698698158</c:v>
                </c:pt>
                <c:pt idx="39">
                  <c:v>12130.2698698158</c:v>
                </c:pt>
                <c:pt idx="40">
                  <c:v>12130.2698698158</c:v>
                </c:pt>
                <c:pt idx="41">
                  <c:v>12130.2698698158</c:v>
                </c:pt>
                <c:pt idx="42">
                  <c:v>12130.2698698158</c:v>
                </c:pt>
                <c:pt idx="43">
                  <c:v>12130.2698698158</c:v>
                </c:pt>
                <c:pt idx="44">
                  <c:v>12130.2698698158</c:v>
                </c:pt>
                <c:pt idx="45">
                  <c:v>12130.2698698158</c:v>
                </c:pt>
                <c:pt idx="46">
                  <c:v>12130.2698698158</c:v>
                </c:pt>
                <c:pt idx="47">
                  <c:v>21404.91857313994</c:v>
                </c:pt>
                <c:pt idx="48">
                  <c:v>21404.91857313994</c:v>
                </c:pt>
                <c:pt idx="49">
                  <c:v>21404.91857313994</c:v>
                </c:pt>
                <c:pt idx="50">
                  <c:v>21404.91857313994</c:v>
                </c:pt>
                <c:pt idx="51">
                  <c:v>21404.91857313994</c:v>
                </c:pt>
                <c:pt idx="52">
                  <c:v>21404.91857313994</c:v>
                </c:pt>
                <c:pt idx="53">
                  <c:v>21404.91857313994</c:v>
                </c:pt>
                <c:pt idx="54">
                  <c:v>21404.91857313994</c:v>
                </c:pt>
                <c:pt idx="55">
                  <c:v>21404.91857313994</c:v>
                </c:pt>
                <c:pt idx="56">
                  <c:v>21404.91857313994</c:v>
                </c:pt>
                <c:pt idx="57">
                  <c:v>21404.91857313994</c:v>
                </c:pt>
                <c:pt idx="58">
                  <c:v>21404.91857313994</c:v>
                </c:pt>
                <c:pt idx="59">
                  <c:v>21404.91857313994</c:v>
                </c:pt>
                <c:pt idx="60">
                  <c:v>21404.91857313994</c:v>
                </c:pt>
                <c:pt idx="61">
                  <c:v>21404.91857313994</c:v>
                </c:pt>
                <c:pt idx="62">
                  <c:v>21404.91857313994</c:v>
                </c:pt>
                <c:pt idx="63">
                  <c:v>21404.91857313994</c:v>
                </c:pt>
                <c:pt idx="64">
                  <c:v>21404.91857313994</c:v>
                </c:pt>
                <c:pt idx="65">
                  <c:v>21404.91857313994</c:v>
                </c:pt>
                <c:pt idx="66">
                  <c:v>21404.91857313994</c:v>
                </c:pt>
                <c:pt idx="67">
                  <c:v>21404.91857313994</c:v>
                </c:pt>
                <c:pt idx="68">
                  <c:v>21404.91857313994</c:v>
                </c:pt>
                <c:pt idx="69">
                  <c:v>21404.91857313994</c:v>
                </c:pt>
                <c:pt idx="70">
                  <c:v>21404.91857313994</c:v>
                </c:pt>
                <c:pt idx="71">
                  <c:v>21404.91857313994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Percentiles!$F$10:$DA$10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20961.66722663776</c:v>
                </c:pt>
                <c:pt idx="48">
                  <c:v>20961.66722663776</c:v>
                </c:pt>
                <c:pt idx="49">
                  <c:v>20961.66722663776</c:v>
                </c:pt>
                <c:pt idx="50">
                  <c:v>20961.66722663776</c:v>
                </c:pt>
                <c:pt idx="51">
                  <c:v>20961.66722663776</c:v>
                </c:pt>
                <c:pt idx="52">
                  <c:v>20961.66722663776</c:v>
                </c:pt>
                <c:pt idx="53">
                  <c:v>20961.66722663776</c:v>
                </c:pt>
                <c:pt idx="54">
                  <c:v>20961.66722663776</c:v>
                </c:pt>
                <c:pt idx="55">
                  <c:v>20961.66722663776</c:v>
                </c:pt>
                <c:pt idx="56">
                  <c:v>20961.66722663776</c:v>
                </c:pt>
                <c:pt idx="57">
                  <c:v>20961.66722663776</c:v>
                </c:pt>
                <c:pt idx="58">
                  <c:v>20961.66722663776</c:v>
                </c:pt>
                <c:pt idx="59">
                  <c:v>20961.66722663776</c:v>
                </c:pt>
                <c:pt idx="60">
                  <c:v>20961.66722663776</c:v>
                </c:pt>
                <c:pt idx="61">
                  <c:v>20961.66722663776</c:v>
                </c:pt>
                <c:pt idx="62">
                  <c:v>20961.66722663776</c:v>
                </c:pt>
                <c:pt idx="63">
                  <c:v>20961.66722663776</c:v>
                </c:pt>
                <c:pt idx="64">
                  <c:v>20961.66722663776</c:v>
                </c:pt>
                <c:pt idx="65">
                  <c:v>20961.66722663776</c:v>
                </c:pt>
                <c:pt idx="66">
                  <c:v>20961.66722663776</c:v>
                </c:pt>
                <c:pt idx="67">
                  <c:v>20961.66722663776</c:v>
                </c:pt>
                <c:pt idx="68">
                  <c:v>20961.66722663776</c:v>
                </c:pt>
                <c:pt idx="69">
                  <c:v>20961.66722663776</c:v>
                </c:pt>
                <c:pt idx="70">
                  <c:v>20961.66722663776</c:v>
                </c:pt>
                <c:pt idx="71">
                  <c:v>20961.66722663776</c:v>
                </c:pt>
                <c:pt idx="72">
                  <c:v>113542.3641442879</c:v>
                </c:pt>
                <c:pt idx="73">
                  <c:v>113542.3641442879</c:v>
                </c:pt>
                <c:pt idx="74">
                  <c:v>113542.3641442879</c:v>
                </c:pt>
                <c:pt idx="75">
                  <c:v>113542.3641442879</c:v>
                </c:pt>
                <c:pt idx="76">
                  <c:v>113542.3641442879</c:v>
                </c:pt>
                <c:pt idx="77">
                  <c:v>113542.3641442879</c:v>
                </c:pt>
                <c:pt idx="78">
                  <c:v>113542.3641442879</c:v>
                </c:pt>
                <c:pt idx="79">
                  <c:v>113542.3641442879</c:v>
                </c:pt>
                <c:pt idx="80">
                  <c:v>113542.3641442879</c:v>
                </c:pt>
                <c:pt idx="81">
                  <c:v>113542.3641442879</c:v>
                </c:pt>
                <c:pt idx="82">
                  <c:v>113542.3641442879</c:v>
                </c:pt>
                <c:pt idx="83">
                  <c:v>113542.3641442879</c:v>
                </c:pt>
                <c:pt idx="84">
                  <c:v>113542.3641442879</c:v>
                </c:pt>
                <c:pt idx="85">
                  <c:v>113542.3641442879</c:v>
                </c:pt>
                <c:pt idx="86">
                  <c:v>113542.3641442879</c:v>
                </c:pt>
                <c:pt idx="87">
                  <c:v>113542.3641442879</c:v>
                </c:pt>
                <c:pt idx="88">
                  <c:v>113542.3641442879</c:v>
                </c:pt>
                <c:pt idx="89">
                  <c:v>113542.3641442879</c:v>
                </c:pt>
                <c:pt idx="90">
                  <c:v>309434.1352503669</c:v>
                </c:pt>
                <c:pt idx="91">
                  <c:v>309434.1352503669</c:v>
                </c:pt>
                <c:pt idx="92">
                  <c:v>309434.1352503669</c:v>
                </c:pt>
                <c:pt idx="93">
                  <c:v>309434.1352503669</c:v>
                </c:pt>
                <c:pt idx="94">
                  <c:v>309434.1352503669</c:v>
                </c:pt>
                <c:pt idx="95">
                  <c:v>309434.1352503669</c:v>
                </c:pt>
                <c:pt idx="96">
                  <c:v>309434.1352503669</c:v>
                </c:pt>
                <c:pt idx="97">
                  <c:v>309434.1352503669</c:v>
                </c:pt>
                <c:pt idx="98">
                  <c:v>309434.1352503669</c:v>
                </c:pt>
                <c:pt idx="99">
                  <c:v>309434.1352503669</c:v>
                </c:pt>
              </c:numCache>
            </c:numRef>
          </c:val>
        </c:ser>
        <c:ser>
          <c:idx val="8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Percentiles!$F$11:$DA$11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9345.409971876002</c:v>
                </c:pt>
                <c:pt idx="48">
                  <c:v>9345.409971876002</c:v>
                </c:pt>
                <c:pt idx="49">
                  <c:v>9345.409971876002</c:v>
                </c:pt>
                <c:pt idx="50">
                  <c:v>9345.409971876002</c:v>
                </c:pt>
                <c:pt idx="51">
                  <c:v>9345.409971876002</c:v>
                </c:pt>
                <c:pt idx="52">
                  <c:v>9345.409971876002</c:v>
                </c:pt>
                <c:pt idx="53">
                  <c:v>9345.409971876002</c:v>
                </c:pt>
                <c:pt idx="54">
                  <c:v>9345.409971876002</c:v>
                </c:pt>
                <c:pt idx="55">
                  <c:v>9345.409971876002</c:v>
                </c:pt>
                <c:pt idx="56">
                  <c:v>9345.409971876002</c:v>
                </c:pt>
                <c:pt idx="57">
                  <c:v>9345.409971876002</c:v>
                </c:pt>
                <c:pt idx="58">
                  <c:v>9345.409971876002</c:v>
                </c:pt>
                <c:pt idx="59">
                  <c:v>9345.409971876002</c:v>
                </c:pt>
                <c:pt idx="60">
                  <c:v>9345.409971876002</c:v>
                </c:pt>
                <c:pt idx="61">
                  <c:v>9345.409971876002</c:v>
                </c:pt>
                <c:pt idx="62">
                  <c:v>9345.409971876002</c:v>
                </c:pt>
                <c:pt idx="63">
                  <c:v>9345.409971876002</c:v>
                </c:pt>
                <c:pt idx="64">
                  <c:v>9345.409971876002</c:v>
                </c:pt>
                <c:pt idx="65">
                  <c:v>9345.409971876002</c:v>
                </c:pt>
                <c:pt idx="66">
                  <c:v>9345.409971876002</c:v>
                </c:pt>
                <c:pt idx="67">
                  <c:v>9345.409971876002</c:v>
                </c:pt>
                <c:pt idx="68">
                  <c:v>9345.409971876002</c:v>
                </c:pt>
                <c:pt idx="69">
                  <c:v>9345.409971876002</c:v>
                </c:pt>
                <c:pt idx="70">
                  <c:v>9345.409971876002</c:v>
                </c:pt>
                <c:pt idx="71">
                  <c:v>9345.409971876002</c:v>
                </c:pt>
                <c:pt idx="72">
                  <c:v>1746.805602219814</c:v>
                </c:pt>
                <c:pt idx="73">
                  <c:v>1746.805602219814</c:v>
                </c:pt>
                <c:pt idx="74">
                  <c:v>1746.805602219814</c:v>
                </c:pt>
                <c:pt idx="75">
                  <c:v>1746.805602219814</c:v>
                </c:pt>
                <c:pt idx="76">
                  <c:v>1746.805602219814</c:v>
                </c:pt>
                <c:pt idx="77">
                  <c:v>1746.805602219814</c:v>
                </c:pt>
                <c:pt idx="78">
                  <c:v>1746.805602219814</c:v>
                </c:pt>
                <c:pt idx="79">
                  <c:v>1746.805602219814</c:v>
                </c:pt>
                <c:pt idx="80">
                  <c:v>1746.805602219814</c:v>
                </c:pt>
                <c:pt idx="81">
                  <c:v>1746.805602219814</c:v>
                </c:pt>
                <c:pt idx="82">
                  <c:v>1746.805602219814</c:v>
                </c:pt>
                <c:pt idx="83">
                  <c:v>1746.805602219814</c:v>
                </c:pt>
                <c:pt idx="84">
                  <c:v>1746.805602219814</c:v>
                </c:pt>
                <c:pt idx="85">
                  <c:v>1746.805602219814</c:v>
                </c:pt>
                <c:pt idx="86">
                  <c:v>1746.805602219814</c:v>
                </c:pt>
                <c:pt idx="87">
                  <c:v>1746.805602219814</c:v>
                </c:pt>
                <c:pt idx="88">
                  <c:v>1746.805602219814</c:v>
                </c:pt>
                <c:pt idx="89">
                  <c:v>1746.805602219814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Percentiles!$F$12:$DA$12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1397.444481775851</c:v>
                </c:pt>
                <c:pt idx="48">
                  <c:v>1397.444481775851</c:v>
                </c:pt>
                <c:pt idx="49">
                  <c:v>1397.444481775851</c:v>
                </c:pt>
                <c:pt idx="50">
                  <c:v>1397.444481775851</c:v>
                </c:pt>
                <c:pt idx="51">
                  <c:v>1397.444481775851</c:v>
                </c:pt>
                <c:pt idx="52">
                  <c:v>1397.444481775851</c:v>
                </c:pt>
                <c:pt idx="53">
                  <c:v>1397.444481775851</c:v>
                </c:pt>
                <c:pt idx="54">
                  <c:v>1397.444481775851</c:v>
                </c:pt>
                <c:pt idx="55">
                  <c:v>1397.444481775851</c:v>
                </c:pt>
                <c:pt idx="56">
                  <c:v>1397.444481775851</c:v>
                </c:pt>
                <c:pt idx="57">
                  <c:v>1397.444481775851</c:v>
                </c:pt>
                <c:pt idx="58">
                  <c:v>1397.444481775851</c:v>
                </c:pt>
                <c:pt idx="59">
                  <c:v>1397.444481775851</c:v>
                </c:pt>
                <c:pt idx="60">
                  <c:v>1397.444481775851</c:v>
                </c:pt>
                <c:pt idx="61">
                  <c:v>1397.444481775851</c:v>
                </c:pt>
                <c:pt idx="62">
                  <c:v>1397.444481775851</c:v>
                </c:pt>
                <c:pt idx="63">
                  <c:v>1397.444481775851</c:v>
                </c:pt>
                <c:pt idx="64">
                  <c:v>1397.444481775851</c:v>
                </c:pt>
                <c:pt idx="65">
                  <c:v>1397.444481775851</c:v>
                </c:pt>
                <c:pt idx="66">
                  <c:v>1397.444481775851</c:v>
                </c:pt>
                <c:pt idx="67">
                  <c:v>1397.444481775851</c:v>
                </c:pt>
                <c:pt idx="68">
                  <c:v>1397.444481775851</c:v>
                </c:pt>
                <c:pt idx="69">
                  <c:v>1397.444481775851</c:v>
                </c:pt>
                <c:pt idx="70">
                  <c:v>1397.444481775851</c:v>
                </c:pt>
                <c:pt idx="71">
                  <c:v>1397.444481775851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Percentiles!$F$13:$DA$13</c:f>
              <c:numCache>
                <c:formatCode>0</c:formatCode>
                <c:ptCount val="100"/>
                <c:pt idx="0">
                  <c:v>1008.391684526244</c:v>
                </c:pt>
                <c:pt idx="1">
                  <c:v>1008.391684526244</c:v>
                </c:pt>
                <c:pt idx="2">
                  <c:v>1008.391684526244</c:v>
                </c:pt>
                <c:pt idx="3">
                  <c:v>1008.391684526244</c:v>
                </c:pt>
                <c:pt idx="4">
                  <c:v>1008.391684526244</c:v>
                </c:pt>
                <c:pt idx="5">
                  <c:v>1008.391684526244</c:v>
                </c:pt>
                <c:pt idx="6">
                  <c:v>1008.391684526244</c:v>
                </c:pt>
                <c:pt idx="7">
                  <c:v>1008.391684526244</c:v>
                </c:pt>
                <c:pt idx="8">
                  <c:v>1008.391684526244</c:v>
                </c:pt>
                <c:pt idx="9">
                  <c:v>1008.391684526244</c:v>
                </c:pt>
                <c:pt idx="10">
                  <c:v>1008.391684526244</c:v>
                </c:pt>
                <c:pt idx="11">
                  <c:v>1008.391684526244</c:v>
                </c:pt>
                <c:pt idx="12">
                  <c:v>1008.391684526244</c:v>
                </c:pt>
                <c:pt idx="13">
                  <c:v>1008.391684526244</c:v>
                </c:pt>
                <c:pt idx="14">
                  <c:v>1008.391684526244</c:v>
                </c:pt>
                <c:pt idx="15">
                  <c:v>1008.391684526244</c:v>
                </c:pt>
                <c:pt idx="16">
                  <c:v>1008.391684526244</c:v>
                </c:pt>
                <c:pt idx="17">
                  <c:v>1008.391684526244</c:v>
                </c:pt>
                <c:pt idx="18">
                  <c:v>1008.391684526244</c:v>
                </c:pt>
                <c:pt idx="19">
                  <c:v>1008.391684526244</c:v>
                </c:pt>
                <c:pt idx="20">
                  <c:v>1008.391684526244</c:v>
                </c:pt>
                <c:pt idx="21">
                  <c:v>1008.391684526244</c:v>
                </c:pt>
                <c:pt idx="22">
                  <c:v>1008.391684526244</c:v>
                </c:pt>
                <c:pt idx="23">
                  <c:v>1008.391684526244</c:v>
                </c:pt>
                <c:pt idx="24">
                  <c:v>1008.391684526244</c:v>
                </c:pt>
                <c:pt idx="25">
                  <c:v>1008.391684526244</c:v>
                </c:pt>
                <c:pt idx="26">
                  <c:v>1008.391684526244</c:v>
                </c:pt>
                <c:pt idx="27">
                  <c:v>1008.391684526244</c:v>
                </c:pt>
                <c:pt idx="28">
                  <c:v>1008.391684526244</c:v>
                </c:pt>
                <c:pt idx="29">
                  <c:v>1008.391684526244</c:v>
                </c:pt>
                <c:pt idx="30">
                  <c:v>1008.391684526244</c:v>
                </c:pt>
                <c:pt idx="31">
                  <c:v>1008.391684526244</c:v>
                </c:pt>
                <c:pt idx="32">
                  <c:v>1008.391684526244</c:v>
                </c:pt>
                <c:pt idx="33">
                  <c:v>1008.391684526244</c:v>
                </c:pt>
                <c:pt idx="34">
                  <c:v>1008.391684526244</c:v>
                </c:pt>
                <c:pt idx="35">
                  <c:v>1008.391684526244</c:v>
                </c:pt>
                <c:pt idx="36">
                  <c:v>1008.391684526244</c:v>
                </c:pt>
                <c:pt idx="37">
                  <c:v>1008.391684526244</c:v>
                </c:pt>
                <c:pt idx="38">
                  <c:v>1008.391684526244</c:v>
                </c:pt>
                <c:pt idx="39">
                  <c:v>1008.391684526244</c:v>
                </c:pt>
                <c:pt idx="40">
                  <c:v>1008.391684526244</c:v>
                </c:pt>
                <c:pt idx="41">
                  <c:v>1008.391684526244</c:v>
                </c:pt>
                <c:pt idx="42">
                  <c:v>1008.391684526244</c:v>
                </c:pt>
                <c:pt idx="43">
                  <c:v>1008.391684526244</c:v>
                </c:pt>
                <c:pt idx="44">
                  <c:v>1008.391684526244</c:v>
                </c:pt>
                <c:pt idx="45">
                  <c:v>1008.391684526244</c:v>
                </c:pt>
                <c:pt idx="46">
                  <c:v>1008.391684526244</c:v>
                </c:pt>
                <c:pt idx="47">
                  <c:v>840.3264037718696</c:v>
                </c:pt>
                <c:pt idx="48">
                  <c:v>840.3264037718696</c:v>
                </c:pt>
                <c:pt idx="49">
                  <c:v>840.3264037718696</c:v>
                </c:pt>
                <c:pt idx="50">
                  <c:v>840.3264037718696</c:v>
                </c:pt>
                <c:pt idx="51">
                  <c:v>840.3264037718696</c:v>
                </c:pt>
                <c:pt idx="52">
                  <c:v>840.3264037718696</c:v>
                </c:pt>
                <c:pt idx="53">
                  <c:v>840.3264037718696</c:v>
                </c:pt>
                <c:pt idx="54">
                  <c:v>840.3264037718696</c:v>
                </c:pt>
                <c:pt idx="55">
                  <c:v>840.3264037718696</c:v>
                </c:pt>
                <c:pt idx="56">
                  <c:v>840.3264037718696</c:v>
                </c:pt>
                <c:pt idx="57">
                  <c:v>840.3264037718696</c:v>
                </c:pt>
                <c:pt idx="58">
                  <c:v>840.3264037718696</c:v>
                </c:pt>
                <c:pt idx="59">
                  <c:v>840.3264037718696</c:v>
                </c:pt>
                <c:pt idx="60">
                  <c:v>840.3264037718696</c:v>
                </c:pt>
                <c:pt idx="61">
                  <c:v>840.3264037718696</c:v>
                </c:pt>
                <c:pt idx="62">
                  <c:v>840.3264037718696</c:v>
                </c:pt>
                <c:pt idx="63">
                  <c:v>840.3264037718696</c:v>
                </c:pt>
                <c:pt idx="64">
                  <c:v>840.3264037718696</c:v>
                </c:pt>
                <c:pt idx="65">
                  <c:v>840.3264037718696</c:v>
                </c:pt>
                <c:pt idx="66">
                  <c:v>840.3264037718696</c:v>
                </c:pt>
                <c:pt idx="67">
                  <c:v>840.3264037718696</c:v>
                </c:pt>
                <c:pt idx="68">
                  <c:v>840.3264037718696</c:v>
                </c:pt>
                <c:pt idx="69">
                  <c:v>840.3264037718696</c:v>
                </c:pt>
                <c:pt idx="70">
                  <c:v>840.3264037718696</c:v>
                </c:pt>
                <c:pt idx="71">
                  <c:v>840.3264037718696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3"/>
          <c:order val="11"/>
          <c:tx>
            <c:strRef>
              <c:f>Percentiles!$A$14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Percentiles!$F$14:$DA$14</c:f>
              <c:numCache>
                <c:formatCode>0</c:formatCode>
                <c:ptCount val="100"/>
                <c:pt idx="0">
                  <c:v>29433.67439740386</c:v>
                </c:pt>
                <c:pt idx="1">
                  <c:v>29433.67439740386</c:v>
                </c:pt>
                <c:pt idx="2">
                  <c:v>29433.67439740386</c:v>
                </c:pt>
                <c:pt idx="3">
                  <c:v>29433.67439740386</c:v>
                </c:pt>
                <c:pt idx="4">
                  <c:v>29433.67439740386</c:v>
                </c:pt>
                <c:pt idx="5">
                  <c:v>29433.67439740386</c:v>
                </c:pt>
                <c:pt idx="6">
                  <c:v>29433.67439740386</c:v>
                </c:pt>
                <c:pt idx="7">
                  <c:v>29433.67439740386</c:v>
                </c:pt>
                <c:pt idx="8">
                  <c:v>29433.67439740386</c:v>
                </c:pt>
                <c:pt idx="9">
                  <c:v>29433.67439740386</c:v>
                </c:pt>
                <c:pt idx="10">
                  <c:v>29433.67439740386</c:v>
                </c:pt>
                <c:pt idx="11">
                  <c:v>29433.67439740386</c:v>
                </c:pt>
                <c:pt idx="12">
                  <c:v>29433.67439740386</c:v>
                </c:pt>
                <c:pt idx="13">
                  <c:v>29433.67439740386</c:v>
                </c:pt>
                <c:pt idx="14">
                  <c:v>29433.67439740386</c:v>
                </c:pt>
                <c:pt idx="15">
                  <c:v>29433.67439740386</c:v>
                </c:pt>
                <c:pt idx="16">
                  <c:v>29433.67439740386</c:v>
                </c:pt>
                <c:pt idx="17">
                  <c:v>29433.67439740386</c:v>
                </c:pt>
                <c:pt idx="18">
                  <c:v>29433.67439740386</c:v>
                </c:pt>
                <c:pt idx="19">
                  <c:v>29433.67439740386</c:v>
                </c:pt>
                <c:pt idx="20">
                  <c:v>29433.67439740386</c:v>
                </c:pt>
                <c:pt idx="21">
                  <c:v>29433.67439740386</c:v>
                </c:pt>
                <c:pt idx="22">
                  <c:v>29433.67439740386</c:v>
                </c:pt>
                <c:pt idx="23">
                  <c:v>29433.67439740386</c:v>
                </c:pt>
                <c:pt idx="24">
                  <c:v>29433.67439740386</c:v>
                </c:pt>
                <c:pt idx="25">
                  <c:v>29433.67439740386</c:v>
                </c:pt>
                <c:pt idx="26">
                  <c:v>29433.67439740386</c:v>
                </c:pt>
                <c:pt idx="27">
                  <c:v>29433.67439740386</c:v>
                </c:pt>
                <c:pt idx="28">
                  <c:v>29433.67439740386</c:v>
                </c:pt>
                <c:pt idx="29">
                  <c:v>29433.67439740386</c:v>
                </c:pt>
                <c:pt idx="30">
                  <c:v>29433.67439740386</c:v>
                </c:pt>
                <c:pt idx="31">
                  <c:v>29433.67439740386</c:v>
                </c:pt>
                <c:pt idx="32">
                  <c:v>29433.67439740386</c:v>
                </c:pt>
                <c:pt idx="33">
                  <c:v>29433.67439740386</c:v>
                </c:pt>
                <c:pt idx="34">
                  <c:v>29433.67439740386</c:v>
                </c:pt>
                <c:pt idx="35">
                  <c:v>29433.67439740386</c:v>
                </c:pt>
                <c:pt idx="36">
                  <c:v>29433.67439740386</c:v>
                </c:pt>
                <c:pt idx="37">
                  <c:v>29433.67439740386</c:v>
                </c:pt>
                <c:pt idx="38">
                  <c:v>29433.67439740386</c:v>
                </c:pt>
                <c:pt idx="39">
                  <c:v>29433.67439740386</c:v>
                </c:pt>
                <c:pt idx="40">
                  <c:v>29433.67439740386</c:v>
                </c:pt>
                <c:pt idx="41">
                  <c:v>29433.67439740386</c:v>
                </c:pt>
                <c:pt idx="42">
                  <c:v>29433.67439740386</c:v>
                </c:pt>
                <c:pt idx="43">
                  <c:v>29433.67439740386</c:v>
                </c:pt>
                <c:pt idx="44">
                  <c:v>29433.67439740386</c:v>
                </c:pt>
                <c:pt idx="45">
                  <c:v>29433.67439740386</c:v>
                </c:pt>
                <c:pt idx="46">
                  <c:v>29433.67439740386</c:v>
                </c:pt>
                <c:pt idx="47">
                  <c:v>29433.67439740386</c:v>
                </c:pt>
                <c:pt idx="48">
                  <c:v>29433.67439740386</c:v>
                </c:pt>
                <c:pt idx="49">
                  <c:v>29433.67439740386</c:v>
                </c:pt>
                <c:pt idx="50">
                  <c:v>29433.67439740386</c:v>
                </c:pt>
                <c:pt idx="51">
                  <c:v>29433.67439740386</c:v>
                </c:pt>
                <c:pt idx="52">
                  <c:v>29433.67439740386</c:v>
                </c:pt>
                <c:pt idx="53">
                  <c:v>29433.67439740386</c:v>
                </c:pt>
                <c:pt idx="54">
                  <c:v>29433.67439740386</c:v>
                </c:pt>
                <c:pt idx="55">
                  <c:v>29433.67439740386</c:v>
                </c:pt>
                <c:pt idx="56">
                  <c:v>29433.67439740386</c:v>
                </c:pt>
                <c:pt idx="57">
                  <c:v>29433.67439740386</c:v>
                </c:pt>
                <c:pt idx="58">
                  <c:v>29433.67439740386</c:v>
                </c:pt>
                <c:pt idx="59">
                  <c:v>29433.67439740386</c:v>
                </c:pt>
                <c:pt idx="60">
                  <c:v>29433.67439740386</c:v>
                </c:pt>
                <c:pt idx="61">
                  <c:v>29433.67439740386</c:v>
                </c:pt>
                <c:pt idx="62">
                  <c:v>29433.67439740386</c:v>
                </c:pt>
                <c:pt idx="63">
                  <c:v>29433.67439740386</c:v>
                </c:pt>
                <c:pt idx="64">
                  <c:v>29433.67439740386</c:v>
                </c:pt>
                <c:pt idx="65">
                  <c:v>29433.67439740386</c:v>
                </c:pt>
                <c:pt idx="66">
                  <c:v>29433.67439740386</c:v>
                </c:pt>
                <c:pt idx="67">
                  <c:v>29433.67439740386</c:v>
                </c:pt>
                <c:pt idx="68">
                  <c:v>29433.67439740386</c:v>
                </c:pt>
                <c:pt idx="69">
                  <c:v>29433.67439740386</c:v>
                </c:pt>
                <c:pt idx="70">
                  <c:v>29433.67439740386</c:v>
                </c:pt>
                <c:pt idx="71">
                  <c:v>29433.67439740386</c:v>
                </c:pt>
                <c:pt idx="72">
                  <c:v>11092.21557409582</c:v>
                </c:pt>
                <c:pt idx="73">
                  <c:v>11092.21557409582</c:v>
                </c:pt>
                <c:pt idx="74">
                  <c:v>11092.21557409582</c:v>
                </c:pt>
                <c:pt idx="75">
                  <c:v>11092.21557409582</c:v>
                </c:pt>
                <c:pt idx="76">
                  <c:v>11092.21557409582</c:v>
                </c:pt>
                <c:pt idx="77">
                  <c:v>11092.21557409582</c:v>
                </c:pt>
                <c:pt idx="78">
                  <c:v>11092.21557409582</c:v>
                </c:pt>
                <c:pt idx="79">
                  <c:v>11092.21557409582</c:v>
                </c:pt>
                <c:pt idx="80">
                  <c:v>11092.21557409582</c:v>
                </c:pt>
                <c:pt idx="81">
                  <c:v>11092.21557409582</c:v>
                </c:pt>
                <c:pt idx="82">
                  <c:v>11092.21557409582</c:v>
                </c:pt>
                <c:pt idx="83">
                  <c:v>11092.21557409582</c:v>
                </c:pt>
                <c:pt idx="84">
                  <c:v>11092.21557409582</c:v>
                </c:pt>
                <c:pt idx="85">
                  <c:v>11092.21557409582</c:v>
                </c:pt>
                <c:pt idx="86">
                  <c:v>11092.21557409582</c:v>
                </c:pt>
                <c:pt idx="87">
                  <c:v>11092.21557409582</c:v>
                </c:pt>
                <c:pt idx="88">
                  <c:v>11092.21557409582</c:v>
                </c:pt>
                <c:pt idx="89">
                  <c:v>11092.21557409582</c:v>
                </c:pt>
                <c:pt idx="90">
                  <c:v>12676.81779896665</c:v>
                </c:pt>
                <c:pt idx="91">
                  <c:v>12676.81779896665</c:v>
                </c:pt>
                <c:pt idx="92">
                  <c:v>12676.81779896665</c:v>
                </c:pt>
                <c:pt idx="93">
                  <c:v>12676.81779896665</c:v>
                </c:pt>
                <c:pt idx="94">
                  <c:v>12676.81779896665</c:v>
                </c:pt>
                <c:pt idx="95">
                  <c:v>12676.81779896665</c:v>
                </c:pt>
                <c:pt idx="96">
                  <c:v>12676.81779896665</c:v>
                </c:pt>
                <c:pt idx="97">
                  <c:v>12676.81779896665</c:v>
                </c:pt>
                <c:pt idx="98">
                  <c:v>12676.81779896665</c:v>
                </c:pt>
                <c:pt idx="99">
                  <c:v>12676.81779896665</c:v>
                </c:pt>
              </c:numCache>
            </c:numRef>
          </c:val>
        </c:ser>
        <c:ser>
          <c:idx val="11"/>
          <c:order val="12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Percentiles!$F$15:$DA$15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6987.222408879254</c:v>
                </c:pt>
                <c:pt idx="48">
                  <c:v>6987.222408879254</c:v>
                </c:pt>
                <c:pt idx="49">
                  <c:v>6987.222408879254</c:v>
                </c:pt>
                <c:pt idx="50">
                  <c:v>6987.222408879254</c:v>
                </c:pt>
                <c:pt idx="51">
                  <c:v>6987.222408879254</c:v>
                </c:pt>
                <c:pt idx="52">
                  <c:v>6987.222408879254</c:v>
                </c:pt>
                <c:pt idx="53">
                  <c:v>6987.222408879254</c:v>
                </c:pt>
                <c:pt idx="54">
                  <c:v>6987.222408879254</c:v>
                </c:pt>
                <c:pt idx="55">
                  <c:v>6987.222408879254</c:v>
                </c:pt>
                <c:pt idx="56">
                  <c:v>6987.222408879254</c:v>
                </c:pt>
                <c:pt idx="57">
                  <c:v>6987.222408879254</c:v>
                </c:pt>
                <c:pt idx="58">
                  <c:v>6987.222408879254</c:v>
                </c:pt>
                <c:pt idx="59">
                  <c:v>6987.222408879254</c:v>
                </c:pt>
                <c:pt idx="60">
                  <c:v>6987.222408879254</c:v>
                </c:pt>
                <c:pt idx="61">
                  <c:v>6987.222408879254</c:v>
                </c:pt>
                <c:pt idx="62">
                  <c:v>6987.222408879254</c:v>
                </c:pt>
                <c:pt idx="63">
                  <c:v>6987.222408879254</c:v>
                </c:pt>
                <c:pt idx="64">
                  <c:v>6987.222408879254</c:v>
                </c:pt>
                <c:pt idx="65">
                  <c:v>6987.222408879254</c:v>
                </c:pt>
                <c:pt idx="66">
                  <c:v>6987.222408879254</c:v>
                </c:pt>
                <c:pt idx="67">
                  <c:v>6987.222408879254</c:v>
                </c:pt>
                <c:pt idx="68">
                  <c:v>6987.222408879254</c:v>
                </c:pt>
                <c:pt idx="69">
                  <c:v>6987.222408879254</c:v>
                </c:pt>
                <c:pt idx="70">
                  <c:v>6987.222408879254</c:v>
                </c:pt>
                <c:pt idx="71">
                  <c:v>6987.222408879254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40249624"/>
        <c:axId val="-2140256376"/>
      </c:barChart>
      <c:lineChart>
        <c:grouping val="standard"/>
        <c:varyColors val="0"/>
        <c:ser>
          <c:idx val="12"/>
          <c:order val="13"/>
          <c:tx>
            <c:strRef>
              <c:f>Percentiles!$A$17</c:f>
              <c:strCache>
                <c:ptCount val="1"/>
                <c:pt idx="0">
                  <c:v>Survival Threshold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Percentiles!$F$17:$DA$17</c:f>
              <c:numCache>
                <c:formatCode>0</c:formatCode>
                <c:ptCount val="100"/>
                <c:pt idx="0">
                  <c:v>39324.2862920528</c:v>
                </c:pt>
                <c:pt idx="1">
                  <c:v>39324.2862920528</c:v>
                </c:pt>
                <c:pt idx="2">
                  <c:v>39324.2862920528</c:v>
                </c:pt>
                <c:pt idx="3">
                  <c:v>39324.2862920528</c:v>
                </c:pt>
                <c:pt idx="4">
                  <c:v>39324.2862920528</c:v>
                </c:pt>
                <c:pt idx="5">
                  <c:v>39324.2862920528</c:v>
                </c:pt>
                <c:pt idx="6">
                  <c:v>39324.2862920528</c:v>
                </c:pt>
                <c:pt idx="7">
                  <c:v>39324.2862920528</c:v>
                </c:pt>
                <c:pt idx="8">
                  <c:v>39324.2862920528</c:v>
                </c:pt>
                <c:pt idx="9">
                  <c:v>39324.2862920528</c:v>
                </c:pt>
                <c:pt idx="10">
                  <c:v>39324.2862920528</c:v>
                </c:pt>
                <c:pt idx="11">
                  <c:v>39324.2862920528</c:v>
                </c:pt>
                <c:pt idx="12">
                  <c:v>39324.2862920528</c:v>
                </c:pt>
                <c:pt idx="13">
                  <c:v>39324.2862920528</c:v>
                </c:pt>
                <c:pt idx="14">
                  <c:v>39324.2862920528</c:v>
                </c:pt>
                <c:pt idx="15">
                  <c:v>39324.2862920528</c:v>
                </c:pt>
                <c:pt idx="16">
                  <c:v>39324.2862920528</c:v>
                </c:pt>
                <c:pt idx="17">
                  <c:v>39324.2862920528</c:v>
                </c:pt>
                <c:pt idx="18">
                  <c:v>39324.2862920528</c:v>
                </c:pt>
                <c:pt idx="19">
                  <c:v>39324.2862920528</c:v>
                </c:pt>
                <c:pt idx="20">
                  <c:v>39324.2862920528</c:v>
                </c:pt>
                <c:pt idx="21">
                  <c:v>39324.2862920528</c:v>
                </c:pt>
                <c:pt idx="22">
                  <c:v>39324.2862920528</c:v>
                </c:pt>
                <c:pt idx="23">
                  <c:v>39324.2862920528</c:v>
                </c:pt>
                <c:pt idx="24">
                  <c:v>39324.2862920528</c:v>
                </c:pt>
                <c:pt idx="25">
                  <c:v>39324.2862920528</c:v>
                </c:pt>
                <c:pt idx="26">
                  <c:v>39324.2862920528</c:v>
                </c:pt>
                <c:pt idx="27">
                  <c:v>39324.2862920528</c:v>
                </c:pt>
                <c:pt idx="28">
                  <c:v>39324.2862920528</c:v>
                </c:pt>
                <c:pt idx="29">
                  <c:v>39324.2862920528</c:v>
                </c:pt>
                <c:pt idx="30">
                  <c:v>39324.2862920528</c:v>
                </c:pt>
                <c:pt idx="31">
                  <c:v>39324.2862920528</c:v>
                </c:pt>
                <c:pt idx="32">
                  <c:v>39324.2862920528</c:v>
                </c:pt>
                <c:pt idx="33">
                  <c:v>39324.2862920528</c:v>
                </c:pt>
                <c:pt idx="34">
                  <c:v>39324.2862920528</c:v>
                </c:pt>
                <c:pt idx="35">
                  <c:v>39324.2862920528</c:v>
                </c:pt>
                <c:pt idx="36">
                  <c:v>39324.2862920528</c:v>
                </c:pt>
                <c:pt idx="37">
                  <c:v>39324.2862920528</c:v>
                </c:pt>
                <c:pt idx="38">
                  <c:v>39324.2862920528</c:v>
                </c:pt>
                <c:pt idx="39">
                  <c:v>39324.2862920528</c:v>
                </c:pt>
                <c:pt idx="40">
                  <c:v>39324.2862920528</c:v>
                </c:pt>
                <c:pt idx="41">
                  <c:v>39324.2862920528</c:v>
                </c:pt>
                <c:pt idx="42">
                  <c:v>39324.2862920528</c:v>
                </c:pt>
                <c:pt idx="43">
                  <c:v>39324.2862920528</c:v>
                </c:pt>
                <c:pt idx="44">
                  <c:v>39324.2862920528</c:v>
                </c:pt>
                <c:pt idx="45">
                  <c:v>39324.2862920528</c:v>
                </c:pt>
                <c:pt idx="46">
                  <c:v>39324.2862920528</c:v>
                </c:pt>
                <c:pt idx="47">
                  <c:v>39324.2862920528</c:v>
                </c:pt>
                <c:pt idx="48">
                  <c:v>39324.2862920528</c:v>
                </c:pt>
                <c:pt idx="49">
                  <c:v>39324.2862920528</c:v>
                </c:pt>
                <c:pt idx="50">
                  <c:v>39324.2862920528</c:v>
                </c:pt>
                <c:pt idx="51">
                  <c:v>39324.2862920528</c:v>
                </c:pt>
                <c:pt idx="52">
                  <c:v>39324.2862920528</c:v>
                </c:pt>
                <c:pt idx="53">
                  <c:v>39324.2862920528</c:v>
                </c:pt>
                <c:pt idx="54">
                  <c:v>39324.2862920528</c:v>
                </c:pt>
                <c:pt idx="55">
                  <c:v>39324.2862920528</c:v>
                </c:pt>
                <c:pt idx="56">
                  <c:v>39324.2862920528</c:v>
                </c:pt>
                <c:pt idx="57">
                  <c:v>39324.2862920528</c:v>
                </c:pt>
                <c:pt idx="58">
                  <c:v>39324.2862920528</c:v>
                </c:pt>
                <c:pt idx="59">
                  <c:v>39324.2862920528</c:v>
                </c:pt>
                <c:pt idx="60">
                  <c:v>39324.2862920528</c:v>
                </c:pt>
                <c:pt idx="61">
                  <c:v>39324.2862920528</c:v>
                </c:pt>
                <c:pt idx="62">
                  <c:v>39324.2862920528</c:v>
                </c:pt>
                <c:pt idx="63">
                  <c:v>39324.2862920528</c:v>
                </c:pt>
                <c:pt idx="64">
                  <c:v>39324.2862920528</c:v>
                </c:pt>
                <c:pt idx="65">
                  <c:v>39324.2862920528</c:v>
                </c:pt>
                <c:pt idx="66">
                  <c:v>39324.2862920528</c:v>
                </c:pt>
                <c:pt idx="67">
                  <c:v>39324.2862920528</c:v>
                </c:pt>
                <c:pt idx="68">
                  <c:v>39324.2862920528</c:v>
                </c:pt>
                <c:pt idx="69">
                  <c:v>39324.2862920528</c:v>
                </c:pt>
                <c:pt idx="70">
                  <c:v>39324.2862920528</c:v>
                </c:pt>
                <c:pt idx="71">
                  <c:v>39324.2862920528</c:v>
                </c:pt>
                <c:pt idx="72">
                  <c:v>39324.2862920528</c:v>
                </c:pt>
                <c:pt idx="73">
                  <c:v>39324.2862920528</c:v>
                </c:pt>
                <c:pt idx="74">
                  <c:v>39324.2862920528</c:v>
                </c:pt>
                <c:pt idx="75">
                  <c:v>39324.2862920528</c:v>
                </c:pt>
                <c:pt idx="76">
                  <c:v>39324.2862920528</c:v>
                </c:pt>
                <c:pt idx="77">
                  <c:v>39324.2862920528</c:v>
                </c:pt>
                <c:pt idx="78">
                  <c:v>39324.2862920528</c:v>
                </c:pt>
                <c:pt idx="79">
                  <c:v>39324.2862920528</c:v>
                </c:pt>
                <c:pt idx="80">
                  <c:v>39324.2862920528</c:v>
                </c:pt>
                <c:pt idx="81">
                  <c:v>39324.2862920528</c:v>
                </c:pt>
                <c:pt idx="82">
                  <c:v>39324.2862920528</c:v>
                </c:pt>
                <c:pt idx="83">
                  <c:v>39324.2862920528</c:v>
                </c:pt>
                <c:pt idx="84">
                  <c:v>39324.2862920528</c:v>
                </c:pt>
                <c:pt idx="85">
                  <c:v>39324.2862920528</c:v>
                </c:pt>
                <c:pt idx="86">
                  <c:v>39324.2862920528</c:v>
                </c:pt>
                <c:pt idx="87">
                  <c:v>39324.2862920528</c:v>
                </c:pt>
                <c:pt idx="88">
                  <c:v>39324.2862920528</c:v>
                </c:pt>
                <c:pt idx="89">
                  <c:v>39324.2862920528</c:v>
                </c:pt>
                <c:pt idx="90">
                  <c:v>39324.2862920528</c:v>
                </c:pt>
                <c:pt idx="91">
                  <c:v>39324.2862920528</c:v>
                </c:pt>
                <c:pt idx="92">
                  <c:v>39324.2862920528</c:v>
                </c:pt>
                <c:pt idx="93">
                  <c:v>39324.2862920528</c:v>
                </c:pt>
                <c:pt idx="94">
                  <c:v>39324.2862920528</c:v>
                </c:pt>
                <c:pt idx="95">
                  <c:v>39324.2862920528</c:v>
                </c:pt>
                <c:pt idx="96">
                  <c:v>39324.2862920528</c:v>
                </c:pt>
                <c:pt idx="97">
                  <c:v>39324.2862920528</c:v>
                </c:pt>
                <c:pt idx="98">
                  <c:v>39324.2862920528</c:v>
                </c:pt>
                <c:pt idx="99">
                  <c:v>39324.2862920528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0249624"/>
        <c:axId val="-2140256376"/>
      </c:lineChart>
      <c:scatterChart>
        <c:scatterStyle val="lineMarker"/>
        <c:varyColors val="0"/>
        <c:ser>
          <c:idx val="14"/>
          <c:order val="14"/>
          <c:tx>
            <c:strRef>
              <c:f>Percentiles!$A$19</c:f>
              <c:strCache>
                <c:ptCount val="1"/>
                <c:pt idx="0">
                  <c:v>Joining lines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xVal>
            <c:numRef>
              <c:f>Percentiles!$S$22:$CW$22</c:f>
              <c:numCache>
                <c:formatCode>0</c:formatCode>
                <c:ptCount val="83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  <c:pt idx="5">
                  <c:v>18.0</c:v>
                </c:pt>
                <c:pt idx="6">
                  <c:v>19.0</c:v>
                </c:pt>
                <c:pt idx="7">
                  <c:v>20.0</c:v>
                </c:pt>
                <c:pt idx="8">
                  <c:v>21.0</c:v>
                </c:pt>
                <c:pt idx="9">
                  <c:v>22.0</c:v>
                </c:pt>
                <c:pt idx="10">
                  <c:v>23.0</c:v>
                </c:pt>
                <c:pt idx="11">
                  <c:v>24.0</c:v>
                </c:pt>
                <c:pt idx="12">
                  <c:v>25.0</c:v>
                </c:pt>
                <c:pt idx="13">
                  <c:v>26.0</c:v>
                </c:pt>
                <c:pt idx="14">
                  <c:v>27.0</c:v>
                </c:pt>
                <c:pt idx="15">
                  <c:v>28.0</c:v>
                </c:pt>
                <c:pt idx="16">
                  <c:v>29.0</c:v>
                </c:pt>
                <c:pt idx="17">
                  <c:v>30.0</c:v>
                </c:pt>
                <c:pt idx="18">
                  <c:v>31.0</c:v>
                </c:pt>
                <c:pt idx="19">
                  <c:v>32.0</c:v>
                </c:pt>
                <c:pt idx="20">
                  <c:v>33.0</c:v>
                </c:pt>
                <c:pt idx="21">
                  <c:v>34.0</c:v>
                </c:pt>
                <c:pt idx="22">
                  <c:v>35.0</c:v>
                </c:pt>
                <c:pt idx="23">
                  <c:v>36.0</c:v>
                </c:pt>
                <c:pt idx="24">
                  <c:v>37.0</c:v>
                </c:pt>
                <c:pt idx="25">
                  <c:v>38.0</c:v>
                </c:pt>
                <c:pt idx="26">
                  <c:v>39.0</c:v>
                </c:pt>
                <c:pt idx="27">
                  <c:v>40.0</c:v>
                </c:pt>
                <c:pt idx="28">
                  <c:v>41.0</c:v>
                </c:pt>
                <c:pt idx="29">
                  <c:v>42.0</c:v>
                </c:pt>
                <c:pt idx="30">
                  <c:v>43.0</c:v>
                </c:pt>
                <c:pt idx="31">
                  <c:v>44.0</c:v>
                </c:pt>
                <c:pt idx="32">
                  <c:v>45.0</c:v>
                </c:pt>
                <c:pt idx="33">
                  <c:v>46.0</c:v>
                </c:pt>
                <c:pt idx="34">
                  <c:v>47.0</c:v>
                </c:pt>
                <c:pt idx="35">
                  <c:v>48.0</c:v>
                </c:pt>
                <c:pt idx="36">
                  <c:v>49.0</c:v>
                </c:pt>
                <c:pt idx="37">
                  <c:v>50.0</c:v>
                </c:pt>
                <c:pt idx="38">
                  <c:v>51.0</c:v>
                </c:pt>
                <c:pt idx="39">
                  <c:v>52.0</c:v>
                </c:pt>
                <c:pt idx="40">
                  <c:v>53.0</c:v>
                </c:pt>
                <c:pt idx="41">
                  <c:v>54.0</c:v>
                </c:pt>
                <c:pt idx="42">
                  <c:v>55.0</c:v>
                </c:pt>
                <c:pt idx="43">
                  <c:v>56.0</c:v>
                </c:pt>
                <c:pt idx="44">
                  <c:v>57.0</c:v>
                </c:pt>
                <c:pt idx="45">
                  <c:v>58.0</c:v>
                </c:pt>
                <c:pt idx="46">
                  <c:v>59.0</c:v>
                </c:pt>
                <c:pt idx="47">
                  <c:v>60.0</c:v>
                </c:pt>
                <c:pt idx="48">
                  <c:v>61.0</c:v>
                </c:pt>
                <c:pt idx="49">
                  <c:v>62.0</c:v>
                </c:pt>
                <c:pt idx="50">
                  <c:v>63.0</c:v>
                </c:pt>
                <c:pt idx="51">
                  <c:v>64.0</c:v>
                </c:pt>
                <c:pt idx="52">
                  <c:v>65.0</c:v>
                </c:pt>
                <c:pt idx="53">
                  <c:v>66.0</c:v>
                </c:pt>
                <c:pt idx="54">
                  <c:v>67.0</c:v>
                </c:pt>
                <c:pt idx="55">
                  <c:v>68.0</c:v>
                </c:pt>
                <c:pt idx="56">
                  <c:v>69.0</c:v>
                </c:pt>
                <c:pt idx="57">
                  <c:v>70.0</c:v>
                </c:pt>
                <c:pt idx="58">
                  <c:v>71.0</c:v>
                </c:pt>
                <c:pt idx="59">
                  <c:v>72.0</c:v>
                </c:pt>
                <c:pt idx="60">
                  <c:v>73.0</c:v>
                </c:pt>
                <c:pt idx="61">
                  <c:v>74.0</c:v>
                </c:pt>
                <c:pt idx="62">
                  <c:v>75.0</c:v>
                </c:pt>
                <c:pt idx="63">
                  <c:v>76.0</c:v>
                </c:pt>
                <c:pt idx="64">
                  <c:v>77.0</c:v>
                </c:pt>
                <c:pt idx="65">
                  <c:v>78.0</c:v>
                </c:pt>
                <c:pt idx="66">
                  <c:v>79.0</c:v>
                </c:pt>
                <c:pt idx="67">
                  <c:v>80.0</c:v>
                </c:pt>
                <c:pt idx="68">
                  <c:v>81.0</c:v>
                </c:pt>
                <c:pt idx="69">
                  <c:v>82.0</c:v>
                </c:pt>
                <c:pt idx="70">
                  <c:v>83.0</c:v>
                </c:pt>
                <c:pt idx="71">
                  <c:v>84.0</c:v>
                </c:pt>
                <c:pt idx="72">
                  <c:v>85.0</c:v>
                </c:pt>
                <c:pt idx="73">
                  <c:v>86.0</c:v>
                </c:pt>
                <c:pt idx="74">
                  <c:v>87.0</c:v>
                </c:pt>
                <c:pt idx="75">
                  <c:v>88.0</c:v>
                </c:pt>
                <c:pt idx="76">
                  <c:v>89.0</c:v>
                </c:pt>
                <c:pt idx="77">
                  <c:v>90.0</c:v>
                </c:pt>
                <c:pt idx="78">
                  <c:v>91.0</c:v>
                </c:pt>
                <c:pt idx="79">
                  <c:v>92.0</c:v>
                </c:pt>
                <c:pt idx="80">
                  <c:v>93.0</c:v>
                </c:pt>
                <c:pt idx="81">
                  <c:v>94.0</c:v>
                </c:pt>
                <c:pt idx="82">
                  <c:v>95.0</c:v>
                </c:pt>
              </c:numCache>
            </c:numRef>
          </c:xVal>
          <c:yVal>
            <c:numRef>
              <c:f>Percentiles!$S$19:$CW$19</c:f>
              <c:numCache>
                <c:formatCode>General</c:formatCode>
                <c:ptCount val="8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49441.1180987243</c:v>
                </c:pt>
                <c:pt idx="12">
                  <c:v>51023.28148195676</c:v>
                </c:pt>
                <c:pt idx="13">
                  <c:v>52605.44486518922</c:v>
                </c:pt>
                <c:pt idx="14">
                  <c:v>54187.60824842168</c:v>
                </c:pt>
                <c:pt idx="15">
                  <c:v>55769.77163165414</c:v>
                </c:pt>
                <c:pt idx="16">
                  <c:v>57351.9350148866</c:v>
                </c:pt>
                <c:pt idx="17">
                  <c:v>58934.09839811907</c:v>
                </c:pt>
                <c:pt idx="18">
                  <c:v>60516.26178135152</c:v>
                </c:pt>
                <c:pt idx="19">
                  <c:v>62098.42516458398</c:v>
                </c:pt>
                <c:pt idx="20">
                  <c:v>63680.58854781644</c:v>
                </c:pt>
                <c:pt idx="21">
                  <c:v>65262.7519310489</c:v>
                </c:pt>
                <c:pt idx="22">
                  <c:v>66844.91531428135</c:v>
                </c:pt>
                <c:pt idx="23">
                  <c:v>68427.07869751381</c:v>
                </c:pt>
                <c:pt idx="24">
                  <c:v>70009.24208074628</c:v>
                </c:pt>
                <c:pt idx="25">
                  <c:v>71591.40546397873</c:v>
                </c:pt>
                <c:pt idx="26">
                  <c:v>73173.56884721121</c:v>
                </c:pt>
                <c:pt idx="27">
                  <c:v>74755.73223044367</c:v>
                </c:pt>
                <c:pt idx="28">
                  <c:v>76337.89561367613</c:v>
                </c:pt>
                <c:pt idx="29">
                  <c:v>77920.05899690858</c:v>
                </c:pt>
                <c:pt idx="30">
                  <c:v>79502.22238014104</c:v>
                </c:pt>
                <c:pt idx="31">
                  <c:v>81084.3857633735</c:v>
                </c:pt>
                <c:pt idx="32">
                  <c:v>82666.54914660597</c:v>
                </c:pt>
                <c:pt idx="33">
                  <c:v>84248.71252983843</c:v>
                </c:pt>
                <c:pt idx="34">
                  <c:v>85830.8759130709</c:v>
                </c:pt>
                <c:pt idx="35">
                  <c:v>87413.03929630335</c:v>
                </c:pt>
                <c:pt idx="36">
                  <c:v>88995.20267953581</c:v>
                </c:pt>
                <c:pt idx="37">
                  <c:v>90577.36606276826</c:v>
                </c:pt>
                <c:pt idx="38">
                  <c:v>92159.52944600072</c:v>
                </c:pt>
                <c:pt idx="39">
                  <c:v>93741.69282923319</c:v>
                </c:pt>
                <c:pt idx="40">
                  <c:v>95323.85621246564</c:v>
                </c:pt>
                <c:pt idx="41">
                  <c:v>96906.0195956981</c:v>
                </c:pt>
                <c:pt idx="42">
                  <c:v>98488.18297893056</c:v>
                </c:pt>
                <c:pt idx="43">
                  <c:v>100070.346362163</c:v>
                </c:pt>
                <c:pt idx="44">
                  <c:v>101652.5097453955</c:v>
                </c:pt>
                <c:pt idx="45">
                  <c:v>103234.673128628</c:v>
                </c:pt>
                <c:pt idx="46">
                  <c:v>104816.8365118604</c:v>
                </c:pt>
                <c:pt idx="47">
                  <c:v>106715.0036721534</c:v>
                </c:pt>
                <c:pt idx="48">
                  <c:v>108929.1746095068</c:v>
                </c:pt>
                <c:pt idx="49">
                  <c:v>111143.3455468602</c:v>
                </c:pt>
                <c:pt idx="50">
                  <c:v>113357.5164842137</c:v>
                </c:pt>
                <c:pt idx="51">
                  <c:v>115571.6874215671</c:v>
                </c:pt>
                <c:pt idx="52">
                  <c:v>117785.8583589206</c:v>
                </c:pt>
                <c:pt idx="53">
                  <c:v>120000.029296274</c:v>
                </c:pt>
                <c:pt idx="54">
                  <c:v>122214.2002336274</c:v>
                </c:pt>
                <c:pt idx="55">
                  <c:v>124428.3711709809</c:v>
                </c:pt>
                <c:pt idx="56">
                  <c:v>126642.5421083343</c:v>
                </c:pt>
                <c:pt idx="57">
                  <c:v>128856.7130456877</c:v>
                </c:pt>
                <c:pt idx="58">
                  <c:v>131070.8839830412</c:v>
                </c:pt>
                <c:pt idx="59">
                  <c:v>133285.0549203946</c:v>
                </c:pt>
                <c:pt idx="60">
                  <c:v>135499.2258577481</c:v>
                </c:pt>
                <c:pt idx="61">
                  <c:v>137713.3967951015</c:v>
                </c:pt>
                <c:pt idx="62">
                  <c:v>139927.5677324549</c:v>
                </c:pt>
                <c:pt idx="63">
                  <c:v>142141.7386698084</c:v>
                </c:pt>
                <c:pt idx="64">
                  <c:v>144355.9096071618</c:v>
                </c:pt>
                <c:pt idx="65">
                  <c:v>146570.0805445153</c:v>
                </c:pt>
                <c:pt idx="66">
                  <c:v>148784.2514818687</c:v>
                </c:pt>
                <c:pt idx="67">
                  <c:v>150998.4224192221</c:v>
                </c:pt>
                <c:pt idx="68">
                  <c:v>153212.5933565756</c:v>
                </c:pt>
                <c:pt idx="69">
                  <c:v>170108.7721151142</c:v>
                </c:pt>
                <c:pt idx="70">
                  <c:v>187004.9508736528</c:v>
                </c:pt>
                <c:pt idx="71">
                  <c:v>203901.1296321914</c:v>
                </c:pt>
                <c:pt idx="72">
                  <c:v>220797.3083907301</c:v>
                </c:pt>
                <c:pt idx="73">
                  <c:v>237693.4871492687</c:v>
                </c:pt>
                <c:pt idx="74">
                  <c:v>254589.6659078073</c:v>
                </c:pt>
                <c:pt idx="75">
                  <c:v>271485.8446663459</c:v>
                </c:pt>
                <c:pt idx="76">
                  <c:v>288382.0234248845</c:v>
                </c:pt>
                <c:pt idx="77">
                  <c:v>305278.202183423</c:v>
                </c:pt>
                <c:pt idx="78">
                  <c:v>322174.3809419618</c:v>
                </c:pt>
                <c:pt idx="79">
                  <c:v>339070.5597005003</c:v>
                </c:pt>
                <c:pt idx="80">
                  <c:v>355966.738459039</c:v>
                </c:pt>
                <c:pt idx="81">
                  <c:v>372862.9172175775</c:v>
                </c:pt>
                <c:pt idx="8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0249624"/>
        <c:axId val="-2140256376"/>
      </c:scatterChart>
      <c:catAx>
        <c:axId val="-2140249624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4025637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14025637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40249624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32439678284182"/>
          <c:y val="0.158208720178634"/>
          <c:w val="0.991957104557641"/>
          <c:h val="0.80895428369961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Percentiles!$A$25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Percentiles!$F$25:$DA$25</c:f>
              <c:numCache>
                <c:formatCode>0.00</c:formatCode>
                <c:ptCount val="100"/>
                <c:pt idx="0">
                  <c:v>2273.002257565641</c:v>
                </c:pt>
                <c:pt idx="1">
                  <c:v>2273.002257565641</c:v>
                </c:pt>
                <c:pt idx="2">
                  <c:v>2273.002257565641</c:v>
                </c:pt>
                <c:pt idx="3">
                  <c:v>2273.002257565641</c:v>
                </c:pt>
                <c:pt idx="4">
                  <c:v>2273.002257565641</c:v>
                </c:pt>
                <c:pt idx="5">
                  <c:v>2273.002257565641</c:v>
                </c:pt>
                <c:pt idx="6">
                  <c:v>2273.002257565641</c:v>
                </c:pt>
                <c:pt idx="7">
                  <c:v>2273.002257565641</c:v>
                </c:pt>
                <c:pt idx="8">
                  <c:v>2273.002257565641</c:v>
                </c:pt>
                <c:pt idx="9">
                  <c:v>2273.002257565641</c:v>
                </c:pt>
                <c:pt idx="10">
                  <c:v>2273.002257565641</c:v>
                </c:pt>
                <c:pt idx="11">
                  <c:v>2273.002257565641</c:v>
                </c:pt>
                <c:pt idx="12">
                  <c:v>2273.002257565641</c:v>
                </c:pt>
                <c:pt idx="13">
                  <c:v>2273.002257565641</c:v>
                </c:pt>
                <c:pt idx="14">
                  <c:v>2273.002257565641</c:v>
                </c:pt>
                <c:pt idx="15">
                  <c:v>2273.002257565641</c:v>
                </c:pt>
                <c:pt idx="16">
                  <c:v>2273.002257565641</c:v>
                </c:pt>
                <c:pt idx="17">
                  <c:v>2273.002257565641</c:v>
                </c:pt>
                <c:pt idx="18">
                  <c:v>2273.002257565641</c:v>
                </c:pt>
                <c:pt idx="19">
                  <c:v>2273.002257565641</c:v>
                </c:pt>
                <c:pt idx="20">
                  <c:v>2273.002257565641</c:v>
                </c:pt>
                <c:pt idx="21">
                  <c:v>2273.002257565641</c:v>
                </c:pt>
                <c:pt idx="22">
                  <c:v>2273.002257565641</c:v>
                </c:pt>
                <c:pt idx="23">
                  <c:v>2273.002257565641</c:v>
                </c:pt>
                <c:pt idx="24">
                  <c:v>2306.645987152306</c:v>
                </c:pt>
                <c:pt idx="25">
                  <c:v>2373.933446325636</c:v>
                </c:pt>
                <c:pt idx="26">
                  <c:v>2441.220905498965</c:v>
                </c:pt>
                <c:pt idx="27">
                  <c:v>2508.508364672295</c:v>
                </c:pt>
                <c:pt idx="28">
                  <c:v>2575.795823845625</c:v>
                </c:pt>
                <c:pt idx="29">
                  <c:v>2643.083283018955</c:v>
                </c:pt>
                <c:pt idx="30">
                  <c:v>2710.370742192284</c:v>
                </c:pt>
                <c:pt idx="31">
                  <c:v>2777.658201365614</c:v>
                </c:pt>
                <c:pt idx="32">
                  <c:v>2844.945660538944</c:v>
                </c:pt>
                <c:pt idx="33">
                  <c:v>2912.233119712273</c:v>
                </c:pt>
                <c:pt idx="34">
                  <c:v>2979.520578885603</c:v>
                </c:pt>
                <c:pt idx="35">
                  <c:v>3046.808038058933</c:v>
                </c:pt>
                <c:pt idx="36">
                  <c:v>3114.095497232262</c:v>
                </c:pt>
                <c:pt idx="37">
                  <c:v>3181.382956405592</c:v>
                </c:pt>
                <c:pt idx="38">
                  <c:v>3248.670415578922</c:v>
                </c:pt>
                <c:pt idx="39">
                  <c:v>3315.957874752252</c:v>
                </c:pt>
                <c:pt idx="40">
                  <c:v>3383.245333925581</c:v>
                </c:pt>
                <c:pt idx="41">
                  <c:v>3450.532793098911</c:v>
                </c:pt>
                <c:pt idx="42">
                  <c:v>3517.82025227224</c:v>
                </c:pt>
                <c:pt idx="43">
                  <c:v>3585.107711445571</c:v>
                </c:pt>
                <c:pt idx="44">
                  <c:v>3652.3951706189</c:v>
                </c:pt>
                <c:pt idx="45">
                  <c:v>3719.68262979223</c:v>
                </c:pt>
                <c:pt idx="46">
                  <c:v>3786.97008896556</c:v>
                </c:pt>
                <c:pt idx="47">
                  <c:v>3854.257548138889</c:v>
                </c:pt>
                <c:pt idx="48">
                  <c:v>3921.54500731222</c:v>
                </c:pt>
                <c:pt idx="49">
                  <c:v>3988.83246648555</c:v>
                </c:pt>
                <c:pt idx="50">
                  <c:v>4056.119925658878</c:v>
                </c:pt>
                <c:pt idx="51">
                  <c:v>4123.407384832208</c:v>
                </c:pt>
                <c:pt idx="52">
                  <c:v>4190.694844005537</c:v>
                </c:pt>
                <c:pt idx="53">
                  <c:v>4257.982303178867</c:v>
                </c:pt>
                <c:pt idx="54">
                  <c:v>4325.269762352197</c:v>
                </c:pt>
                <c:pt idx="55">
                  <c:v>4392.557221525526</c:v>
                </c:pt>
                <c:pt idx="56">
                  <c:v>4459.844680698856</c:v>
                </c:pt>
                <c:pt idx="57">
                  <c:v>4527.132139872186</c:v>
                </c:pt>
                <c:pt idx="58">
                  <c:v>4594.419599045515</c:v>
                </c:pt>
                <c:pt idx="59">
                  <c:v>4661.707058218846</c:v>
                </c:pt>
                <c:pt idx="60">
                  <c:v>4713.919358691792</c:v>
                </c:pt>
                <c:pt idx="61">
                  <c:v>4751.056500464353</c:v>
                </c:pt>
                <c:pt idx="62">
                  <c:v>4788.193642236914</c:v>
                </c:pt>
                <c:pt idx="63">
                  <c:v>4825.330784009476</c:v>
                </c:pt>
                <c:pt idx="64">
                  <c:v>4862.467925782037</c:v>
                </c:pt>
                <c:pt idx="65">
                  <c:v>4899.605067554598</c:v>
                </c:pt>
                <c:pt idx="66">
                  <c:v>4936.74220932716</c:v>
                </c:pt>
                <c:pt idx="67">
                  <c:v>4973.879351099721</c:v>
                </c:pt>
                <c:pt idx="68">
                  <c:v>5011.016492872282</c:v>
                </c:pt>
                <c:pt idx="69">
                  <c:v>5048.153634644843</c:v>
                </c:pt>
                <c:pt idx="70">
                  <c:v>5085.290776417405</c:v>
                </c:pt>
                <c:pt idx="71">
                  <c:v>5122.427918189966</c:v>
                </c:pt>
                <c:pt idx="72">
                  <c:v>5159.565059962527</c:v>
                </c:pt>
                <c:pt idx="73">
                  <c:v>5196.70220173509</c:v>
                </c:pt>
                <c:pt idx="74">
                  <c:v>5233.83934350765</c:v>
                </c:pt>
                <c:pt idx="75">
                  <c:v>5270.976485280212</c:v>
                </c:pt>
                <c:pt idx="76">
                  <c:v>5308.113627052773</c:v>
                </c:pt>
                <c:pt idx="77">
                  <c:v>5345.250768825334</c:v>
                </c:pt>
                <c:pt idx="78">
                  <c:v>5382.387910597896</c:v>
                </c:pt>
                <c:pt idx="79">
                  <c:v>5419.525052370457</c:v>
                </c:pt>
                <c:pt idx="80">
                  <c:v>5456.662194143018</c:v>
                </c:pt>
                <c:pt idx="81">
                  <c:v>5493.79933591558</c:v>
                </c:pt>
                <c:pt idx="82">
                  <c:v>5357.72018482773</c:v>
                </c:pt>
                <c:pt idx="83">
                  <c:v>5221.641033739877</c:v>
                </c:pt>
                <c:pt idx="84">
                  <c:v>5085.561882652026</c:v>
                </c:pt>
                <c:pt idx="85">
                  <c:v>4949.482731564176</c:v>
                </c:pt>
                <c:pt idx="86">
                  <c:v>4813.403580476324</c:v>
                </c:pt>
                <c:pt idx="87">
                  <c:v>4677.324429388473</c:v>
                </c:pt>
                <c:pt idx="88">
                  <c:v>4541.245278300623</c:v>
                </c:pt>
                <c:pt idx="89">
                  <c:v>4405.16612721277</c:v>
                </c:pt>
                <c:pt idx="90">
                  <c:v>4269.08697612492</c:v>
                </c:pt>
                <c:pt idx="91">
                  <c:v>4133.007825037069</c:v>
                </c:pt>
                <c:pt idx="92">
                  <c:v>3996.928673949218</c:v>
                </c:pt>
                <c:pt idx="93">
                  <c:v>3860.849522861367</c:v>
                </c:pt>
                <c:pt idx="94">
                  <c:v>3724.770371773516</c:v>
                </c:pt>
                <c:pt idx="95">
                  <c:v>3588.691220685665</c:v>
                </c:pt>
                <c:pt idx="96">
                  <c:v>3588.691220685665</c:v>
                </c:pt>
                <c:pt idx="97">
                  <c:v>3588.691220685665</c:v>
                </c:pt>
                <c:pt idx="98">
                  <c:v>3588.691220685665</c:v>
                </c:pt>
                <c:pt idx="99">
                  <c:v>3588.691220685665</c:v>
                </c:pt>
              </c:numCache>
            </c:numRef>
          </c:val>
        </c:ser>
        <c:ser>
          <c:idx val="1"/>
          <c:order val="1"/>
          <c:tx>
            <c:strRef>
              <c:f>Percentiles!$A$26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Percentiles!$F$26:$DA$26</c:f>
              <c:numCache>
                <c:formatCode>0.00</c:formatCode>
                <c:ptCount val="100"/>
                <c:pt idx="0">
                  <c:v>1656.553979438456</c:v>
                </c:pt>
                <c:pt idx="1">
                  <c:v>1656.553979438456</c:v>
                </c:pt>
                <c:pt idx="2">
                  <c:v>1656.553979438456</c:v>
                </c:pt>
                <c:pt idx="3">
                  <c:v>1656.553979438456</c:v>
                </c:pt>
                <c:pt idx="4">
                  <c:v>1656.553979438456</c:v>
                </c:pt>
                <c:pt idx="5">
                  <c:v>1656.553979438456</c:v>
                </c:pt>
                <c:pt idx="6">
                  <c:v>1656.553979438456</c:v>
                </c:pt>
                <c:pt idx="7">
                  <c:v>1656.553979438456</c:v>
                </c:pt>
                <c:pt idx="8">
                  <c:v>1656.553979438456</c:v>
                </c:pt>
                <c:pt idx="9">
                  <c:v>1656.553979438456</c:v>
                </c:pt>
                <c:pt idx="10">
                  <c:v>1656.553979438456</c:v>
                </c:pt>
                <c:pt idx="11">
                  <c:v>1656.553979438456</c:v>
                </c:pt>
                <c:pt idx="12">
                  <c:v>1656.553979438456</c:v>
                </c:pt>
                <c:pt idx="13">
                  <c:v>1656.553979438456</c:v>
                </c:pt>
                <c:pt idx="14">
                  <c:v>1656.553979438456</c:v>
                </c:pt>
                <c:pt idx="15">
                  <c:v>1656.553979438456</c:v>
                </c:pt>
                <c:pt idx="16">
                  <c:v>1656.553979438456</c:v>
                </c:pt>
                <c:pt idx="17">
                  <c:v>1656.553979438456</c:v>
                </c:pt>
                <c:pt idx="18">
                  <c:v>1656.553979438456</c:v>
                </c:pt>
                <c:pt idx="19">
                  <c:v>1656.553979438456</c:v>
                </c:pt>
                <c:pt idx="20">
                  <c:v>1656.553979438456</c:v>
                </c:pt>
                <c:pt idx="21">
                  <c:v>1656.553979438456</c:v>
                </c:pt>
                <c:pt idx="22">
                  <c:v>1656.553979438456</c:v>
                </c:pt>
                <c:pt idx="23">
                  <c:v>1656.553979438456</c:v>
                </c:pt>
                <c:pt idx="24">
                  <c:v>1687.628518913131</c:v>
                </c:pt>
                <c:pt idx="25">
                  <c:v>1749.77759786248</c:v>
                </c:pt>
                <c:pt idx="26">
                  <c:v>1811.926676811828</c:v>
                </c:pt>
                <c:pt idx="27">
                  <c:v>1874.075755761176</c:v>
                </c:pt>
                <c:pt idx="28">
                  <c:v>1936.224834710524</c:v>
                </c:pt>
                <c:pt idx="29">
                  <c:v>1998.373913659873</c:v>
                </c:pt>
                <c:pt idx="30">
                  <c:v>2060.522992609222</c:v>
                </c:pt>
                <c:pt idx="31">
                  <c:v>2122.67207155857</c:v>
                </c:pt>
                <c:pt idx="32">
                  <c:v>2184.821150507918</c:v>
                </c:pt>
                <c:pt idx="33">
                  <c:v>2246.970229457267</c:v>
                </c:pt>
                <c:pt idx="34">
                  <c:v>2309.119308406615</c:v>
                </c:pt>
                <c:pt idx="35">
                  <c:v>2371.268387355964</c:v>
                </c:pt>
                <c:pt idx="36">
                  <c:v>2433.417466305312</c:v>
                </c:pt>
                <c:pt idx="37">
                  <c:v>2495.566545254661</c:v>
                </c:pt>
                <c:pt idx="38">
                  <c:v>2557.71562420401</c:v>
                </c:pt>
                <c:pt idx="39">
                  <c:v>2619.864703153358</c:v>
                </c:pt>
                <c:pt idx="40">
                  <c:v>2682.013782102707</c:v>
                </c:pt>
                <c:pt idx="41">
                  <c:v>2744.162861052055</c:v>
                </c:pt>
                <c:pt idx="42">
                  <c:v>2806.311940001403</c:v>
                </c:pt>
                <c:pt idx="43">
                  <c:v>2868.461018950752</c:v>
                </c:pt>
                <c:pt idx="44">
                  <c:v>2930.6100979001</c:v>
                </c:pt>
                <c:pt idx="45">
                  <c:v>2992.759176849448</c:v>
                </c:pt>
                <c:pt idx="46">
                  <c:v>3054.908255798797</c:v>
                </c:pt>
                <c:pt idx="47">
                  <c:v>3117.057334748146</c:v>
                </c:pt>
                <c:pt idx="48">
                  <c:v>3179.206413697494</c:v>
                </c:pt>
                <c:pt idx="49">
                  <c:v>3241.355492646843</c:v>
                </c:pt>
                <c:pt idx="50">
                  <c:v>3303.504571596191</c:v>
                </c:pt>
                <c:pt idx="51">
                  <c:v>3365.65365054554</c:v>
                </c:pt>
                <c:pt idx="52">
                  <c:v>3427.802729494888</c:v>
                </c:pt>
                <c:pt idx="53">
                  <c:v>3489.951808444237</c:v>
                </c:pt>
                <c:pt idx="54">
                  <c:v>3552.100887393585</c:v>
                </c:pt>
                <c:pt idx="55">
                  <c:v>3614.249966342934</c:v>
                </c:pt>
                <c:pt idx="56">
                  <c:v>3676.399045292282</c:v>
                </c:pt>
                <c:pt idx="57">
                  <c:v>3738.54812424163</c:v>
                </c:pt>
                <c:pt idx="58">
                  <c:v>3800.69720319098</c:v>
                </c:pt>
                <c:pt idx="59">
                  <c:v>3862.846282140328</c:v>
                </c:pt>
                <c:pt idx="60">
                  <c:v>3985.323440335806</c:v>
                </c:pt>
                <c:pt idx="61">
                  <c:v>4168.128677777413</c:v>
                </c:pt>
                <c:pt idx="62">
                  <c:v>4350.933915219022</c:v>
                </c:pt>
                <c:pt idx="63">
                  <c:v>4533.739152660631</c:v>
                </c:pt>
                <c:pt idx="64">
                  <c:v>4716.544390102239</c:v>
                </c:pt>
                <c:pt idx="65">
                  <c:v>4899.349627543847</c:v>
                </c:pt>
                <c:pt idx="66">
                  <c:v>5082.154864985455</c:v>
                </c:pt>
                <c:pt idx="67">
                  <c:v>5264.960102427064</c:v>
                </c:pt>
                <c:pt idx="68">
                  <c:v>5447.765339868672</c:v>
                </c:pt>
                <c:pt idx="69">
                  <c:v>5630.570577310281</c:v>
                </c:pt>
                <c:pt idx="70">
                  <c:v>5813.37581475189</c:v>
                </c:pt>
                <c:pt idx="71">
                  <c:v>5996.181052193497</c:v>
                </c:pt>
                <c:pt idx="72">
                  <c:v>6178.986289635106</c:v>
                </c:pt>
                <c:pt idx="73">
                  <c:v>6361.791527076713</c:v>
                </c:pt>
                <c:pt idx="74">
                  <c:v>6544.596764518322</c:v>
                </c:pt>
                <c:pt idx="75">
                  <c:v>6727.40200195993</c:v>
                </c:pt>
                <c:pt idx="76">
                  <c:v>6910.207239401538</c:v>
                </c:pt>
                <c:pt idx="77">
                  <c:v>7093.012476843146</c:v>
                </c:pt>
                <c:pt idx="78">
                  <c:v>7275.817714284755</c:v>
                </c:pt>
                <c:pt idx="79">
                  <c:v>7458.622951726363</c:v>
                </c:pt>
                <c:pt idx="80">
                  <c:v>7641.428189167972</c:v>
                </c:pt>
                <c:pt idx="81">
                  <c:v>7824.23342660958</c:v>
                </c:pt>
                <c:pt idx="82">
                  <c:v>8676.469578202792</c:v>
                </c:pt>
                <c:pt idx="83">
                  <c:v>9528.705729796005</c:v>
                </c:pt>
                <c:pt idx="84">
                  <c:v>10380.94188138922</c:v>
                </c:pt>
                <c:pt idx="85">
                  <c:v>11233.17803298243</c:v>
                </c:pt>
                <c:pt idx="86">
                  <c:v>12085.41418457564</c:v>
                </c:pt>
                <c:pt idx="87">
                  <c:v>12937.65033616886</c:v>
                </c:pt>
                <c:pt idx="88">
                  <c:v>13789.88648776207</c:v>
                </c:pt>
                <c:pt idx="89">
                  <c:v>14642.12263935528</c:v>
                </c:pt>
                <c:pt idx="90">
                  <c:v>15494.35879094849</c:v>
                </c:pt>
                <c:pt idx="91">
                  <c:v>16346.59494254171</c:v>
                </c:pt>
                <c:pt idx="92">
                  <c:v>17198.83109413492</c:v>
                </c:pt>
                <c:pt idx="93">
                  <c:v>18051.06724572813</c:v>
                </c:pt>
                <c:pt idx="94">
                  <c:v>18903.30339732134</c:v>
                </c:pt>
                <c:pt idx="95">
                  <c:v>19755.53954891456</c:v>
                </c:pt>
                <c:pt idx="96">
                  <c:v>19755.53954891456</c:v>
                </c:pt>
                <c:pt idx="97">
                  <c:v>19755.53954891456</c:v>
                </c:pt>
                <c:pt idx="98">
                  <c:v>19755.53954891456</c:v>
                </c:pt>
                <c:pt idx="99">
                  <c:v>19755.53954891456</c:v>
                </c:pt>
              </c:numCache>
            </c:numRef>
          </c:val>
        </c:ser>
        <c:ser>
          <c:idx val="2"/>
          <c:order val="2"/>
          <c:tx>
            <c:strRef>
              <c:f>Percentiles!$A$27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Percentiles!$F$27:$DA$27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3.68039105023927</c:v>
                </c:pt>
                <c:pt idx="25">
                  <c:v>11.04117315071781</c:v>
                </c:pt>
                <c:pt idx="26">
                  <c:v>18.40195525119635</c:v>
                </c:pt>
                <c:pt idx="27">
                  <c:v>25.76273735167489</c:v>
                </c:pt>
                <c:pt idx="28">
                  <c:v>33.12351945215342</c:v>
                </c:pt>
                <c:pt idx="29">
                  <c:v>40.48430155263196</c:v>
                </c:pt>
                <c:pt idx="30">
                  <c:v>47.8450836531105</c:v>
                </c:pt>
                <c:pt idx="31">
                  <c:v>55.20586575358904</c:v>
                </c:pt>
                <c:pt idx="32">
                  <c:v>62.56664785406758</c:v>
                </c:pt>
                <c:pt idx="33">
                  <c:v>69.9274299545461</c:v>
                </c:pt>
                <c:pt idx="34">
                  <c:v>77.28821205502464</c:v>
                </c:pt>
                <c:pt idx="35">
                  <c:v>84.6489941555032</c:v>
                </c:pt>
                <c:pt idx="36">
                  <c:v>92.00977625598173</c:v>
                </c:pt>
                <c:pt idx="37">
                  <c:v>99.37055835646028</c:v>
                </c:pt>
                <c:pt idx="38">
                  <c:v>106.7313404569388</c:v>
                </c:pt>
                <c:pt idx="39">
                  <c:v>114.0921225574173</c:v>
                </c:pt>
                <c:pt idx="40">
                  <c:v>121.4529046578959</c:v>
                </c:pt>
                <c:pt idx="41">
                  <c:v>128.8136867583744</c:v>
                </c:pt>
                <c:pt idx="42">
                  <c:v>136.1744688588529</c:v>
                </c:pt>
                <c:pt idx="43">
                  <c:v>143.5352509593315</c:v>
                </c:pt>
                <c:pt idx="44">
                  <c:v>150.8960330598101</c:v>
                </c:pt>
                <c:pt idx="45">
                  <c:v>158.2568151602886</c:v>
                </c:pt>
                <c:pt idx="46">
                  <c:v>165.6175972607671</c:v>
                </c:pt>
                <c:pt idx="47">
                  <c:v>172.9783793612457</c:v>
                </c:pt>
                <c:pt idx="48">
                  <c:v>180.3391614617242</c:v>
                </c:pt>
                <c:pt idx="49">
                  <c:v>187.6999435622027</c:v>
                </c:pt>
                <c:pt idx="50">
                  <c:v>195.0607256626813</c:v>
                </c:pt>
                <c:pt idx="51">
                  <c:v>202.4215077631598</c:v>
                </c:pt>
                <c:pt idx="52">
                  <c:v>209.7822898636383</c:v>
                </c:pt>
                <c:pt idx="53">
                  <c:v>217.1430719641169</c:v>
                </c:pt>
                <c:pt idx="54">
                  <c:v>224.5038540645954</c:v>
                </c:pt>
                <c:pt idx="55">
                  <c:v>231.864636165074</c:v>
                </c:pt>
                <c:pt idx="56">
                  <c:v>239.2254182655525</c:v>
                </c:pt>
                <c:pt idx="57">
                  <c:v>246.586200366031</c:v>
                </c:pt>
                <c:pt idx="58">
                  <c:v>253.9469824665096</c:v>
                </c:pt>
                <c:pt idx="59">
                  <c:v>261.3077645669881</c:v>
                </c:pt>
                <c:pt idx="60">
                  <c:v>272.7019984870603</c:v>
                </c:pt>
                <c:pt idx="61">
                  <c:v>288.129684226726</c:v>
                </c:pt>
                <c:pt idx="62">
                  <c:v>303.5573699663918</c:v>
                </c:pt>
                <c:pt idx="63">
                  <c:v>318.9850557060576</c:v>
                </c:pt>
                <c:pt idx="64">
                  <c:v>334.4127414457234</c:v>
                </c:pt>
                <c:pt idx="65">
                  <c:v>349.8404271853891</c:v>
                </c:pt>
                <c:pt idx="66">
                  <c:v>365.268112925055</c:v>
                </c:pt>
                <c:pt idx="67">
                  <c:v>380.6957986647207</c:v>
                </c:pt>
                <c:pt idx="68">
                  <c:v>396.1234844043865</c:v>
                </c:pt>
                <c:pt idx="69">
                  <c:v>411.5511701440523</c:v>
                </c:pt>
                <c:pt idx="70">
                  <c:v>426.9788558837181</c:v>
                </c:pt>
                <c:pt idx="71">
                  <c:v>442.4065416233839</c:v>
                </c:pt>
                <c:pt idx="72">
                  <c:v>457.8342273630496</c:v>
                </c:pt>
                <c:pt idx="73">
                  <c:v>473.2619131027154</c:v>
                </c:pt>
                <c:pt idx="74">
                  <c:v>488.6895988423812</c:v>
                </c:pt>
                <c:pt idx="75">
                  <c:v>504.117284582047</c:v>
                </c:pt>
                <c:pt idx="76">
                  <c:v>519.5449703217127</c:v>
                </c:pt>
                <c:pt idx="77">
                  <c:v>534.9726560613785</c:v>
                </c:pt>
                <c:pt idx="78">
                  <c:v>550.4003418010443</c:v>
                </c:pt>
                <c:pt idx="79">
                  <c:v>565.8280275407101</c:v>
                </c:pt>
                <c:pt idx="80">
                  <c:v>581.2557132803758</c:v>
                </c:pt>
                <c:pt idx="81">
                  <c:v>596.6833990200416</c:v>
                </c:pt>
                <c:pt idx="82">
                  <c:v>730.0459364514796</c:v>
                </c:pt>
                <c:pt idx="83">
                  <c:v>863.4084738829176</c:v>
                </c:pt>
                <c:pt idx="84">
                  <c:v>996.7710113143557</c:v>
                </c:pt>
                <c:pt idx="85">
                  <c:v>1130.133548745794</c:v>
                </c:pt>
                <c:pt idx="86">
                  <c:v>1263.496086177232</c:v>
                </c:pt>
                <c:pt idx="87">
                  <c:v>1396.85862360867</c:v>
                </c:pt>
                <c:pt idx="88">
                  <c:v>1530.221161040108</c:v>
                </c:pt>
                <c:pt idx="89">
                  <c:v>1663.583698471546</c:v>
                </c:pt>
                <c:pt idx="90">
                  <c:v>1796.946235902984</c:v>
                </c:pt>
                <c:pt idx="91">
                  <c:v>1930.308773334422</c:v>
                </c:pt>
                <c:pt idx="92">
                  <c:v>2063.67131076586</c:v>
                </c:pt>
                <c:pt idx="93">
                  <c:v>2197.033848197298</c:v>
                </c:pt>
                <c:pt idx="94">
                  <c:v>2330.396385628736</c:v>
                </c:pt>
                <c:pt idx="95">
                  <c:v>2463.758923060174</c:v>
                </c:pt>
                <c:pt idx="96">
                  <c:v>2463.758923060174</c:v>
                </c:pt>
                <c:pt idx="97">
                  <c:v>2463.758923060174</c:v>
                </c:pt>
                <c:pt idx="98">
                  <c:v>2463.758923060174</c:v>
                </c:pt>
                <c:pt idx="99">
                  <c:v>2463.758923060174</c:v>
                </c:pt>
              </c:numCache>
            </c:numRef>
          </c:val>
        </c:ser>
        <c:ser>
          <c:idx val="3"/>
          <c:order val="3"/>
          <c:tx>
            <c:strRef>
              <c:f>Percentiles!$A$28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Percentiles!$F$28:$DA$28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Percentiles!$A$29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Percentiles!$F$29:$DA$29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40.4353148661994</c:v>
                </c:pt>
                <c:pt idx="25">
                  <c:v>121.3059445985982</c:v>
                </c:pt>
                <c:pt idx="26">
                  <c:v>202.176574330997</c:v>
                </c:pt>
                <c:pt idx="27">
                  <c:v>283.0472040633957</c:v>
                </c:pt>
                <c:pt idx="28">
                  <c:v>363.9178337957945</c:v>
                </c:pt>
                <c:pt idx="29">
                  <c:v>444.7884635281933</c:v>
                </c:pt>
                <c:pt idx="30">
                  <c:v>525.659093260592</c:v>
                </c:pt>
                <c:pt idx="31">
                  <c:v>606.5297229929909</c:v>
                </c:pt>
                <c:pt idx="32">
                  <c:v>687.4003527253897</c:v>
                </c:pt>
                <c:pt idx="33">
                  <c:v>768.2709824577884</c:v>
                </c:pt>
                <c:pt idx="34">
                  <c:v>849.1416121901872</c:v>
                </c:pt>
                <c:pt idx="35">
                  <c:v>930.0122419225861</c:v>
                </c:pt>
                <c:pt idx="36">
                  <c:v>1010.882871654985</c:v>
                </c:pt>
                <c:pt idx="37">
                  <c:v>1091.753501387383</c:v>
                </c:pt>
                <c:pt idx="38">
                  <c:v>1172.624131119782</c:v>
                </c:pt>
                <c:pt idx="39">
                  <c:v>1253.494760852181</c:v>
                </c:pt>
                <c:pt idx="40">
                  <c:v>1334.36539058458</c:v>
                </c:pt>
                <c:pt idx="41">
                  <c:v>1415.236020316979</c:v>
                </c:pt>
                <c:pt idx="42">
                  <c:v>1496.106650049378</c:v>
                </c:pt>
                <c:pt idx="43">
                  <c:v>1576.977279781776</c:v>
                </c:pt>
                <c:pt idx="44">
                  <c:v>1657.847909514175</c:v>
                </c:pt>
                <c:pt idx="45">
                  <c:v>1738.718539246574</c:v>
                </c:pt>
                <c:pt idx="46">
                  <c:v>1819.589168978973</c:v>
                </c:pt>
                <c:pt idx="47">
                  <c:v>1900.459798711371</c:v>
                </c:pt>
                <c:pt idx="48">
                  <c:v>1981.33042844377</c:v>
                </c:pt>
                <c:pt idx="49">
                  <c:v>2062.20105817617</c:v>
                </c:pt>
                <c:pt idx="50">
                  <c:v>2143.071687908568</c:v>
                </c:pt>
                <c:pt idx="51">
                  <c:v>2223.942317640967</c:v>
                </c:pt>
                <c:pt idx="52">
                  <c:v>2304.812947373365</c:v>
                </c:pt>
                <c:pt idx="53">
                  <c:v>2385.683577105764</c:v>
                </c:pt>
                <c:pt idx="54">
                  <c:v>2466.554206838163</c:v>
                </c:pt>
                <c:pt idx="55">
                  <c:v>2547.424836570562</c:v>
                </c:pt>
                <c:pt idx="56">
                  <c:v>2628.29546630296</c:v>
                </c:pt>
                <c:pt idx="57">
                  <c:v>2709.16609603536</c:v>
                </c:pt>
                <c:pt idx="58">
                  <c:v>2790.036725767758</c:v>
                </c:pt>
                <c:pt idx="59">
                  <c:v>2870.907355500157</c:v>
                </c:pt>
                <c:pt idx="60">
                  <c:v>3141.54185825579</c:v>
                </c:pt>
                <c:pt idx="61">
                  <c:v>3601.940234034655</c:v>
                </c:pt>
                <c:pt idx="62">
                  <c:v>4062.338609813521</c:v>
                </c:pt>
                <c:pt idx="63">
                  <c:v>4522.736985592386</c:v>
                </c:pt>
                <c:pt idx="64">
                  <c:v>4983.135361371251</c:v>
                </c:pt>
                <c:pt idx="65">
                  <c:v>5443.533737150117</c:v>
                </c:pt>
                <c:pt idx="66">
                  <c:v>5903.932112928983</c:v>
                </c:pt>
                <c:pt idx="67">
                  <c:v>6364.330488707848</c:v>
                </c:pt>
                <c:pt idx="68">
                  <c:v>6824.728864486713</c:v>
                </c:pt>
                <c:pt idx="69">
                  <c:v>7285.12724026558</c:v>
                </c:pt>
                <c:pt idx="70">
                  <c:v>7745.525616044445</c:v>
                </c:pt>
                <c:pt idx="71">
                  <c:v>8205.923991823311</c:v>
                </c:pt>
                <c:pt idx="72">
                  <c:v>8666.322367602177</c:v>
                </c:pt>
                <c:pt idx="73">
                  <c:v>9126.72074338104</c:v>
                </c:pt>
                <c:pt idx="74">
                  <c:v>9587.119119159906</c:v>
                </c:pt>
                <c:pt idx="75">
                  <c:v>10047.51749493877</c:v>
                </c:pt>
                <c:pt idx="76">
                  <c:v>10507.91587071764</c:v>
                </c:pt>
                <c:pt idx="77">
                  <c:v>10968.31424649651</c:v>
                </c:pt>
                <c:pt idx="78">
                  <c:v>11428.71262227537</c:v>
                </c:pt>
                <c:pt idx="79">
                  <c:v>11889.11099805424</c:v>
                </c:pt>
                <c:pt idx="80">
                  <c:v>12349.5093738331</c:v>
                </c:pt>
                <c:pt idx="81">
                  <c:v>12809.90774961197</c:v>
                </c:pt>
                <c:pt idx="82">
                  <c:v>14883.49671279127</c:v>
                </c:pt>
                <c:pt idx="83">
                  <c:v>16957.08567597057</c:v>
                </c:pt>
                <c:pt idx="84">
                  <c:v>19030.67463914987</c:v>
                </c:pt>
                <c:pt idx="85">
                  <c:v>21104.26360232918</c:v>
                </c:pt>
                <c:pt idx="86">
                  <c:v>23177.85256550848</c:v>
                </c:pt>
                <c:pt idx="87">
                  <c:v>25251.44152868778</c:v>
                </c:pt>
                <c:pt idx="88">
                  <c:v>27325.03049186709</c:v>
                </c:pt>
                <c:pt idx="89">
                  <c:v>29398.61945504639</c:v>
                </c:pt>
                <c:pt idx="90">
                  <c:v>31472.2084182257</c:v>
                </c:pt>
                <c:pt idx="91">
                  <c:v>33545.79738140499</c:v>
                </c:pt>
                <c:pt idx="92">
                  <c:v>35619.3863445843</c:v>
                </c:pt>
                <c:pt idx="93">
                  <c:v>37692.97530776361</c:v>
                </c:pt>
                <c:pt idx="94">
                  <c:v>39766.5642709429</c:v>
                </c:pt>
                <c:pt idx="95">
                  <c:v>41840.1532341222</c:v>
                </c:pt>
                <c:pt idx="96">
                  <c:v>41840.1532341222</c:v>
                </c:pt>
                <c:pt idx="97">
                  <c:v>41840.1532341222</c:v>
                </c:pt>
                <c:pt idx="98">
                  <c:v>41840.1532341222</c:v>
                </c:pt>
                <c:pt idx="99">
                  <c:v>41840.1532341222</c:v>
                </c:pt>
              </c:numCache>
            </c:numRef>
          </c:val>
        </c:ser>
        <c:ser>
          <c:idx val="5"/>
          <c:order val="5"/>
          <c:tx>
            <c:strRef>
              <c:f>Percentiles!$A$30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Percentiles!$F$30:$DA$30</c:f>
              <c:numCache>
                <c:formatCode>0.00</c:formatCode>
                <c:ptCount val="100"/>
                <c:pt idx="0">
                  <c:v>2081.529140348738</c:v>
                </c:pt>
                <c:pt idx="1">
                  <c:v>2081.529140348738</c:v>
                </c:pt>
                <c:pt idx="2">
                  <c:v>2081.529140348738</c:v>
                </c:pt>
                <c:pt idx="3">
                  <c:v>2081.529140348738</c:v>
                </c:pt>
                <c:pt idx="4">
                  <c:v>2081.529140348738</c:v>
                </c:pt>
                <c:pt idx="5">
                  <c:v>2081.529140348738</c:v>
                </c:pt>
                <c:pt idx="6">
                  <c:v>2081.529140348738</c:v>
                </c:pt>
                <c:pt idx="7">
                  <c:v>2081.529140348738</c:v>
                </c:pt>
                <c:pt idx="8">
                  <c:v>2081.529140348738</c:v>
                </c:pt>
                <c:pt idx="9">
                  <c:v>2081.529140348738</c:v>
                </c:pt>
                <c:pt idx="10">
                  <c:v>2081.529140348738</c:v>
                </c:pt>
                <c:pt idx="11">
                  <c:v>2081.529140348738</c:v>
                </c:pt>
                <c:pt idx="12">
                  <c:v>2081.529140348738</c:v>
                </c:pt>
                <c:pt idx="13">
                  <c:v>2081.529140348738</c:v>
                </c:pt>
                <c:pt idx="14">
                  <c:v>2081.529140348738</c:v>
                </c:pt>
                <c:pt idx="15">
                  <c:v>2081.529140348738</c:v>
                </c:pt>
                <c:pt idx="16">
                  <c:v>2081.529140348738</c:v>
                </c:pt>
                <c:pt idx="17">
                  <c:v>2081.529140348738</c:v>
                </c:pt>
                <c:pt idx="18">
                  <c:v>2081.529140348738</c:v>
                </c:pt>
                <c:pt idx="19">
                  <c:v>2081.529140348738</c:v>
                </c:pt>
                <c:pt idx="20">
                  <c:v>2081.529140348738</c:v>
                </c:pt>
                <c:pt idx="21">
                  <c:v>2081.529140348738</c:v>
                </c:pt>
                <c:pt idx="22">
                  <c:v>2081.529140348738</c:v>
                </c:pt>
                <c:pt idx="23">
                  <c:v>2081.529140348738</c:v>
                </c:pt>
                <c:pt idx="24">
                  <c:v>2099.726155218572</c:v>
                </c:pt>
                <c:pt idx="25">
                  <c:v>2136.12018495824</c:v>
                </c:pt>
                <c:pt idx="26">
                  <c:v>2172.514214697909</c:v>
                </c:pt>
                <c:pt idx="27">
                  <c:v>2208.908244437578</c:v>
                </c:pt>
                <c:pt idx="28">
                  <c:v>2245.302274177246</c:v>
                </c:pt>
                <c:pt idx="29">
                  <c:v>2281.696303916915</c:v>
                </c:pt>
                <c:pt idx="30">
                  <c:v>2318.090333656583</c:v>
                </c:pt>
                <c:pt idx="31">
                  <c:v>2354.484363396252</c:v>
                </c:pt>
                <c:pt idx="32">
                  <c:v>2390.87839313592</c:v>
                </c:pt>
                <c:pt idx="33">
                  <c:v>2427.272422875588</c:v>
                </c:pt>
                <c:pt idx="34">
                  <c:v>2463.666452615257</c:v>
                </c:pt>
                <c:pt idx="35">
                  <c:v>2500.060482354926</c:v>
                </c:pt>
                <c:pt idx="36">
                  <c:v>2536.454512094594</c:v>
                </c:pt>
                <c:pt idx="37">
                  <c:v>2572.848541834263</c:v>
                </c:pt>
                <c:pt idx="38">
                  <c:v>2609.242571573931</c:v>
                </c:pt>
                <c:pt idx="39">
                  <c:v>2645.6366013136</c:v>
                </c:pt>
                <c:pt idx="40">
                  <c:v>2682.030631053268</c:v>
                </c:pt>
                <c:pt idx="41">
                  <c:v>2718.424660792937</c:v>
                </c:pt>
                <c:pt idx="42">
                  <c:v>2754.818690532606</c:v>
                </c:pt>
                <c:pt idx="43">
                  <c:v>2791.212720272274</c:v>
                </c:pt>
                <c:pt idx="44">
                  <c:v>2827.606750011942</c:v>
                </c:pt>
                <c:pt idx="45">
                  <c:v>2864.000779751611</c:v>
                </c:pt>
                <c:pt idx="46">
                  <c:v>2900.394809491279</c:v>
                </c:pt>
                <c:pt idx="47">
                  <c:v>2936.788839230948</c:v>
                </c:pt>
                <c:pt idx="48">
                  <c:v>2973.182868970617</c:v>
                </c:pt>
                <c:pt idx="49">
                  <c:v>3009.576898710285</c:v>
                </c:pt>
                <c:pt idx="50">
                  <c:v>3045.970928449954</c:v>
                </c:pt>
                <c:pt idx="51">
                  <c:v>3082.364958189622</c:v>
                </c:pt>
                <c:pt idx="52">
                  <c:v>3118.758987929291</c:v>
                </c:pt>
                <c:pt idx="53">
                  <c:v>3155.15301766896</c:v>
                </c:pt>
                <c:pt idx="54">
                  <c:v>3191.547047408628</c:v>
                </c:pt>
                <c:pt idx="55">
                  <c:v>3227.941077148296</c:v>
                </c:pt>
                <c:pt idx="56">
                  <c:v>3264.335106887964</c:v>
                </c:pt>
                <c:pt idx="57">
                  <c:v>3300.729136627633</c:v>
                </c:pt>
                <c:pt idx="58">
                  <c:v>3337.123166367302</c:v>
                </c:pt>
                <c:pt idx="59">
                  <c:v>3373.51719610697</c:v>
                </c:pt>
                <c:pt idx="60">
                  <c:v>3312.837136302925</c:v>
                </c:pt>
                <c:pt idx="61">
                  <c:v>3155.082986955167</c:v>
                </c:pt>
                <c:pt idx="62">
                  <c:v>2997.328837607409</c:v>
                </c:pt>
                <c:pt idx="63">
                  <c:v>2839.57468825965</c:v>
                </c:pt>
                <c:pt idx="64">
                  <c:v>2681.820538911892</c:v>
                </c:pt>
                <c:pt idx="65">
                  <c:v>2524.066389564134</c:v>
                </c:pt>
                <c:pt idx="66">
                  <c:v>2366.312240216375</c:v>
                </c:pt>
                <c:pt idx="67">
                  <c:v>2208.558090868617</c:v>
                </c:pt>
                <c:pt idx="68">
                  <c:v>2050.803941520859</c:v>
                </c:pt>
                <c:pt idx="69">
                  <c:v>1893.0497921731</c:v>
                </c:pt>
                <c:pt idx="70">
                  <c:v>1735.295642825342</c:v>
                </c:pt>
                <c:pt idx="71">
                  <c:v>1577.541493477584</c:v>
                </c:pt>
                <c:pt idx="72">
                  <c:v>1419.787344129825</c:v>
                </c:pt>
                <c:pt idx="73">
                  <c:v>1262.033194782067</c:v>
                </c:pt>
                <c:pt idx="74">
                  <c:v>1104.279045434309</c:v>
                </c:pt>
                <c:pt idx="75">
                  <c:v>946.5248960865501</c:v>
                </c:pt>
                <c:pt idx="76">
                  <c:v>788.7707467387917</c:v>
                </c:pt>
                <c:pt idx="77">
                  <c:v>631.0165973910334</c:v>
                </c:pt>
                <c:pt idx="78">
                  <c:v>473.2624480432751</c:v>
                </c:pt>
                <c:pt idx="79">
                  <c:v>315.5082986955167</c:v>
                </c:pt>
                <c:pt idx="80">
                  <c:v>157.7541493477584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Percentiles!$A$31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val>
            <c:numRef>
              <c:f>Percentiles!$F$31:$DA$31</c:f>
              <c:numCache>
                <c:formatCode>0.00</c:formatCode>
                <c:ptCount val="100"/>
                <c:pt idx="0">
                  <c:v>12130.2698698158</c:v>
                </c:pt>
                <c:pt idx="1">
                  <c:v>12130.2698698158</c:v>
                </c:pt>
                <c:pt idx="2">
                  <c:v>12130.2698698158</c:v>
                </c:pt>
                <c:pt idx="3">
                  <c:v>12130.2698698158</c:v>
                </c:pt>
                <c:pt idx="4">
                  <c:v>12130.2698698158</c:v>
                </c:pt>
                <c:pt idx="5">
                  <c:v>12130.2698698158</c:v>
                </c:pt>
                <c:pt idx="6">
                  <c:v>12130.2698698158</c:v>
                </c:pt>
                <c:pt idx="7">
                  <c:v>12130.2698698158</c:v>
                </c:pt>
                <c:pt idx="8">
                  <c:v>12130.2698698158</c:v>
                </c:pt>
                <c:pt idx="9">
                  <c:v>12130.2698698158</c:v>
                </c:pt>
                <c:pt idx="10">
                  <c:v>12130.2698698158</c:v>
                </c:pt>
                <c:pt idx="11">
                  <c:v>12130.2698698158</c:v>
                </c:pt>
                <c:pt idx="12">
                  <c:v>12130.2698698158</c:v>
                </c:pt>
                <c:pt idx="13">
                  <c:v>12130.2698698158</c:v>
                </c:pt>
                <c:pt idx="14">
                  <c:v>12130.2698698158</c:v>
                </c:pt>
                <c:pt idx="15">
                  <c:v>12130.2698698158</c:v>
                </c:pt>
                <c:pt idx="16">
                  <c:v>12130.2698698158</c:v>
                </c:pt>
                <c:pt idx="17">
                  <c:v>12130.2698698158</c:v>
                </c:pt>
                <c:pt idx="18">
                  <c:v>12130.2698698158</c:v>
                </c:pt>
                <c:pt idx="19">
                  <c:v>12130.2698698158</c:v>
                </c:pt>
                <c:pt idx="20">
                  <c:v>12130.2698698158</c:v>
                </c:pt>
                <c:pt idx="21">
                  <c:v>12130.2698698158</c:v>
                </c:pt>
                <c:pt idx="22">
                  <c:v>12130.2698698158</c:v>
                </c:pt>
                <c:pt idx="23">
                  <c:v>12130.2698698158</c:v>
                </c:pt>
                <c:pt idx="24">
                  <c:v>12259.08443513975</c:v>
                </c:pt>
                <c:pt idx="25">
                  <c:v>12516.71356578764</c:v>
                </c:pt>
                <c:pt idx="26">
                  <c:v>12774.34269643553</c:v>
                </c:pt>
                <c:pt idx="27">
                  <c:v>13031.97182708343</c:v>
                </c:pt>
                <c:pt idx="28">
                  <c:v>13289.60095773132</c:v>
                </c:pt>
                <c:pt idx="29">
                  <c:v>13547.23008837921</c:v>
                </c:pt>
                <c:pt idx="30">
                  <c:v>13804.85921902711</c:v>
                </c:pt>
                <c:pt idx="31">
                  <c:v>14062.488349675</c:v>
                </c:pt>
                <c:pt idx="32">
                  <c:v>14320.1174803229</c:v>
                </c:pt>
                <c:pt idx="33">
                  <c:v>14577.74661097078</c:v>
                </c:pt>
                <c:pt idx="34">
                  <c:v>14835.37574161868</c:v>
                </c:pt>
                <c:pt idx="35">
                  <c:v>15093.00487226657</c:v>
                </c:pt>
                <c:pt idx="36">
                  <c:v>15350.63400291446</c:v>
                </c:pt>
                <c:pt idx="37">
                  <c:v>15608.26313356236</c:v>
                </c:pt>
                <c:pt idx="38">
                  <c:v>15865.89226421025</c:v>
                </c:pt>
                <c:pt idx="39">
                  <c:v>16123.52139485814</c:v>
                </c:pt>
                <c:pt idx="40">
                  <c:v>16381.15052550603</c:v>
                </c:pt>
                <c:pt idx="41">
                  <c:v>16638.77965615393</c:v>
                </c:pt>
                <c:pt idx="42">
                  <c:v>16896.40878680182</c:v>
                </c:pt>
                <c:pt idx="43">
                  <c:v>17154.03791744971</c:v>
                </c:pt>
                <c:pt idx="44">
                  <c:v>17411.6670480976</c:v>
                </c:pt>
                <c:pt idx="45">
                  <c:v>17669.2961787455</c:v>
                </c:pt>
                <c:pt idx="46">
                  <c:v>17926.92530939339</c:v>
                </c:pt>
                <c:pt idx="47">
                  <c:v>18184.55444004128</c:v>
                </c:pt>
                <c:pt idx="48">
                  <c:v>18442.18357068917</c:v>
                </c:pt>
                <c:pt idx="49">
                  <c:v>18699.81270133707</c:v>
                </c:pt>
                <c:pt idx="50">
                  <c:v>18957.44183198496</c:v>
                </c:pt>
                <c:pt idx="51">
                  <c:v>19215.07096263285</c:v>
                </c:pt>
                <c:pt idx="52">
                  <c:v>19472.70009328075</c:v>
                </c:pt>
                <c:pt idx="53">
                  <c:v>19730.32922392864</c:v>
                </c:pt>
                <c:pt idx="54">
                  <c:v>19987.95835457653</c:v>
                </c:pt>
                <c:pt idx="55">
                  <c:v>20245.58748522442</c:v>
                </c:pt>
                <c:pt idx="56">
                  <c:v>20503.21661587232</c:v>
                </c:pt>
                <c:pt idx="57">
                  <c:v>20760.84574652021</c:v>
                </c:pt>
                <c:pt idx="58">
                  <c:v>21018.4748771681</c:v>
                </c:pt>
                <c:pt idx="59">
                  <c:v>21276.10400781599</c:v>
                </c:pt>
                <c:pt idx="60">
                  <c:v>20907.12976911343</c:v>
                </c:pt>
                <c:pt idx="61">
                  <c:v>19911.55216106041</c:v>
                </c:pt>
                <c:pt idx="62">
                  <c:v>18915.97455300739</c:v>
                </c:pt>
                <c:pt idx="63">
                  <c:v>17920.39694495437</c:v>
                </c:pt>
                <c:pt idx="64">
                  <c:v>16924.81933690135</c:v>
                </c:pt>
                <c:pt idx="65">
                  <c:v>15929.24172884833</c:v>
                </c:pt>
                <c:pt idx="66">
                  <c:v>14933.66412079531</c:v>
                </c:pt>
                <c:pt idx="67">
                  <c:v>13938.08651274229</c:v>
                </c:pt>
                <c:pt idx="68">
                  <c:v>12942.50890468927</c:v>
                </c:pt>
                <c:pt idx="69">
                  <c:v>11946.93129663625</c:v>
                </c:pt>
                <c:pt idx="70">
                  <c:v>10951.35368858323</c:v>
                </c:pt>
                <c:pt idx="71">
                  <c:v>9955.776080530204</c:v>
                </c:pt>
                <c:pt idx="72">
                  <c:v>8960.198472477182</c:v>
                </c:pt>
                <c:pt idx="73">
                  <c:v>7964.620864424163</c:v>
                </c:pt>
                <c:pt idx="74">
                  <c:v>6969.043256371144</c:v>
                </c:pt>
                <c:pt idx="75">
                  <c:v>5973.465648318122</c:v>
                </c:pt>
                <c:pt idx="76">
                  <c:v>4977.888040265101</c:v>
                </c:pt>
                <c:pt idx="77">
                  <c:v>3982.310432212081</c:v>
                </c:pt>
                <c:pt idx="78">
                  <c:v>2986.732824159062</c:v>
                </c:pt>
                <c:pt idx="79">
                  <c:v>1991.155216106043</c:v>
                </c:pt>
                <c:pt idx="80">
                  <c:v>995.5776080530195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Percentiles!$A$32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val>
            <c:numRef>
              <c:f>Percentiles!$F$32:$DA$32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291.1342670366356</c:v>
                </c:pt>
                <c:pt idx="25">
                  <c:v>873.4028011099068</c:v>
                </c:pt>
                <c:pt idx="26">
                  <c:v>1455.671335183178</c:v>
                </c:pt>
                <c:pt idx="27">
                  <c:v>2037.93986925645</c:v>
                </c:pt>
                <c:pt idx="28">
                  <c:v>2620.208403329721</c:v>
                </c:pt>
                <c:pt idx="29">
                  <c:v>3202.476937402992</c:v>
                </c:pt>
                <c:pt idx="30">
                  <c:v>3784.745471476263</c:v>
                </c:pt>
                <c:pt idx="31">
                  <c:v>4367.014005549534</c:v>
                </c:pt>
                <c:pt idx="32">
                  <c:v>4949.282539622805</c:v>
                </c:pt>
                <c:pt idx="33">
                  <c:v>5531.551073696076</c:v>
                </c:pt>
                <c:pt idx="34">
                  <c:v>6113.819607769347</c:v>
                </c:pt>
                <c:pt idx="35">
                  <c:v>6696.088141842619</c:v>
                </c:pt>
                <c:pt idx="36">
                  <c:v>7278.35667591589</c:v>
                </c:pt>
                <c:pt idx="37">
                  <c:v>7860.62520998916</c:v>
                </c:pt>
                <c:pt idx="38">
                  <c:v>8442.893744062434</c:v>
                </c:pt>
                <c:pt idx="39">
                  <c:v>9025.162278135705</c:v>
                </c:pt>
                <c:pt idx="40">
                  <c:v>9607.430812208975</c:v>
                </c:pt>
                <c:pt idx="41">
                  <c:v>10189.69934628225</c:v>
                </c:pt>
                <c:pt idx="42">
                  <c:v>10771.96788035552</c:v>
                </c:pt>
                <c:pt idx="43">
                  <c:v>11354.23641442879</c:v>
                </c:pt>
                <c:pt idx="44">
                  <c:v>11936.50494850206</c:v>
                </c:pt>
                <c:pt idx="45">
                  <c:v>12518.77348257533</c:v>
                </c:pt>
                <c:pt idx="46">
                  <c:v>13101.0420166486</c:v>
                </c:pt>
                <c:pt idx="47">
                  <c:v>13683.31055072188</c:v>
                </c:pt>
                <c:pt idx="48">
                  <c:v>14265.57908479514</c:v>
                </c:pt>
                <c:pt idx="49">
                  <c:v>14847.84761886842</c:v>
                </c:pt>
                <c:pt idx="50">
                  <c:v>15430.11615294169</c:v>
                </c:pt>
                <c:pt idx="51">
                  <c:v>16012.38468701496</c:v>
                </c:pt>
                <c:pt idx="52">
                  <c:v>16594.65322108823</c:v>
                </c:pt>
                <c:pt idx="53">
                  <c:v>17176.9217551615</c:v>
                </c:pt>
                <c:pt idx="54">
                  <c:v>17759.19028923477</c:v>
                </c:pt>
                <c:pt idx="55">
                  <c:v>18341.45882330804</c:v>
                </c:pt>
                <c:pt idx="56">
                  <c:v>18923.72735738131</c:v>
                </c:pt>
                <c:pt idx="57">
                  <c:v>19505.99589145458</c:v>
                </c:pt>
                <c:pt idx="58">
                  <c:v>20088.26442552785</c:v>
                </c:pt>
                <c:pt idx="59">
                  <c:v>20670.53295960113</c:v>
                </c:pt>
                <c:pt idx="60">
                  <c:v>23114.70668983893</c:v>
                </c:pt>
                <c:pt idx="61">
                  <c:v>27420.78561624126</c:v>
                </c:pt>
                <c:pt idx="62">
                  <c:v>31726.8645426436</c:v>
                </c:pt>
                <c:pt idx="63">
                  <c:v>36032.94346904592</c:v>
                </c:pt>
                <c:pt idx="64">
                  <c:v>40339.02239544825</c:v>
                </c:pt>
                <c:pt idx="65">
                  <c:v>44645.10132185058</c:v>
                </c:pt>
                <c:pt idx="66">
                  <c:v>48951.18024825291</c:v>
                </c:pt>
                <c:pt idx="67">
                  <c:v>53257.25917465525</c:v>
                </c:pt>
                <c:pt idx="68">
                  <c:v>57563.33810105757</c:v>
                </c:pt>
                <c:pt idx="69">
                  <c:v>61869.4170274599</c:v>
                </c:pt>
                <c:pt idx="70">
                  <c:v>66175.49595386224</c:v>
                </c:pt>
                <c:pt idx="71">
                  <c:v>70481.57488026457</c:v>
                </c:pt>
                <c:pt idx="72">
                  <c:v>74787.6538066669</c:v>
                </c:pt>
                <c:pt idx="73">
                  <c:v>79093.73273306924</c:v>
                </c:pt>
                <c:pt idx="74">
                  <c:v>83399.81165947157</c:v>
                </c:pt>
                <c:pt idx="75">
                  <c:v>87705.89058587389</c:v>
                </c:pt>
                <c:pt idx="76">
                  <c:v>92011.96951227624</c:v>
                </c:pt>
                <c:pt idx="77">
                  <c:v>96318.04843867855</c:v>
                </c:pt>
                <c:pt idx="78">
                  <c:v>100624.1273650809</c:v>
                </c:pt>
                <c:pt idx="79">
                  <c:v>104930.2062914832</c:v>
                </c:pt>
                <c:pt idx="80">
                  <c:v>109236.2852178855</c:v>
                </c:pt>
                <c:pt idx="81">
                  <c:v>113542.3641442879</c:v>
                </c:pt>
                <c:pt idx="82">
                  <c:v>127534.6335090078</c:v>
                </c:pt>
                <c:pt idx="83">
                  <c:v>141526.9028737278</c:v>
                </c:pt>
                <c:pt idx="84">
                  <c:v>155519.1722384477</c:v>
                </c:pt>
                <c:pt idx="85">
                  <c:v>169511.4416031676</c:v>
                </c:pt>
                <c:pt idx="86">
                  <c:v>183503.7109678875</c:v>
                </c:pt>
                <c:pt idx="87">
                  <c:v>197495.9803326075</c:v>
                </c:pt>
                <c:pt idx="88">
                  <c:v>211488.2496973274</c:v>
                </c:pt>
                <c:pt idx="89">
                  <c:v>225480.5190620474</c:v>
                </c:pt>
                <c:pt idx="90">
                  <c:v>239472.7884267673</c:v>
                </c:pt>
                <c:pt idx="91">
                  <c:v>253465.0577914872</c:v>
                </c:pt>
                <c:pt idx="92">
                  <c:v>267457.3271562072</c:v>
                </c:pt>
                <c:pt idx="93">
                  <c:v>281449.5965209271</c:v>
                </c:pt>
                <c:pt idx="94">
                  <c:v>295441.865885647</c:v>
                </c:pt>
                <c:pt idx="95">
                  <c:v>309434.1352503669</c:v>
                </c:pt>
                <c:pt idx="96">
                  <c:v>309434.1352503669</c:v>
                </c:pt>
                <c:pt idx="97">
                  <c:v>309434.1352503669</c:v>
                </c:pt>
                <c:pt idx="98">
                  <c:v>309434.1352503669</c:v>
                </c:pt>
                <c:pt idx="99">
                  <c:v>309434.1352503669</c:v>
                </c:pt>
              </c:numCache>
            </c:numRef>
          </c:val>
        </c:ser>
        <c:ser>
          <c:idx val="8"/>
          <c:order val="8"/>
          <c:tx>
            <c:strRef>
              <c:f>Percentiles!$A$33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val>
            <c:numRef>
              <c:f>Percentiles!$F$33:$DA$33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129.7973607205</c:v>
                </c:pt>
                <c:pt idx="25">
                  <c:v>389.3920821615001</c:v>
                </c:pt>
                <c:pt idx="26">
                  <c:v>648.9868036025002</c:v>
                </c:pt>
                <c:pt idx="27">
                  <c:v>908.5815250435003</c:v>
                </c:pt>
                <c:pt idx="28">
                  <c:v>1168.1762464845</c:v>
                </c:pt>
                <c:pt idx="29">
                  <c:v>1427.7709679255</c:v>
                </c:pt>
                <c:pt idx="30">
                  <c:v>1687.3656893665</c:v>
                </c:pt>
                <c:pt idx="31">
                  <c:v>1946.9604108075</c:v>
                </c:pt>
                <c:pt idx="32">
                  <c:v>2206.5551322485</c:v>
                </c:pt>
                <c:pt idx="33">
                  <c:v>2466.149853689501</c:v>
                </c:pt>
                <c:pt idx="34">
                  <c:v>2725.7445751305</c:v>
                </c:pt>
                <c:pt idx="35">
                  <c:v>2985.3392965715</c:v>
                </c:pt>
                <c:pt idx="36">
                  <c:v>3244.934018012501</c:v>
                </c:pt>
                <c:pt idx="37">
                  <c:v>3504.528739453501</c:v>
                </c:pt>
                <c:pt idx="38">
                  <c:v>3764.123460894501</c:v>
                </c:pt>
                <c:pt idx="39">
                  <c:v>4023.718182335501</c:v>
                </c:pt>
                <c:pt idx="40">
                  <c:v>4283.3129037765</c:v>
                </c:pt>
                <c:pt idx="41">
                  <c:v>4542.907625217502</c:v>
                </c:pt>
                <c:pt idx="42">
                  <c:v>4802.5023466585</c:v>
                </c:pt>
                <c:pt idx="43">
                  <c:v>5062.097068099501</c:v>
                </c:pt>
                <c:pt idx="44">
                  <c:v>5321.691789540502</c:v>
                </c:pt>
                <c:pt idx="45">
                  <c:v>5581.286510981501</c:v>
                </c:pt>
                <c:pt idx="46">
                  <c:v>5840.881232422501</c:v>
                </c:pt>
                <c:pt idx="47">
                  <c:v>6100.475953863502</c:v>
                </c:pt>
                <c:pt idx="48">
                  <c:v>6360.070675304501</c:v>
                </c:pt>
                <c:pt idx="49">
                  <c:v>6619.665396745502</c:v>
                </c:pt>
                <c:pt idx="50">
                  <c:v>6879.260118186502</c:v>
                </c:pt>
                <c:pt idx="51">
                  <c:v>7138.854839627501</c:v>
                </c:pt>
                <c:pt idx="52">
                  <c:v>7398.449561068501</c:v>
                </c:pt>
                <c:pt idx="53">
                  <c:v>7658.044282509502</c:v>
                </c:pt>
                <c:pt idx="54">
                  <c:v>7917.639003950502</c:v>
                </c:pt>
                <c:pt idx="55">
                  <c:v>8177.233725391503</c:v>
                </c:pt>
                <c:pt idx="56">
                  <c:v>8436.8284468325</c:v>
                </c:pt>
                <c:pt idx="57">
                  <c:v>8696.423168273502</c:v>
                </c:pt>
                <c:pt idx="58">
                  <c:v>8956.017889714501</c:v>
                </c:pt>
                <c:pt idx="59">
                  <c:v>9215.6126111555</c:v>
                </c:pt>
                <c:pt idx="60">
                  <c:v>9168.698242349113</c:v>
                </c:pt>
                <c:pt idx="61">
                  <c:v>8815.27478329534</c:v>
                </c:pt>
                <c:pt idx="62">
                  <c:v>8461.851324241563</c:v>
                </c:pt>
                <c:pt idx="63">
                  <c:v>8108.427865187786</c:v>
                </c:pt>
                <c:pt idx="64">
                  <c:v>7755.00440613401</c:v>
                </c:pt>
                <c:pt idx="65">
                  <c:v>7401.580947080233</c:v>
                </c:pt>
                <c:pt idx="66">
                  <c:v>7048.157488026457</c:v>
                </c:pt>
                <c:pt idx="67">
                  <c:v>6694.734028972681</c:v>
                </c:pt>
                <c:pt idx="68">
                  <c:v>6341.310569918904</c:v>
                </c:pt>
                <c:pt idx="69">
                  <c:v>5987.887110865128</c:v>
                </c:pt>
                <c:pt idx="70">
                  <c:v>5634.463651811351</c:v>
                </c:pt>
                <c:pt idx="71">
                  <c:v>5281.040192757576</c:v>
                </c:pt>
                <c:pt idx="72">
                  <c:v>4927.6167337038</c:v>
                </c:pt>
                <c:pt idx="73">
                  <c:v>4574.193274650023</c:v>
                </c:pt>
                <c:pt idx="74">
                  <c:v>4220.769815596247</c:v>
                </c:pt>
                <c:pt idx="75">
                  <c:v>3867.34635654247</c:v>
                </c:pt>
                <c:pt idx="76">
                  <c:v>3513.922897488695</c:v>
                </c:pt>
                <c:pt idx="77">
                  <c:v>3160.499438434918</c:v>
                </c:pt>
                <c:pt idx="78">
                  <c:v>2807.075979381142</c:v>
                </c:pt>
                <c:pt idx="79">
                  <c:v>2453.652520327366</c:v>
                </c:pt>
                <c:pt idx="80">
                  <c:v>2100.229061273591</c:v>
                </c:pt>
                <c:pt idx="81">
                  <c:v>1746.805602219813</c:v>
                </c:pt>
                <c:pt idx="82">
                  <c:v>1622.033773489827</c:v>
                </c:pt>
                <c:pt idx="83">
                  <c:v>1497.26194475984</c:v>
                </c:pt>
                <c:pt idx="84">
                  <c:v>1372.490116029854</c:v>
                </c:pt>
                <c:pt idx="85">
                  <c:v>1247.718287299867</c:v>
                </c:pt>
                <c:pt idx="86">
                  <c:v>1122.94645856988</c:v>
                </c:pt>
                <c:pt idx="87">
                  <c:v>998.1746298398934</c:v>
                </c:pt>
                <c:pt idx="88">
                  <c:v>873.4028011099068</c:v>
                </c:pt>
                <c:pt idx="89">
                  <c:v>748.63097237992</c:v>
                </c:pt>
                <c:pt idx="90">
                  <c:v>623.8591436499335</c:v>
                </c:pt>
                <c:pt idx="91">
                  <c:v>499.0873149199467</c:v>
                </c:pt>
                <c:pt idx="92">
                  <c:v>374.31548618996</c:v>
                </c:pt>
                <c:pt idx="93">
                  <c:v>249.5436574599732</c:v>
                </c:pt>
                <c:pt idx="94">
                  <c:v>124.7718287299865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Percentiles!$A$34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val>
            <c:numRef>
              <c:f>Percentiles!$F$34:$DA$34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19.40895113577571</c:v>
                </c:pt>
                <c:pt idx="25">
                  <c:v>58.22685340732713</c:v>
                </c:pt>
                <c:pt idx="26">
                  <c:v>97.0447556788785</c:v>
                </c:pt>
                <c:pt idx="27">
                  <c:v>135.86265795043</c:v>
                </c:pt>
                <c:pt idx="28">
                  <c:v>174.6805602219814</c:v>
                </c:pt>
                <c:pt idx="29">
                  <c:v>213.4984624935328</c:v>
                </c:pt>
                <c:pt idx="30">
                  <c:v>252.3163647650842</c:v>
                </c:pt>
                <c:pt idx="31">
                  <c:v>291.1342670366355</c:v>
                </c:pt>
                <c:pt idx="32">
                  <c:v>329.952169308187</c:v>
                </c:pt>
                <c:pt idx="33">
                  <c:v>368.7700715797384</c:v>
                </c:pt>
                <c:pt idx="34">
                  <c:v>407.5879738512898</c:v>
                </c:pt>
                <c:pt idx="35">
                  <c:v>446.4058761228412</c:v>
                </c:pt>
                <c:pt idx="36">
                  <c:v>485.2237783943926</c:v>
                </c:pt>
                <c:pt idx="37">
                  <c:v>524.041680665944</c:v>
                </c:pt>
                <c:pt idx="38">
                  <c:v>562.8595829374954</c:v>
                </c:pt>
                <c:pt idx="39">
                  <c:v>601.677485209047</c:v>
                </c:pt>
                <c:pt idx="40">
                  <c:v>640.4953874805983</c:v>
                </c:pt>
                <c:pt idx="41">
                  <c:v>679.3132897521497</c:v>
                </c:pt>
                <c:pt idx="42">
                  <c:v>718.1311920237011</c:v>
                </c:pt>
                <c:pt idx="43">
                  <c:v>756.9490942952525</c:v>
                </c:pt>
                <c:pt idx="44">
                  <c:v>795.766996566804</c:v>
                </c:pt>
                <c:pt idx="45">
                  <c:v>834.5848988383553</c:v>
                </c:pt>
                <c:pt idx="46">
                  <c:v>873.4028011099067</c:v>
                </c:pt>
                <c:pt idx="47">
                  <c:v>912.2207033814581</c:v>
                </c:pt>
                <c:pt idx="48">
                  <c:v>951.0386056530097</c:v>
                </c:pt>
                <c:pt idx="49">
                  <c:v>989.856507924561</c:v>
                </c:pt>
                <c:pt idx="50">
                  <c:v>1028.674410196112</c:v>
                </c:pt>
                <c:pt idx="51">
                  <c:v>1067.492312467664</c:v>
                </c:pt>
                <c:pt idx="52">
                  <c:v>1106.310214739215</c:v>
                </c:pt>
                <c:pt idx="53">
                  <c:v>1145.128117010767</c:v>
                </c:pt>
                <c:pt idx="54">
                  <c:v>1183.946019282318</c:v>
                </c:pt>
                <c:pt idx="55">
                  <c:v>1222.76392155387</c:v>
                </c:pt>
                <c:pt idx="56">
                  <c:v>1261.581823825421</c:v>
                </c:pt>
                <c:pt idx="57">
                  <c:v>1300.399726096972</c:v>
                </c:pt>
                <c:pt idx="58">
                  <c:v>1339.217628368524</c:v>
                </c:pt>
                <c:pt idx="59">
                  <c:v>1378.035530640075</c:v>
                </c:pt>
                <c:pt idx="60">
                  <c:v>1364.945772897343</c:v>
                </c:pt>
                <c:pt idx="61">
                  <c:v>1299.948355140326</c:v>
                </c:pt>
                <c:pt idx="62">
                  <c:v>1234.95093738331</c:v>
                </c:pt>
                <c:pt idx="63">
                  <c:v>1169.953519626294</c:v>
                </c:pt>
                <c:pt idx="64">
                  <c:v>1104.956101869278</c:v>
                </c:pt>
                <c:pt idx="65">
                  <c:v>1039.958684112261</c:v>
                </c:pt>
                <c:pt idx="66">
                  <c:v>974.9612663552448</c:v>
                </c:pt>
                <c:pt idx="67">
                  <c:v>909.9638485982284</c:v>
                </c:pt>
                <c:pt idx="68">
                  <c:v>844.9664308412121</c:v>
                </c:pt>
                <c:pt idx="69">
                  <c:v>779.9690130841958</c:v>
                </c:pt>
                <c:pt idx="70">
                  <c:v>714.9715953271794</c:v>
                </c:pt>
                <c:pt idx="71">
                  <c:v>649.974177570163</c:v>
                </c:pt>
                <c:pt idx="72">
                  <c:v>584.9767598131468</c:v>
                </c:pt>
                <c:pt idx="73">
                  <c:v>519.9793420561305</c:v>
                </c:pt>
                <c:pt idx="74">
                  <c:v>454.9819242991142</c:v>
                </c:pt>
                <c:pt idx="75">
                  <c:v>389.9845065420978</c:v>
                </c:pt>
                <c:pt idx="76">
                  <c:v>324.9870887850816</c:v>
                </c:pt>
                <c:pt idx="77">
                  <c:v>259.9896710280652</c:v>
                </c:pt>
                <c:pt idx="78">
                  <c:v>194.9922532710489</c:v>
                </c:pt>
                <c:pt idx="79">
                  <c:v>129.9948355140327</c:v>
                </c:pt>
                <c:pt idx="80">
                  <c:v>64.99741775701636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Percentiles!$A$35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val>
            <c:numRef>
              <c:f>Percentiles!$F$35:$DA$35</c:f>
              <c:numCache>
                <c:formatCode>0.00</c:formatCode>
                <c:ptCount val="100"/>
                <c:pt idx="0">
                  <c:v>1008.391684526244</c:v>
                </c:pt>
                <c:pt idx="1">
                  <c:v>1008.391684526244</c:v>
                </c:pt>
                <c:pt idx="2">
                  <c:v>1008.391684526244</c:v>
                </c:pt>
                <c:pt idx="3">
                  <c:v>1008.391684526244</c:v>
                </c:pt>
                <c:pt idx="4">
                  <c:v>1008.391684526244</c:v>
                </c:pt>
                <c:pt idx="5">
                  <c:v>1008.391684526244</c:v>
                </c:pt>
                <c:pt idx="6">
                  <c:v>1008.391684526244</c:v>
                </c:pt>
                <c:pt idx="7">
                  <c:v>1008.391684526244</c:v>
                </c:pt>
                <c:pt idx="8">
                  <c:v>1008.391684526244</c:v>
                </c:pt>
                <c:pt idx="9">
                  <c:v>1008.391684526244</c:v>
                </c:pt>
                <c:pt idx="10">
                  <c:v>1008.391684526244</c:v>
                </c:pt>
                <c:pt idx="11">
                  <c:v>1008.391684526244</c:v>
                </c:pt>
                <c:pt idx="12">
                  <c:v>1008.391684526244</c:v>
                </c:pt>
                <c:pt idx="13">
                  <c:v>1008.391684526244</c:v>
                </c:pt>
                <c:pt idx="14">
                  <c:v>1008.391684526244</c:v>
                </c:pt>
                <c:pt idx="15">
                  <c:v>1008.391684526244</c:v>
                </c:pt>
                <c:pt idx="16">
                  <c:v>1008.391684526244</c:v>
                </c:pt>
                <c:pt idx="17">
                  <c:v>1008.391684526244</c:v>
                </c:pt>
                <c:pt idx="18">
                  <c:v>1008.391684526244</c:v>
                </c:pt>
                <c:pt idx="19">
                  <c:v>1008.391684526244</c:v>
                </c:pt>
                <c:pt idx="20">
                  <c:v>1008.391684526244</c:v>
                </c:pt>
                <c:pt idx="21">
                  <c:v>1008.391684526244</c:v>
                </c:pt>
                <c:pt idx="22">
                  <c:v>1008.391684526244</c:v>
                </c:pt>
                <c:pt idx="23">
                  <c:v>1008.391684526244</c:v>
                </c:pt>
                <c:pt idx="24">
                  <c:v>1006.057444515766</c:v>
                </c:pt>
                <c:pt idx="25">
                  <c:v>1001.388964494811</c:v>
                </c:pt>
                <c:pt idx="26">
                  <c:v>996.7204844738565</c:v>
                </c:pt>
                <c:pt idx="27">
                  <c:v>992.0520044529018</c:v>
                </c:pt>
                <c:pt idx="28">
                  <c:v>987.383524431947</c:v>
                </c:pt>
                <c:pt idx="29">
                  <c:v>982.715044410992</c:v>
                </c:pt>
                <c:pt idx="30">
                  <c:v>978.0465643900372</c:v>
                </c:pt>
                <c:pt idx="31">
                  <c:v>973.3780843690824</c:v>
                </c:pt>
                <c:pt idx="32">
                  <c:v>968.7096043481276</c:v>
                </c:pt>
                <c:pt idx="33">
                  <c:v>964.0411243271727</c:v>
                </c:pt>
                <c:pt idx="34">
                  <c:v>959.372644306218</c:v>
                </c:pt>
                <c:pt idx="35">
                  <c:v>954.7041642852631</c:v>
                </c:pt>
                <c:pt idx="36">
                  <c:v>950.0356842643083</c:v>
                </c:pt>
                <c:pt idx="37">
                  <c:v>945.3672042433534</c:v>
                </c:pt>
                <c:pt idx="38">
                  <c:v>940.6987242223985</c:v>
                </c:pt>
                <c:pt idx="39">
                  <c:v>936.0302442014438</c:v>
                </c:pt>
                <c:pt idx="40">
                  <c:v>931.361764180489</c:v>
                </c:pt>
                <c:pt idx="41">
                  <c:v>926.693284159534</c:v>
                </c:pt>
                <c:pt idx="42">
                  <c:v>922.0248041385792</c:v>
                </c:pt>
                <c:pt idx="43">
                  <c:v>917.3563241176244</c:v>
                </c:pt>
                <c:pt idx="44">
                  <c:v>912.6878440966695</c:v>
                </c:pt>
                <c:pt idx="45">
                  <c:v>908.0193640757147</c:v>
                </c:pt>
                <c:pt idx="46">
                  <c:v>903.3508840547599</c:v>
                </c:pt>
                <c:pt idx="47">
                  <c:v>898.6824040338051</c:v>
                </c:pt>
                <c:pt idx="48">
                  <c:v>894.0139240128502</c:v>
                </c:pt>
                <c:pt idx="49">
                  <c:v>889.3454439918954</c:v>
                </c:pt>
                <c:pt idx="50">
                  <c:v>884.6769639709405</c:v>
                </c:pt>
                <c:pt idx="51">
                  <c:v>880.0084839499857</c:v>
                </c:pt>
                <c:pt idx="52">
                  <c:v>875.3400039290309</c:v>
                </c:pt>
                <c:pt idx="53">
                  <c:v>870.671523908076</c:v>
                </c:pt>
                <c:pt idx="54">
                  <c:v>866.0030438871212</c:v>
                </c:pt>
                <c:pt idx="55">
                  <c:v>861.3345638661663</c:v>
                </c:pt>
                <c:pt idx="56">
                  <c:v>856.6660838452116</c:v>
                </c:pt>
                <c:pt idx="57">
                  <c:v>851.9976038242568</c:v>
                </c:pt>
                <c:pt idx="58">
                  <c:v>847.3291238033019</c:v>
                </c:pt>
                <c:pt idx="59">
                  <c:v>842.6606437823471</c:v>
                </c:pt>
                <c:pt idx="60">
                  <c:v>820.783929265547</c:v>
                </c:pt>
                <c:pt idx="61">
                  <c:v>781.698980252902</c:v>
                </c:pt>
                <c:pt idx="62">
                  <c:v>742.614031240257</c:v>
                </c:pt>
                <c:pt idx="63">
                  <c:v>703.5290822276117</c:v>
                </c:pt>
                <c:pt idx="64">
                  <c:v>664.4441332149667</c:v>
                </c:pt>
                <c:pt idx="65">
                  <c:v>625.3591842023216</c:v>
                </c:pt>
                <c:pt idx="66">
                  <c:v>586.2742351896764</c:v>
                </c:pt>
                <c:pt idx="67">
                  <c:v>547.1892861770313</c:v>
                </c:pt>
                <c:pt idx="68">
                  <c:v>508.1043371643863</c:v>
                </c:pt>
                <c:pt idx="69">
                  <c:v>469.0193881517412</c:v>
                </c:pt>
                <c:pt idx="70">
                  <c:v>429.9344391390961</c:v>
                </c:pt>
                <c:pt idx="71">
                  <c:v>390.849490126451</c:v>
                </c:pt>
                <c:pt idx="72">
                  <c:v>351.7645411138058</c:v>
                </c:pt>
                <c:pt idx="73">
                  <c:v>312.6795921011608</c:v>
                </c:pt>
                <c:pt idx="74">
                  <c:v>273.5946430885157</c:v>
                </c:pt>
                <c:pt idx="75">
                  <c:v>234.5096940758706</c:v>
                </c:pt>
                <c:pt idx="76">
                  <c:v>195.4247450632255</c:v>
                </c:pt>
                <c:pt idx="77">
                  <c:v>156.3397960505804</c:v>
                </c:pt>
                <c:pt idx="78">
                  <c:v>117.2548470379353</c:v>
                </c:pt>
                <c:pt idx="79">
                  <c:v>78.16989802529019</c:v>
                </c:pt>
                <c:pt idx="80">
                  <c:v>39.0849490126451</c:v>
                </c:pt>
                <c:pt idx="81">
                  <c:v>1.13686837721616E-13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Percentiles!$A$36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val>
            <c:numRef>
              <c:f>Percentiles!$F$36:$DA$36</c:f>
              <c:numCache>
                <c:formatCode>0.00</c:formatCode>
                <c:ptCount val="100"/>
                <c:pt idx="0">
                  <c:v>29433.67439740386</c:v>
                </c:pt>
                <c:pt idx="1">
                  <c:v>29433.67439740386</c:v>
                </c:pt>
                <c:pt idx="2">
                  <c:v>29433.67439740386</c:v>
                </c:pt>
                <c:pt idx="3">
                  <c:v>29433.67439740386</c:v>
                </c:pt>
                <c:pt idx="4">
                  <c:v>29433.67439740386</c:v>
                </c:pt>
                <c:pt idx="5">
                  <c:v>29433.67439740386</c:v>
                </c:pt>
                <c:pt idx="6">
                  <c:v>29433.67439740386</c:v>
                </c:pt>
                <c:pt idx="7">
                  <c:v>29433.67439740386</c:v>
                </c:pt>
                <c:pt idx="8">
                  <c:v>29433.67439740386</c:v>
                </c:pt>
                <c:pt idx="9">
                  <c:v>29433.67439740386</c:v>
                </c:pt>
                <c:pt idx="10">
                  <c:v>29433.67439740386</c:v>
                </c:pt>
                <c:pt idx="11">
                  <c:v>29433.67439740386</c:v>
                </c:pt>
                <c:pt idx="12">
                  <c:v>29433.67439740386</c:v>
                </c:pt>
                <c:pt idx="13">
                  <c:v>29433.67439740386</c:v>
                </c:pt>
                <c:pt idx="14">
                  <c:v>29433.67439740386</c:v>
                </c:pt>
                <c:pt idx="15">
                  <c:v>29433.67439740386</c:v>
                </c:pt>
                <c:pt idx="16">
                  <c:v>29433.67439740386</c:v>
                </c:pt>
                <c:pt idx="17">
                  <c:v>29433.67439740386</c:v>
                </c:pt>
                <c:pt idx="18">
                  <c:v>29433.67439740386</c:v>
                </c:pt>
                <c:pt idx="19">
                  <c:v>29433.67439740386</c:v>
                </c:pt>
                <c:pt idx="20">
                  <c:v>29433.67439740386</c:v>
                </c:pt>
                <c:pt idx="21">
                  <c:v>29433.67439740386</c:v>
                </c:pt>
                <c:pt idx="22">
                  <c:v>29433.67439740386</c:v>
                </c:pt>
                <c:pt idx="23">
                  <c:v>29433.67439740386</c:v>
                </c:pt>
                <c:pt idx="24">
                  <c:v>29433.67439740386</c:v>
                </c:pt>
                <c:pt idx="25">
                  <c:v>29433.67439740386</c:v>
                </c:pt>
                <c:pt idx="26">
                  <c:v>29433.67439740386</c:v>
                </c:pt>
                <c:pt idx="27">
                  <c:v>29433.67439740386</c:v>
                </c:pt>
                <c:pt idx="28">
                  <c:v>29433.67439740386</c:v>
                </c:pt>
                <c:pt idx="29">
                  <c:v>29433.67439740386</c:v>
                </c:pt>
                <c:pt idx="30">
                  <c:v>29433.67439740386</c:v>
                </c:pt>
                <c:pt idx="31">
                  <c:v>29433.67439740386</c:v>
                </c:pt>
                <c:pt idx="32">
                  <c:v>29433.67439740386</c:v>
                </c:pt>
                <c:pt idx="33">
                  <c:v>29433.67439740386</c:v>
                </c:pt>
                <c:pt idx="34">
                  <c:v>29433.67439740386</c:v>
                </c:pt>
                <c:pt idx="35">
                  <c:v>29433.67439740386</c:v>
                </c:pt>
                <c:pt idx="36">
                  <c:v>29433.67439740386</c:v>
                </c:pt>
                <c:pt idx="37">
                  <c:v>29433.67439740386</c:v>
                </c:pt>
                <c:pt idx="38">
                  <c:v>29433.67439740386</c:v>
                </c:pt>
                <c:pt idx="39">
                  <c:v>29433.67439740386</c:v>
                </c:pt>
                <c:pt idx="40">
                  <c:v>29433.67439740386</c:v>
                </c:pt>
                <c:pt idx="41">
                  <c:v>29433.67439740386</c:v>
                </c:pt>
                <c:pt idx="42">
                  <c:v>29433.67439740386</c:v>
                </c:pt>
                <c:pt idx="43">
                  <c:v>29433.67439740386</c:v>
                </c:pt>
                <c:pt idx="44">
                  <c:v>29433.67439740386</c:v>
                </c:pt>
                <c:pt idx="45">
                  <c:v>29433.67439740386</c:v>
                </c:pt>
                <c:pt idx="46">
                  <c:v>29433.67439740386</c:v>
                </c:pt>
                <c:pt idx="47">
                  <c:v>29433.67439740386</c:v>
                </c:pt>
                <c:pt idx="48">
                  <c:v>29433.67439740386</c:v>
                </c:pt>
                <c:pt idx="49">
                  <c:v>29433.67439740386</c:v>
                </c:pt>
                <c:pt idx="50">
                  <c:v>29433.67439740386</c:v>
                </c:pt>
                <c:pt idx="51">
                  <c:v>29433.67439740386</c:v>
                </c:pt>
                <c:pt idx="52">
                  <c:v>29433.67439740386</c:v>
                </c:pt>
                <c:pt idx="53">
                  <c:v>29433.67439740386</c:v>
                </c:pt>
                <c:pt idx="54">
                  <c:v>29433.67439740386</c:v>
                </c:pt>
                <c:pt idx="55">
                  <c:v>29433.67439740386</c:v>
                </c:pt>
                <c:pt idx="56">
                  <c:v>29433.67439740386</c:v>
                </c:pt>
                <c:pt idx="57">
                  <c:v>29433.67439740386</c:v>
                </c:pt>
                <c:pt idx="58">
                  <c:v>29433.67439740386</c:v>
                </c:pt>
                <c:pt idx="59">
                  <c:v>29433.67439740386</c:v>
                </c:pt>
                <c:pt idx="60">
                  <c:v>29007.12884337344</c:v>
                </c:pt>
                <c:pt idx="61">
                  <c:v>28154.0377353126</c:v>
                </c:pt>
                <c:pt idx="62">
                  <c:v>27300.94662725176</c:v>
                </c:pt>
                <c:pt idx="63">
                  <c:v>26447.85551919092</c:v>
                </c:pt>
                <c:pt idx="64">
                  <c:v>25594.76441113008</c:v>
                </c:pt>
                <c:pt idx="65">
                  <c:v>24741.67330306924</c:v>
                </c:pt>
                <c:pt idx="66">
                  <c:v>23888.5821950084</c:v>
                </c:pt>
                <c:pt idx="67">
                  <c:v>23035.49108694756</c:v>
                </c:pt>
                <c:pt idx="68">
                  <c:v>22182.39997888673</c:v>
                </c:pt>
                <c:pt idx="69">
                  <c:v>21329.30887082589</c:v>
                </c:pt>
                <c:pt idx="70">
                  <c:v>20476.21776276505</c:v>
                </c:pt>
                <c:pt idx="71">
                  <c:v>19623.12665470421</c:v>
                </c:pt>
                <c:pt idx="72">
                  <c:v>18770.03554664337</c:v>
                </c:pt>
                <c:pt idx="73">
                  <c:v>17916.94443858253</c:v>
                </c:pt>
                <c:pt idx="74">
                  <c:v>17063.8533305217</c:v>
                </c:pt>
                <c:pt idx="75">
                  <c:v>16210.76222246085</c:v>
                </c:pt>
                <c:pt idx="76">
                  <c:v>15357.67111440001</c:v>
                </c:pt>
                <c:pt idx="77">
                  <c:v>14504.58000633917</c:v>
                </c:pt>
                <c:pt idx="78">
                  <c:v>13651.48889827833</c:v>
                </c:pt>
                <c:pt idx="79">
                  <c:v>12798.39779021749</c:v>
                </c:pt>
                <c:pt idx="80">
                  <c:v>11945.30668215665</c:v>
                </c:pt>
                <c:pt idx="81">
                  <c:v>11092.21557409582</c:v>
                </c:pt>
                <c:pt idx="82">
                  <c:v>11205.40144730088</c:v>
                </c:pt>
                <c:pt idx="83">
                  <c:v>11318.58732050594</c:v>
                </c:pt>
                <c:pt idx="84">
                  <c:v>11431.77319371099</c:v>
                </c:pt>
                <c:pt idx="85">
                  <c:v>11544.95906691605</c:v>
                </c:pt>
                <c:pt idx="86">
                  <c:v>11658.14494012111</c:v>
                </c:pt>
                <c:pt idx="87">
                  <c:v>11771.33081332617</c:v>
                </c:pt>
                <c:pt idx="88">
                  <c:v>11884.51668653123</c:v>
                </c:pt>
                <c:pt idx="89">
                  <c:v>11997.7025597363</c:v>
                </c:pt>
                <c:pt idx="90">
                  <c:v>12110.88843294135</c:v>
                </c:pt>
                <c:pt idx="91">
                  <c:v>12224.07430614641</c:v>
                </c:pt>
                <c:pt idx="92">
                  <c:v>12337.26017935147</c:v>
                </c:pt>
                <c:pt idx="93">
                  <c:v>12450.44605255653</c:v>
                </c:pt>
                <c:pt idx="94">
                  <c:v>12563.63192576159</c:v>
                </c:pt>
                <c:pt idx="95">
                  <c:v>12676.81779896665</c:v>
                </c:pt>
                <c:pt idx="96">
                  <c:v>12676.81779896665</c:v>
                </c:pt>
                <c:pt idx="97">
                  <c:v>12676.81779896665</c:v>
                </c:pt>
                <c:pt idx="98">
                  <c:v>12676.81779896665</c:v>
                </c:pt>
                <c:pt idx="99">
                  <c:v>12676.81779896665</c:v>
                </c:pt>
              </c:numCache>
            </c:numRef>
          </c:val>
        </c:ser>
        <c:ser>
          <c:idx val="13"/>
          <c:order val="12"/>
          <c:tx>
            <c:strRef>
              <c:f>Percentiles!$A$37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Percentiles!$F$37:$DA$37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97.04475567887853</c:v>
                </c:pt>
                <c:pt idx="25">
                  <c:v>291.1342670366356</c:v>
                </c:pt>
                <c:pt idx="26">
                  <c:v>485.2237783943926</c:v>
                </c:pt>
                <c:pt idx="27">
                  <c:v>679.3132897521497</c:v>
                </c:pt>
                <c:pt idx="28">
                  <c:v>873.4028011099068</c:v>
                </c:pt>
                <c:pt idx="29">
                  <c:v>1067.492312467664</c:v>
                </c:pt>
                <c:pt idx="30">
                  <c:v>1261.581823825421</c:v>
                </c:pt>
                <c:pt idx="31">
                  <c:v>1455.671335183178</c:v>
                </c:pt>
                <c:pt idx="32">
                  <c:v>1649.760846540935</c:v>
                </c:pt>
                <c:pt idx="33">
                  <c:v>1843.850357898692</c:v>
                </c:pt>
                <c:pt idx="34">
                  <c:v>2037.93986925645</c:v>
                </c:pt>
                <c:pt idx="35">
                  <c:v>2232.029380614206</c:v>
                </c:pt>
                <c:pt idx="36">
                  <c:v>2426.118891971963</c:v>
                </c:pt>
                <c:pt idx="37">
                  <c:v>2620.20840332972</c:v>
                </c:pt>
                <c:pt idx="38">
                  <c:v>2814.297914687477</c:v>
                </c:pt>
                <c:pt idx="39">
                  <c:v>3008.387426045234</c:v>
                </c:pt>
                <c:pt idx="40">
                  <c:v>3202.476937402992</c:v>
                </c:pt>
                <c:pt idx="41">
                  <c:v>3396.566448760749</c:v>
                </c:pt>
                <c:pt idx="42">
                  <c:v>3590.655960118506</c:v>
                </c:pt>
                <c:pt idx="43">
                  <c:v>3784.745471476263</c:v>
                </c:pt>
                <c:pt idx="44">
                  <c:v>3978.83498283402</c:v>
                </c:pt>
                <c:pt idx="45">
                  <c:v>4172.924494191776</c:v>
                </c:pt>
                <c:pt idx="46">
                  <c:v>4367.014005549534</c:v>
                </c:pt>
                <c:pt idx="47">
                  <c:v>4561.103516907291</c:v>
                </c:pt>
                <c:pt idx="48">
                  <c:v>4755.193028265048</c:v>
                </c:pt>
                <c:pt idx="49">
                  <c:v>4949.282539622805</c:v>
                </c:pt>
                <c:pt idx="50">
                  <c:v>5143.372050980563</c:v>
                </c:pt>
                <c:pt idx="51">
                  <c:v>5337.461562338319</c:v>
                </c:pt>
                <c:pt idx="52">
                  <c:v>5531.551073696076</c:v>
                </c:pt>
                <c:pt idx="53">
                  <c:v>5725.640585053833</c:v>
                </c:pt>
                <c:pt idx="54">
                  <c:v>5919.73009641159</c:v>
                </c:pt>
                <c:pt idx="55">
                  <c:v>6113.819607769347</c:v>
                </c:pt>
                <c:pt idx="56">
                  <c:v>6307.909119127105</c:v>
                </c:pt>
                <c:pt idx="57">
                  <c:v>6501.998630484861</c:v>
                </c:pt>
                <c:pt idx="58">
                  <c:v>6696.088141842619</c:v>
                </c:pt>
                <c:pt idx="59">
                  <c:v>6890.177653200376</c:v>
                </c:pt>
                <c:pt idx="60">
                  <c:v>6824.728864486713</c:v>
                </c:pt>
                <c:pt idx="61">
                  <c:v>6499.741775701632</c:v>
                </c:pt>
                <c:pt idx="62">
                  <c:v>6174.754686916551</c:v>
                </c:pt>
                <c:pt idx="63">
                  <c:v>5849.767598131469</c:v>
                </c:pt>
                <c:pt idx="64">
                  <c:v>5524.780509346388</c:v>
                </c:pt>
                <c:pt idx="65">
                  <c:v>5199.793420561305</c:v>
                </c:pt>
                <c:pt idx="66">
                  <c:v>4874.806331776224</c:v>
                </c:pt>
                <c:pt idx="67">
                  <c:v>4549.819242991142</c:v>
                </c:pt>
                <c:pt idx="68">
                  <c:v>4224.83215420606</c:v>
                </c:pt>
                <c:pt idx="69">
                  <c:v>3899.84506542098</c:v>
                </c:pt>
                <c:pt idx="70">
                  <c:v>3574.857976635897</c:v>
                </c:pt>
                <c:pt idx="71">
                  <c:v>3249.870887850816</c:v>
                </c:pt>
                <c:pt idx="72">
                  <c:v>2924.883799065734</c:v>
                </c:pt>
                <c:pt idx="73">
                  <c:v>2599.896710280653</c:v>
                </c:pt>
                <c:pt idx="74">
                  <c:v>2274.909621495572</c:v>
                </c:pt>
                <c:pt idx="75">
                  <c:v>1949.92253271049</c:v>
                </c:pt>
                <c:pt idx="76">
                  <c:v>1624.935443925408</c:v>
                </c:pt>
                <c:pt idx="77">
                  <c:v>1299.948355140326</c:v>
                </c:pt>
                <c:pt idx="78">
                  <c:v>974.9612663552443</c:v>
                </c:pt>
                <c:pt idx="79">
                  <c:v>649.974177570163</c:v>
                </c:pt>
                <c:pt idx="80">
                  <c:v>324.9870887850821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40361016"/>
        <c:axId val="-2140357672"/>
      </c:bar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Percentiles!$F$39:$DA$39</c:f>
              <c:numCache>
                <c:formatCode>0</c:formatCode>
                <c:ptCount val="100"/>
                <c:pt idx="0">
                  <c:v>39324.2862920528</c:v>
                </c:pt>
                <c:pt idx="1">
                  <c:v>39324.2862920528</c:v>
                </c:pt>
                <c:pt idx="2">
                  <c:v>39324.2862920528</c:v>
                </c:pt>
                <c:pt idx="3">
                  <c:v>39324.2862920528</c:v>
                </c:pt>
                <c:pt idx="4">
                  <c:v>39324.2862920528</c:v>
                </c:pt>
                <c:pt idx="5">
                  <c:v>39324.2862920528</c:v>
                </c:pt>
                <c:pt idx="6">
                  <c:v>39324.2862920528</c:v>
                </c:pt>
                <c:pt idx="7">
                  <c:v>39324.2862920528</c:v>
                </c:pt>
                <c:pt idx="8">
                  <c:v>39324.2862920528</c:v>
                </c:pt>
                <c:pt idx="9">
                  <c:v>39324.2862920528</c:v>
                </c:pt>
                <c:pt idx="10">
                  <c:v>39324.2862920528</c:v>
                </c:pt>
                <c:pt idx="11">
                  <c:v>39324.2862920528</c:v>
                </c:pt>
                <c:pt idx="12">
                  <c:v>39324.2862920528</c:v>
                </c:pt>
                <c:pt idx="13">
                  <c:v>39324.2862920528</c:v>
                </c:pt>
                <c:pt idx="14">
                  <c:v>39324.2862920528</c:v>
                </c:pt>
                <c:pt idx="15">
                  <c:v>39324.2862920528</c:v>
                </c:pt>
                <c:pt idx="16">
                  <c:v>39324.2862920528</c:v>
                </c:pt>
                <c:pt idx="17">
                  <c:v>39324.2862920528</c:v>
                </c:pt>
                <c:pt idx="18">
                  <c:v>39324.2862920528</c:v>
                </c:pt>
                <c:pt idx="19">
                  <c:v>39324.2862920528</c:v>
                </c:pt>
                <c:pt idx="20">
                  <c:v>39324.2862920528</c:v>
                </c:pt>
                <c:pt idx="21">
                  <c:v>39324.2862920528</c:v>
                </c:pt>
                <c:pt idx="22">
                  <c:v>39324.2862920528</c:v>
                </c:pt>
                <c:pt idx="23">
                  <c:v>39324.2862920528</c:v>
                </c:pt>
                <c:pt idx="24">
                  <c:v>39324.2862920528</c:v>
                </c:pt>
                <c:pt idx="25">
                  <c:v>39324.2862920528</c:v>
                </c:pt>
                <c:pt idx="26">
                  <c:v>39324.2862920528</c:v>
                </c:pt>
                <c:pt idx="27">
                  <c:v>39324.2862920528</c:v>
                </c:pt>
                <c:pt idx="28">
                  <c:v>39324.2862920528</c:v>
                </c:pt>
                <c:pt idx="29">
                  <c:v>39324.2862920528</c:v>
                </c:pt>
                <c:pt idx="30">
                  <c:v>39324.2862920528</c:v>
                </c:pt>
                <c:pt idx="31">
                  <c:v>39324.2862920528</c:v>
                </c:pt>
                <c:pt idx="32">
                  <c:v>39324.2862920528</c:v>
                </c:pt>
                <c:pt idx="33">
                  <c:v>39324.2862920528</c:v>
                </c:pt>
                <c:pt idx="34">
                  <c:v>39324.2862920528</c:v>
                </c:pt>
                <c:pt idx="35">
                  <c:v>39324.2862920528</c:v>
                </c:pt>
                <c:pt idx="36">
                  <c:v>39324.2862920528</c:v>
                </c:pt>
                <c:pt idx="37">
                  <c:v>39324.2862920528</c:v>
                </c:pt>
                <c:pt idx="38">
                  <c:v>39324.2862920528</c:v>
                </c:pt>
                <c:pt idx="39">
                  <c:v>39324.2862920528</c:v>
                </c:pt>
                <c:pt idx="40">
                  <c:v>39324.2862920528</c:v>
                </c:pt>
                <c:pt idx="41">
                  <c:v>39324.2862920528</c:v>
                </c:pt>
                <c:pt idx="42">
                  <c:v>39324.2862920528</c:v>
                </c:pt>
                <c:pt idx="43">
                  <c:v>39324.2862920528</c:v>
                </c:pt>
                <c:pt idx="44">
                  <c:v>39324.2862920528</c:v>
                </c:pt>
                <c:pt idx="45">
                  <c:v>39324.2862920528</c:v>
                </c:pt>
                <c:pt idx="46">
                  <c:v>39324.2862920528</c:v>
                </c:pt>
                <c:pt idx="47">
                  <c:v>39324.2862920528</c:v>
                </c:pt>
                <c:pt idx="48">
                  <c:v>39324.2862920528</c:v>
                </c:pt>
                <c:pt idx="49">
                  <c:v>39324.2862920528</c:v>
                </c:pt>
                <c:pt idx="50">
                  <c:v>39324.2862920528</c:v>
                </c:pt>
                <c:pt idx="51">
                  <c:v>39324.2862920528</c:v>
                </c:pt>
                <c:pt idx="52">
                  <c:v>39324.2862920528</c:v>
                </c:pt>
                <c:pt idx="53">
                  <c:v>39324.2862920528</c:v>
                </c:pt>
                <c:pt idx="54">
                  <c:v>39324.2862920528</c:v>
                </c:pt>
                <c:pt idx="55">
                  <c:v>39324.2862920528</c:v>
                </c:pt>
                <c:pt idx="56">
                  <c:v>39324.2862920528</c:v>
                </c:pt>
                <c:pt idx="57">
                  <c:v>39324.2862920528</c:v>
                </c:pt>
                <c:pt idx="58">
                  <c:v>39324.2862920528</c:v>
                </c:pt>
                <c:pt idx="59">
                  <c:v>39324.2862920528</c:v>
                </c:pt>
                <c:pt idx="60">
                  <c:v>39324.2862920528</c:v>
                </c:pt>
                <c:pt idx="61">
                  <c:v>39324.2862920528</c:v>
                </c:pt>
                <c:pt idx="62">
                  <c:v>39324.2862920528</c:v>
                </c:pt>
                <c:pt idx="63">
                  <c:v>39324.2862920528</c:v>
                </c:pt>
                <c:pt idx="64">
                  <c:v>39324.2862920528</c:v>
                </c:pt>
                <c:pt idx="65">
                  <c:v>39324.2862920528</c:v>
                </c:pt>
                <c:pt idx="66">
                  <c:v>39324.2862920528</c:v>
                </c:pt>
                <c:pt idx="67">
                  <c:v>39324.2862920528</c:v>
                </c:pt>
                <c:pt idx="68">
                  <c:v>39324.2862920528</c:v>
                </c:pt>
                <c:pt idx="69">
                  <c:v>39324.2862920528</c:v>
                </c:pt>
                <c:pt idx="70">
                  <c:v>39324.2862920528</c:v>
                </c:pt>
                <c:pt idx="71">
                  <c:v>39324.2862920528</c:v>
                </c:pt>
                <c:pt idx="72">
                  <c:v>39324.2862920528</c:v>
                </c:pt>
                <c:pt idx="73">
                  <c:v>39324.2862920528</c:v>
                </c:pt>
                <c:pt idx="74">
                  <c:v>39324.2862920528</c:v>
                </c:pt>
                <c:pt idx="75">
                  <c:v>39324.2862920528</c:v>
                </c:pt>
                <c:pt idx="76">
                  <c:v>39324.2862920528</c:v>
                </c:pt>
                <c:pt idx="77">
                  <c:v>39324.2862920528</c:v>
                </c:pt>
                <c:pt idx="78">
                  <c:v>39324.2862920528</c:v>
                </c:pt>
                <c:pt idx="79">
                  <c:v>39324.2862920528</c:v>
                </c:pt>
                <c:pt idx="80">
                  <c:v>39324.2862920528</c:v>
                </c:pt>
                <c:pt idx="81">
                  <c:v>39324.2862920528</c:v>
                </c:pt>
                <c:pt idx="82">
                  <c:v>39324.2862920528</c:v>
                </c:pt>
                <c:pt idx="83">
                  <c:v>39324.2862920528</c:v>
                </c:pt>
                <c:pt idx="84">
                  <c:v>39324.2862920528</c:v>
                </c:pt>
                <c:pt idx="85">
                  <c:v>39324.2862920528</c:v>
                </c:pt>
                <c:pt idx="86">
                  <c:v>39324.2862920528</c:v>
                </c:pt>
                <c:pt idx="87">
                  <c:v>39324.2862920528</c:v>
                </c:pt>
                <c:pt idx="88">
                  <c:v>39324.2862920528</c:v>
                </c:pt>
                <c:pt idx="89">
                  <c:v>39324.2862920528</c:v>
                </c:pt>
                <c:pt idx="90">
                  <c:v>39324.2862920528</c:v>
                </c:pt>
                <c:pt idx="91">
                  <c:v>39324.2862920528</c:v>
                </c:pt>
                <c:pt idx="92">
                  <c:v>39324.2862920528</c:v>
                </c:pt>
                <c:pt idx="93">
                  <c:v>39324.2862920528</c:v>
                </c:pt>
                <c:pt idx="94">
                  <c:v>39324.2862920528</c:v>
                </c:pt>
                <c:pt idx="95">
                  <c:v>39324.2862920528</c:v>
                </c:pt>
                <c:pt idx="96">
                  <c:v>39324.2862920528</c:v>
                </c:pt>
                <c:pt idx="97">
                  <c:v>39324.2862920528</c:v>
                </c:pt>
                <c:pt idx="98">
                  <c:v>39324.2862920528</c:v>
                </c:pt>
                <c:pt idx="99">
                  <c:v>39324.2862920528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0361016"/>
        <c:axId val="-2140357672"/>
      </c:lineChart>
      <c:catAx>
        <c:axId val="-2140361016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40357672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14035767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40361016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26816082347248"/>
          <c:y val="0.1875"/>
          <c:w val="0.993017309637971"/>
          <c:h val="0.7916664323209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Percentiles!$A$108</c:f>
              <c:strCache>
                <c:ptCount val="1"/>
                <c:pt idx="0">
                  <c:v>Own crops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B050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99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41164049920852"/>
                  <c:y val="-0.043055869324632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99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47.0</c:v>
                </c:pt>
                <c:pt idx="1">
                  <c:v>72.0</c:v>
                </c:pt>
                <c:pt idx="2">
                  <c:v>90.0</c:v>
                </c:pt>
              </c:numCache>
            </c:numRef>
          </c:xVal>
          <c:yVal>
            <c:numRef>
              <c:f>Percentiles!$C$108:$E$108</c:f>
              <c:numCache>
                <c:formatCode>0.000</c:formatCode>
                <c:ptCount val="3"/>
                <c:pt idx="0">
                  <c:v>67.28745917332971</c:v>
                </c:pt>
                <c:pt idx="1">
                  <c:v>37.13714177256136</c:v>
                </c:pt>
                <c:pt idx="2">
                  <c:v>-136.079151087851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Percentiles!$A$109</c:f>
              <c:strCache>
                <c:ptCount val="1"/>
                <c:pt idx="0">
                  <c:v>Own crops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92D05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CC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270829455205071"/>
                  <c:y val="-0.09995610410333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CC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47.0</c:v>
                </c:pt>
                <c:pt idx="1">
                  <c:v>72.0</c:v>
                </c:pt>
                <c:pt idx="2">
                  <c:v>90.0</c:v>
                </c:pt>
              </c:numCache>
            </c:numRef>
          </c:xVal>
          <c:yVal>
            <c:numRef>
              <c:f>Percentiles!$C$109:$E$109</c:f>
              <c:numCache>
                <c:formatCode>0.000</c:formatCode>
                <c:ptCount val="3"/>
                <c:pt idx="0">
                  <c:v>62.14907894934849</c:v>
                </c:pt>
                <c:pt idx="1">
                  <c:v>182.8052374416083</c:v>
                </c:pt>
                <c:pt idx="2">
                  <c:v>852.2361515932125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Percentiles!$A$113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B3A2C7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760347252265127"/>
                  <c:y val="-0.037144945381528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47.0</c:v>
                </c:pt>
                <c:pt idx="1">
                  <c:v>72.0</c:v>
                </c:pt>
                <c:pt idx="2">
                  <c:v>90.0</c:v>
                </c:pt>
              </c:numCache>
            </c:numRef>
          </c:xVal>
          <c:yVal>
            <c:numRef>
              <c:f>Percentiles!$C$113:$E$113</c:f>
              <c:numCache>
                <c:formatCode>0.000</c:formatCode>
                <c:ptCount val="3"/>
                <c:pt idx="0">
                  <c:v>36.39402973966853</c:v>
                </c:pt>
                <c:pt idx="1">
                  <c:v>-157.7541493477584</c:v>
                </c:pt>
                <c:pt idx="2">
                  <c:v>0.0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Percentiles!$A$116</c:f>
              <c:strCache>
                <c:ptCount val="1"/>
                <c:pt idx="0">
                  <c:v>Self - employment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CCFF"/>
              </a:solidFill>
              <a:ln>
                <a:solidFill>
                  <a:srgbClr val="CCCC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CC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4252973109329"/>
                  <c:y val="-0.0007532842693702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47.0</c:v>
                </c:pt>
                <c:pt idx="1">
                  <c:v>72.0</c:v>
                </c:pt>
                <c:pt idx="2">
                  <c:v>90.0</c:v>
                </c:pt>
              </c:numCache>
            </c:numRef>
          </c:xVal>
          <c:yVal>
            <c:numRef>
              <c:f>Percentiles!$C$116:$E$116</c:f>
              <c:numCache>
                <c:formatCode>0.000</c:formatCode>
                <c:ptCount val="3"/>
                <c:pt idx="0">
                  <c:v>259.594721441</c:v>
                </c:pt>
                <c:pt idx="1">
                  <c:v>-353.4234590537762</c:v>
                </c:pt>
                <c:pt idx="2">
                  <c:v>-124.7718287299867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Percentiles!$A$118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558ED5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66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5841005402218"/>
                  <c:y val="0.1024433243547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47.0</c:v>
                </c:pt>
                <c:pt idx="1">
                  <c:v>72.0</c:v>
                </c:pt>
                <c:pt idx="2">
                  <c:v>90.0</c:v>
                </c:pt>
              </c:numCache>
            </c:numRef>
          </c:xVal>
          <c:yVal>
            <c:numRef>
              <c:f>Percentiles!$C$118:$E$118</c:f>
              <c:numCache>
                <c:formatCode>0.000</c:formatCode>
                <c:ptCount val="3"/>
                <c:pt idx="0">
                  <c:v>-4.668480020954835</c:v>
                </c:pt>
                <c:pt idx="1">
                  <c:v>-39.0849490126451</c:v>
                </c:pt>
                <c:pt idx="2">
                  <c:v>0.0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Percentiles!$A$119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A6A6A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6969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0302772550325083"/>
                  <c:y val="0.0030829599084143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6969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47.0</c:v>
                </c:pt>
                <c:pt idx="1">
                  <c:v>72.0</c:v>
                </c:pt>
                <c:pt idx="2">
                  <c:v>90.0</c:v>
                </c:pt>
              </c:numCache>
            </c:numRef>
          </c:xVal>
          <c:yVal>
            <c:numRef>
              <c:f>Percentiles!$C$119:$E$119</c:f>
              <c:numCache>
                <c:formatCode>0.000</c:formatCode>
                <c:ptCount val="3"/>
                <c:pt idx="0">
                  <c:v>0.0</c:v>
                </c:pt>
                <c:pt idx="1">
                  <c:v>-853.0911080608392</c:v>
                </c:pt>
                <c:pt idx="2">
                  <c:v>113.1858732050593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9492472"/>
        <c:axId val="-2069496744"/>
      </c:scatterChart>
      <c:scatterChart>
        <c:scatterStyle val="lineMarker"/>
        <c:varyColors val="0"/>
        <c:ser>
          <c:idx val="2"/>
          <c:order val="2"/>
          <c:tx>
            <c:strRef>
              <c:f>Percentiles!$A$110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0706759152949"/>
                  <c:y val="0.057628258472003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47.0</c:v>
                </c:pt>
                <c:pt idx="1">
                  <c:v>72.0</c:v>
                </c:pt>
                <c:pt idx="2">
                  <c:v>90.0</c:v>
                </c:pt>
              </c:numCache>
            </c:numRef>
          </c:xVal>
          <c:yVal>
            <c:numRef>
              <c:f>Percentiles!$C$110:$E$110</c:f>
              <c:numCache>
                <c:formatCode>0.000</c:formatCode>
                <c:ptCount val="3"/>
                <c:pt idx="0">
                  <c:v>7.360782100478539</c:v>
                </c:pt>
                <c:pt idx="1">
                  <c:v>15.42768573966578</c:v>
                </c:pt>
                <c:pt idx="2">
                  <c:v>133.362537431438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Percentiles!$A$111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trendline>
            <c:spPr>
              <a:ln w="3175">
                <a:solidFill>
                  <a:srgbClr val="FCF305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0202835732677505"/>
                  <c:y val="-0.062269975492649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CF305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47.0</c:v>
                </c:pt>
                <c:pt idx="1">
                  <c:v>72.0</c:v>
                </c:pt>
                <c:pt idx="2">
                  <c:v>90.0</c:v>
                </c:pt>
              </c:numCache>
            </c:numRef>
          </c:xVal>
          <c:yVal>
            <c:numRef>
              <c:f>Percentiles!$C$111:$E$111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Percentiles!$A$112</c:f>
              <c:strCache>
                <c:ptCount val="1"/>
                <c:pt idx="0">
                  <c:v>Animals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AC090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66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816964055750752"/>
                  <c:y val="-0.056227273084731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66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47.0</c:v>
                </c:pt>
                <c:pt idx="1">
                  <c:v>72.0</c:v>
                </c:pt>
                <c:pt idx="2">
                  <c:v>90.0</c:v>
                </c:pt>
              </c:numCache>
            </c:numRef>
          </c:xVal>
          <c:yVal>
            <c:numRef>
              <c:f>Percentiles!$C$112:$E$112</c:f>
              <c:numCache>
                <c:formatCode>0.000</c:formatCode>
                <c:ptCount val="3"/>
                <c:pt idx="0">
                  <c:v>80.87062973239878</c:v>
                </c:pt>
                <c:pt idx="1">
                  <c:v>460.3983757788656</c:v>
                </c:pt>
                <c:pt idx="2">
                  <c:v>2073.588963179303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Percentiles!$A$114</c:f>
              <c:strCache>
                <c:ptCount val="1"/>
                <c:pt idx="0">
                  <c:v>Labour - casual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9694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808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78549659290863"/>
                  <c:y val="-0.3669167922537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47.0</c:v>
                </c:pt>
                <c:pt idx="1">
                  <c:v>72.0</c:v>
                </c:pt>
                <c:pt idx="2">
                  <c:v>90.0</c:v>
                </c:pt>
              </c:numCache>
            </c:numRef>
          </c:xVal>
          <c:yVal>
            <c:numRef>
              <c:f>Percentiles!$C$114:$E$114</c:f>
              <c:numCache>
                <c:formatCode>0.000</c:formatCode>
                <c:ptCount val="3"/>
                <c:pt idx="0">
                  <c:v>257.6291306478927</c:v>
                </c:pt>
                <c:pt idx="1">
                  <c:v>-995.5776080530205</c:v>
                </c:pt>
                <c:pt idx="2">
                  <c:v>0.0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Percentiles!$A$115</c:f>
              <c:strCache>
                <c:ptCount val="1"/>
                <c:pt idx="0">
                  <c:v>Labour - formal emp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33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476769435143113"/>
                  <c:y val="0.30236643271770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33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47.0</c:v>
                </c:pt>
                <c:pt idx="1">
                  <c:v>72.0</c:v>
                </c:pt>
                <c:pt idx="2">
                  <c:v>90.0</c:v>
                </c:pt>
              </c:numCache>
            </c:numRef>
          </c:xVal>
          <c:yVal>
            <c:numRef>
              <c:f>Percentiles!$C$115:$E$115</c:f>
              <c:numCache>
                <c:formatCode>0.000</c:formatCode>
                <c:ptCount val="3"/>
                <c:pt idx="0">
                  <c:v>582.2685340732712</c:v>
                </c:pt>
                <c:pt idx="1">
                  <c:v>4306.07892640233</c:v>
                </c:pt>
                <c:pt idx="2">
                  <c:v>13992.26936471993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Percentiles!$A$117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C66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176797809678449"/>
                  <c:y val="0.2010107971513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99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47.0</c:v>
                </c:pt>
                <c:pt idx="1">
                  <c:v>72.0</c:v>
                </c:pt>
                <c:pt idx="2">
                  <c:v>90.0</c:v>
                </c:pt>
              </c:numCache>
            </c:numRef>
          </c:xVal>
          <c:yVal>
            <c:numRef>
              <c:f>Percentiles!$C$117:$E$117</c:f>
              <c:numCache>
                <c:formatCode>0.000</c:formatCode>
                <c:ptCount val="3"/>
                <c:pt idx="0">
                  <c:v>38.81790227155141</c:v>
                </c:pt>
                <c:pt idx="1">
                  <c:v>-64.99741775701632</c:v>
                </c:pt>
                <c:pt idx="2">
                  <c:v>0.0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Percentiles!$A$120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D9D9"/>
              </a:solidFill>
              <a:ln>
                <a:solidFill>
                  <a:srgbClr val="C0C0C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0C0C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2777509800058"/>
                  <c:y val="0.1897620565966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0C0C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47.0</c:v>
                </c:pt>
                <c:pt idx="1">
                  <c:v>72.0</c:v>
                </c:pt>
                <c:pt idx="2">
                  <c:v>90.0</c:v>
                </c:pt>
              </c:numCache>
            </c:numRef>
          </c:xVal>
          <c:yVal>
            <c:numRef>
              <c:f>Percentiles!$C$120:$E$120</c:f>
              <c:numCache>
                <c:formatCode>0.000</c:formatCode>
                <c:ptCount val="3"/>
                <c:pt idx="0">
                  <c:v>194.0895113577571</c:v>
                </c:pt>
                <c:pt idx="1">
                  <c:v>-324.9870887850816</c:v>
                </c:pt>
                <c:pt idx="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9502456"/>
        <c:axId val="-2069506824"/>
      </c:scatterChart>
      <c:valAx>
        <c:axId val="-2069492472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69496744"/>
        <c:crosses val="autoZero"/>
        <c:crossBetween val="midCat"/>
      </c:valAx>
      <c:valAx>
        <c:axId val="-2069496744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ysDash"/>
            </a:ln>
          </c:spPr>
        </c:minorGridlines>
        <c:numFmt formatCode="0.000" sourceLinked="1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69492472"/>
        <c:crosses val="autoZero"/>
        <c:crossBetween val="midCat"/>
      </c:valAx>
      <c:valAx>
        <c:axId val="-2069502456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one"/>
        <c:crossAx val="-2069506824"/>
        <c:crosses val="autoZero"/>
        <c:crossBetween val="midCat"/>
      </c:valAx>
      <c:valAx>
        <c:axId val="-2069506824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69502456"/>
        <c:crosses val="max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0000651822496"/>
          <c:y val="0.0385852090032154"/>
          <c:w val="0.981788861657194"/>
          <c:h val="0.94212319923032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Percentiles!$A$59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Percentiles!$F$59:$DA$59</c:f>
              <c:numCache>
                <c:formatCode>0</c:formatCode>
                <c:ptCount val="100"/>
                <c:pt idx="0">
                  <c:v>2273.002257565641</c:v>
                </c:pt>
                <c:pt idx="1">
                  <c:v>2273.002257565641</c:v>
                </c:pt>
                <c:pt idx="2">
                  <c:v>2273.002257565641</c:v>
                </c:pt>
                <c:pt idx="3">
                  <c:v>2273.002257565641</c:v>
                </c:pt>
                <c:pt idx="4">
                  <c:v>2273.002257565641</c:v>
                </c:pt>
                <c:pt idx="5">
                  <c:v>2273.002257565641</c:v>
                </c:pt>
                <c:pt idx="6">
                  <c:v>2273.002257565641</c:v>
                </c:pt>
                <c:pt idx="7">
                  <c:v>2273.002257565641</c:v>
                </c:pt>
                <c:pt idx="8">
                  <c:v>2273.002257565641</c:v>
                </c:pt>
                <c:pt idx="9">
                  <c:v>2273.002257565641</c:v>
                </c:pt>
                <c:pt idx="10">
                  <c:v>2273.002257565641</c:v>
                </c:pt>
                <c:pt idx="11">
                  <c:v>2273.002257565641</c:v>
                </c:pt>
                <c:pt idx="12">
                  <c:v>2273.002257565641</c:v>
                </c:pt>
                <c:pt idx="13">
                  <c:v>2273.002257565641</c:v>
                </c:pt>
                <c:pt idx="14">
                  <c:v>2273.002257565641</c:v>
                </c:pt>
                <c:pt idx="15">
                  <c:v>2273.002257565641</c:v>
                </c:pt>
                <c:pt idx="16">
                  <c:v>2273.002257565641</c:v>
                </c:pt>
                <c:pt idx="17">
                  <c:v>2273.002257565641</c:v>
                </c:pt>
                <c:pt idx="18">
                  <c:v>2273.002257565641</c:v>
                </c:pt>
                <c:pt idx="19">
                  <c:v>2273.002257565641</c:v>
                </c:pt>
                <c:pt idx="20">
                  <c:v>2273.002257565641</c:v>
                </c:pt>
                <c:pt idx="21">
                  <c:v>2273.002257565641</c:v>
                </c:pt>
                <c:pt idx="22">
                  <c:v>2273.002257565641</c:v>
                </c:pt>
                <c:pt idx="23">
                  <c:v>2273.002257565641</c:v>
                </c:pt>
                <c:pt idx="24">
                  <c:v>2306.645987152306</c:v>
                </c:pt>
                <c:pt idx="25">
                  <c:v>2373.933446325636</c:v>
                </c:pt>
                <c:pt idx="26">
                  <c:v>2441.220905498965</c:v>
                </c:pt>
                <c:pt idx="27">
                  <c:v>2508.508364672295</c:v>
                </c:pt>
                <c:pt idx="28">
                  <c:v>2575.795823845625</c:v>
                </c:pt>
                <c:pt idx="29">
                  <c:v>2643.083283018955</c:v>
                </c:pt>
                <c:pt idx="30">
                  <c:v>2710.370742192284</c:v>
                </c:pt>
                <c:pt idx="31">
                  <c:v>2777.658201365614</c:v>
                </c:pt>
                <c:pt idx="32">
                  <c:v>2844.945660538944</c:v>
                </c:pt>
                <c:pt idx="33">
                  <c:v>2912.233119712273</c:v>
                </c:pt>
                <c:pt idx="34">
                  <c:v>2979.520578885603</c:v>
                </c:pt>
                <c:pt idx="35">
                  <c:v>3046.808038058933</c:v>
                </c:pt>
                <c:pt idx="36">
                  <c:v>3114.095497232262</c:v>
                </c:pt>
                <c:pt idx="37">
                  <c:v>3181.382956405592</c:v>
                </c:pt>
                <c:pt idx="38">
                  <c:v>3248.670415578922</c:v>
                </c:pt>
                <c:pt idx="39">
                  <c:v>3315.957874752252</c:v>
                </c:pt>
                <c:pt idx="40">
                  <c:v>3383.245333925582</c:v>
                </c:pt>
                <c:pt idx="41">
                  <c:v>3450.532793098911</c:v>
                </c:pt>
                <c:pt idx="42">
                  <c:v>3517.82025227224</c:v>
                </c:pt>
                <c:pt idx="43">
                  <c:v>3585.10771144557</c:v>
                </c:pt>
                <c:pt idx="44">
                  <c:v>3652.3951706189</c:v>
                </c:pt>
                <c:pt idx="45">
                  <c:v>3719.68262979223</c:v>
                </c:pt>
                <c:pt idx="46">
                  <c:v>3786.97008896556</c:v>
                </c:pt>
                <c:pt idx="47">
                  <c:v>3854.257548138889</c:v>
                </c:pt>
                <c:pt idx="48">
                  <c:v>3921.54500731222</c:v>
                </c:pt>
                <c:pt idx="49">
                  <c:v>3988.83246648555</c:v>
                </c:pt>
                <c:pt idx="50">
                  <c:v>4056.119925658878</c:v>
                </c:pt>
                <c:pt idx="51">
                  <c:v>4123.407384832208</c:v>
                </c:pt>
                <c:pt idx="52">
                  <c:v>4190.694844005538</c:v>
                </c:pt>
                <c:pt idx="53">
                  <c:v>4257.982303178867</c:v>
                </c:pt>
                <c:pt idx="54">
                  <c:v>4325.269762352197</c:v>
                </c:pt>
                <c:pt idx="55">
                  <c:v>4392.557221525526</c:v>
                </c:pt>
                <c:pt idx="56">
                  <c:v>4459.844680698856</c:v>
                </c:pt>
                <c:pt idx="57">
                  <c:v>4527.132139872186</c:v>
                </c:pt>
                <c:pt idx="58">
                  <c:v>4594.419599045515</c:v>
                </c:pt>
                <c:pt idx="59">
                  <c:v>4661.707058218846</c:v>
                </c:pt>
                <c:pt idx="60">
                  <c:v>4713.919358691792</c:v>
                </c:pt>
                <c:pt idx="61">
                  <c:v>4751.056500464353</c:v>
                </c:pt>
                <c:pt idx="62">
                  <c:v>4788.193642236914</c:v>
                </c:pt>
                <c:pt idx="63">
                  <c:v>4825.330784009476</c:v>
                </c:pt>
                <c:pt idx="64">
                  <c:v>4862.467925782037</c:v>
                </c:pt>
                <c:pt idx="65">
                  <c:v>4899.605067554598</c:v>
                </c:pt>
                <c:pt idx="66">
                  <c:v>4936.74220932716</c:v>
                </c:pt>
                <c:pt idx="67">
                  <c:v>4973.879351099721</c:v>
                </c:pt>
                <c:pt idx="68">
                  <c:v>5011.016492872282</c:v>
                </c:pt>
                <c:pt idx="69">
                  <c:v>5048.153634644843</c:v>
                </c:pt>
                <c:pt idx="70">
                  <c:v>5085.290776417405</c:v>
                </c:pt>
                <c:pt idx="71">
                  <c:v>5122.427918189966</c:v>
                </c:pt>
                <c:pt idx="72">
                  <c:v>5159.565059962527</c:v>
                </c:pt>
                <c:pt idx="73">
                  <c:v>5196.70220173509</c:v>
                </c:pt>
                <c:pt idx="74">
                  <c:v>5233.83934350765</c:v>
                </c:pt>
                <c:pt idx="75">
                  <c:v>5270.976485280212</c:v>
                </c:pt>
                <c:pt idx="76">
                  <c:v>5308.113627052773</c:v>
                </c:pt>
                <c:pt idx="77">
                  <c:v>5345.250768825334</c:v>
                </c:pt>
                <c:pt idx="78">
                  <c:v>5382.387910597896</c:v>
                </c:pt>
                <c:pt idx="79">
                  <c:v>5419.525052370457</c:v>
                </c:pt>
                <c:pt idx="80">
                  <c:v>5456.662194143018</c:v>
                </c:pt>
                <c:pt idx="81">
                  <c:v>5493.79933591558</c:v>
                </c:pt>
                <c:pt idx="82">
                  <c:v>5357.72018482773</c:v>
                </c:pt>
                <c:pt idx="83">
                  <c:v>5221.641033739877</c:v>
                </c:pt>
                <c:pt idx="84">
                  <c:v>5085.561882652026</c:v>
                </c:pt>
                <c:pt idx="85">
                  <c:v>4949.482731564176</c:v>
                </c:pt>
                <c:pt idx="86">
                  <c:v>4813.403580476324</c:v>
                </c:pt>
                <c:pt idx="87">
                  <c:v>4677.324429388473</c:v>
                </c:pt>
                <c:pt idx="88">
                  <c:v>4541.245278300623</c:v>
                </c:pt>
                <c:pt idx="89">
                  <c:v>4405.16612721277</c:v>
                </c:pt>
                <c:pt idx="90">
                  <c:v>4269.08697612492</c:v>
                </c:pt>
                <c:pt idx="91">
                  <c:v>4133.00782503707</c:v>
                </c:pt>
                <c:pt idx="92">
                  <c:v>3996.928673949218</c:v>
                </c:pt>
                <c:pt idx="93">
                  <c:v>3860.849522861367</c:v>
                </c:pt>
                <c:pt idx="94">
                  <c:v>3724.770371773516</c:v>
                </c:pt>
                <c:pt idx="95">
                  <c:v>3588.691220685665</c:v>
                </c:pt>
                <c:pt idx="96">
                  <c:v>3695.051220685665</c:v>
                </c:pt>
                <c:pt idx="97">
                  <c:v>3801.411220685665</c:v>
                </c:pt>
                <c:pt idx="98">
                  <c:v>3907.771220685665</c:v>
                </c:pt>
                <c:pt idx="99">
                  <c:v>4014.131220685666</c:v>
                </c:pt>
              </c:numCache>
            </c:numRef>
          </c:val>
        </c:ser>
        <c:ser>
          <c:idx val="1"/>
          <c:order val="1"/>
          <c:tx>
            <c:strRef>
              <c:f>Percentiles!$A$60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Percentiles!$F$60:$DA$60</c:f>
              <c:numCache>
                <c:formatCode>0</c:formatCode>
                <c:ptCount val="100"/>
                <c:pt idx="0">
                  <c:v>9652.663979438455</c:v>
                </c:pt>
                <c:pt idx="1">
                  <c:v>9312.403979438455</c:v>
                </c:pt>
                <c:pt idx="2">
                  <c:v>8972.143979438457</c:v>
                </c:pt>
                <c:pt idx="3">
                  <c:v>8631.883979438457</c:v>
                </c:pt>
                <c:pt idx="4">
                  <c:v>8291.623979438456</c:v>
                </c:pt>
                <c:pt idx="5">
                  <c:v>7951.363979438456</c:v>
                </c:pt>
                <c:pt idx="6">
                  <c:v>7611.103979438456</c:v>
                </c:pt>
                <c:pt idx="7">
                  <c:v>7270.843979438456</c:v>
                </c:pt>
                <c:pt idx="8">
                  <c:v>6930.583979438456</c:v>
                </c:pt>
                <c:pt idx="9">
                  <c:v>6590.323979438455</c:v>
                </c:pt>
                <c:pt idx="10">
                  <c:v>6250.063979438456</c:v>
                </c:pt>
                <c:pt idx="11">
                  <c:v>5909.803979438456</c:v>
                </c:pt>
                <c:pt idx="12">
                  <c:v>5569.543979438456</c:v>
                </c:pt>
                <c:pt idx="13">
                  <c:v>5229.283979438456</c:v>
                </c:pt>
                <c:pt idx="14">
                  <c:v>4889.023979438456</c:v>
                </c:pt>
                <c:pt idx="15">
                  <c:v>4548.763979438456</c:v>
                </c:pt>
                <c:pt idx="16">
                  <c:v>4208.503979438456</c:v>
                </c:pt>
                <c:pt idx="17">
                  <c:v>3868.243979438456</c:v>
                </c:pt>
                <c:pt idx="18">
                  <c:v>3527.983979438456</c:v>
                </c:pt>
                <c:pt idx="19">
                  <c:v>3187.723979438456</c:v>
                </c:pt>
                <c:pt idx="20">
                  <c:v>2847.463979438456</c:v>
                </c:pt>
                <c:pt idx="21">
                  <c:v>2507.203979438456</c:v>
                </c:pt>
                <c:pt idx="22">
                  <c:v>2166.943979438456</c:v>
                </c:pt>
                <c:pt idx="23">
                  <c:v>1826.683979438456</c:v>
                </c:pt>
                <c:pt idx="24">
                  <c:v>1687.628518913131</c:v>
                </c:pt>
                <c:pt idx="25">
                  <c:v>1749.77759786248</c:v>
                </c:pt>
                <c:pt idx="26">
                  <c:v>1811.926676811828</c:v>
                </c:pt>
                <c:pt idx="27">
                  <c:v>1874.075755761176</c:v>
                </c:pt>
                <c:pt idx="28">
                  <c:v>1936.224834710524</c:v>
                </c:pt>
                <c:pt idx="29">
                  <c:v>1998.373913659873</c:v>
                </c:pt>
                <c:pt idx="30">
                  <c:v>2060.522992609222</c:v>
                </c:pt>
                <c:pt idx="31">
                  <c:v>2122.67207155857</c:v>
                </c:pt>
                <c:pt idx="32">
                  <c:v>2184.821150507918</c:v>
                </c:pt>
                <c:pt idx="33">
                  <c:v>2246.970229457267</c:v>
                </c:pt>
                <c:pt idx="34">
                  <c:v>2309.119308406615</c:v>
                </c:pt>
                <c:pt idx="35">
                  <c:v>2371.268387355964</c:v>
                </c:pt>
                <c:pt idx="36">
                  <c:v>2433.417466305312</c:v>
                </c:pt>
                <c:pt idx="37">
                  <c:v>2495.566545254661</c:v>
                </c:pt>
                <c:pt idx="38">
                  <c:v>2557.71562420401</c:v>
                </c:pt>
                <c:pt idx="39">
                  <c:v>2619.864703153358</c:v>
                </c:pt>
                <c:pt idx="40">
                  <c:v>2682.013782102707</c:v>
                </c:pt>
                <c:pt idx="41">
                  <c:v>2744.162861052055</c:v>
                </c:pt>
                <c:pt idx="42">
                  <c:v>2806.311940001403</c:v>
                </c:pt>
                <c:pt idx="43">
                  <c:v>2868.461018950752</c:v>
                </c:pt>
                <c:pt idx="44">
                  <c:v>2930.6100979001</c:v>
                </c:pt>
                <c:pt idx="45">
                  <c:v>2992.759176849448</c:v>
                </c:pt>
                <c:pt idx="46">
                  <c:v>3054.908255798797</c:v>
                </c:pt>
                <c:pt idx="47">
                  <c:v>3117.057334748146</c:v>
                </c:pt>
                <c:pt idx="48">
                  <c:v>3179.206413697494</c:v>
                </c:pt>
                <c:pt idx="49">
                  <c:v>3241.355492646842</c:v>
                </c:pt>
                <c:pt idx="50">
                  <c:v>3303.504571596191</c:v>
                </c:pt>
                <c:pt idx="51">
                  <c:v>3365.65365054554</c:v>
                </c:pt>
                <c:pt idx="52">
                  <c:v>3427.802729494888</c:v>
                </c:pt>
                <c:pt idx="53">
                  <c:v>3489.951808444237</c:v>
                </c:pt>
                <c:pt idx="54">
                  <c:v>3552.100887393585</c:v>
                </c:pt>
                <c:pt idx="55">
                  <c:v>3614.249966342933</c:v>
                </c:pt>
                <c:pt idx="56">
                  <c:v>3676.399045292282</c:v>
                </c:pt>
                <c:pt idx="57">
                  <c:v>3738.54812424163</c:v>
                </c:pt>
                <c:pt idx="58">
                  <c:v>3800.69720319098</c:v>
                </c:pt>
                <c:pt idx="59">
                  <c:v>3862.846282140328</c:v>
                </c:pt>
                <c:pt idx="60">
                  <c:v>3985.323440335806</c:v>
                </c:pt>
                <c:pt idx="61">
                  <c:v>4168.128677777413</c:v>
                </c:pt>
                <c:pt idx="62">
                  <c:v>4350.933915219022</c:v>
                </c:pt>
                <c:pt idx="63">
                  <c:v>4533.739152660631</c:v>
                </c:pt>
                <c:pt idx="64">
                  <c:v>4716.544390102239</c:v>
                </c:pt>
                <c:pt idx="65">
                  <c:v>4899.349627543847</c:v>
                </c:pt>
                <c:pt idx="66">
                  <c:v>5082.154864985455</c:v>
                </c:pt>
                <c:pt idx="67">
                  <c:v>5264.960102427064</c:v>
                </c:pt>
                <c:pt idx="68">
                  <c:v>5447.765339868672</c:v>
                </c:pt>
                <c:pt idx="69">
                  <c:v>5630.570577310281</c:v>
                </c:pt>
                <c:pt idx="70">
                  <c:v>5813.37581475189</c:v>
                </c:pt>
                <c:pt idx="71">
                  <c:v>5996.181052193497</c:v>
                </c:pt>
                <c:pt idx="72">
                  <c:v>6178.986289635106</c:v>
                </c:pt>
                <c:pt idx="73">
                  <c:v>6361.791527076713</c:v>
                </c:pt>
                <c:pt idx="74">
                  <c:v>6544.596764518322</c:v>
                </c:pt>
                <c:pt idx="75">
                  <c:v>6727.40200195993</c:v>
                </c:pt>
                <c:pt idx="76">
                  <c:v>6910.20723940154</c:v>
                </c:pt>
                <c:pt idx="77">
                  <c:v>7093.012476843146</c:v>
                </c:pt>
                <c:pt idx="78">
                  <c:v>7275.817714284756</c:v>
                </c:pt>
                <c:pt idx="79">
                  <c:v>7458.622951726363</c:v>
                </c:pt>
                <c:pt idx="80">
                  <c:v>7641.428189167972</c:v>
                </c:pt>
                <c:pt idx="81">
                  <c:v>7824.23342660958</c:v>
                </c:pt>
                <c:pt idx="82">
                  <c:v>8676.469578202792</c:v>
                </c:pt>
                <c:pt idx="83">
                  <c:v>9528.705729796005</c:v>
                </c:pt>
                <c:pt idx="84">
                  <c:v>10380.94188138922</c:v>
                </c:pt>
                <c:pt idx="85">
                  <c:v>11233.17803298243</c:v>
                </c:pt>
                <c:pt idx="86">
                  <c:v>12085.41418457564</c:v>
                </c:pt>
                <c:pt idx="87">
                  <c:v>12937.65033616886</c:v>
                </c:pt>
                <c:pt idx="88">
                  <c:v>13789.88648776207</c:v>
                </c:pt>
                <c:pt idx="89">
                  <c:v>14642.12263935528</c:v>
                </c:pt>
                <c:pt idx="90">
                  <c:v>15494.35879094849</c:v>
                </c:pt>
                <c:pt idx="91">
                  <c:v>16346.59494254171</c:v>
                </c:pt>
                <c:pt idx="92">
                  <c:v>17198.83109413492</c:v>
                </c:pt>
                <c:pt idx="93">
                  <c:v>18051.06724572813</c:v>
                </c:pt>
                <c:pt idx="94">
                  <c:v>18903.30339732135</c:v>
                </c:pt>
                <c:pt idx="95">
                  <c:v>19755.53954891456</c:v>
                </c:pt>
                <c:pt idx="96">
                  <c:v>20480.39954891456</c:v>
                </c:pt>
                <c:pt idx="97">
                  <c:v>21205.25954891456</c:v>
                </c:pt>
                <c:pt idx="98">
                  <c:v>21930.11954891456</c:v>
                </c:pt>
                <c:pt idx="99">
                  <c:v>22654.97954891455</c:v>
                </c:pt>
              </c:numCache>
            </c:numRef>
          </c:val>
        </c:ser>
        <c:ser>
          <c:idx val="2"/>
          <c:order val="2"/>
          <c:tx>
            <c:strRef>
              <c:f>Percentiles!$A$61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Percentiles!$F$61:$DA$61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3.68039105023927</c:v>
                </c:pt>
                <c:pt idx="25">
                  <c:v>11.04117315071781</c:v>
                </c:pt>
                <c:pt idx="26">
                  <c:v>18.40195525119635</c:v>
                </c:pt>
                <c:pt idx="27">
                  <c:v>25.76273735167489</c:v>
                </c:pt>
                <c:pt idx="28">
                  <c:v>33.12351945215342</c:v>
                </c:pt>
                <c:pt idx="29">
                  <c:v>40.48430155263196</c:v>
                </c:pt>
                <c:pt idx="30">
                  <c:v>47.8450836531105</c:v>
                </c:pt>
                <c:pt idx="31">
                  <c:v>55.20586575358904</c:v>
                </c:pt>
                <c:pt idx="32">
                  <c:v>62.56664785406758</c:v>
                </c:pt>
                <c:pt idx="33">
                  <c:v>69.9274299545461</c:v>
                </c:pt>
                <c:pt idx="34">
                  <c:v>77.28821205502466</c:v>
                </c:pt>
                <c:pt idx="35">
                  <c:v>84.64899415550319</c:v>
                </c:pt>
                <c:pt idx="36">
                  <c:v>92.00977625598173</c:v>
                </c:pt>
                <c:pt idx="37">
                  <c:v>99.37055835646028</c:v>
                </c:pt>
                <c:pt idx="38">
                  <c:v>106.7313404569388</c:v>
                </c:pt>
                <c:pt idx="39">
                  <c:v>114.0921225574174</c:v>
                </c:pt>
                <c:pt idx="40">
                  <c:v>121.4529046578959</c:v>
                </c:pt>
                <c:pt idx="41">
                  <c:v>128.8136867583744</c:v>
                </c:pt>
                <c:pt idx="42">
                  <c:v>136.174468858853</c:v>
                </c:pt>
                <c:pt idx="43">
                  <c:v>143.5352509593315</c:v>
                </c:pt>
                <c:pt idx="44">
                  <c:v>150.89603305981</c:v>
                </c:pt>
                <c:pt idx="45">
                  <c:v>158.2568151602886</c:v>
                </c:pt>
                <c:pt idx="46">
                  <c:v>165.6175972607671</c:v>
                </c:pt>
                <c:pt idx="47">
                  <c:v>172.9783793612457</c:v>
                </c:pt>
                <c:pt idx="48">
                  <c:v>180.3391614617242</c:v>
                </c:pt>
                <c:pt idx="49">
                  <c:v>187.6999435622027</c:v>
                </c:pt>
                <c:pt idx="50">
                  <c:v>195.0607256626813</c:v>
                </c:pt>
                <c:pt idx="51">
                  <c:v>202.4215077631598</c:v>
                </c:pt>
                <c:pt idx="52">
                  <c:v>209.7822898636384</c:v>
                </c:pt>
                <c:pt idx="53">
                  <c:v>217.1430719641169</c:v>
                </c:pt>
                <c:pt idx="54">
                  <c:v>224.5038540645954</c:v>
                </c:pt>
                <c:pt idx="55">
                  <c:v>231.864636165074</c:v>
                </c:pt>
                <c:pt idx="56">
                  <c:v>239.2254182655525</c:v>
                </c:pt>
                <c:pt idx="57">
                  <c:v>246.5862003660311</c:v>
                </c:pt>
                <c:pt idx="58">
                  <c:v>253.9469824665096</c:v>
                </c:pt>
                <c:pt idx="59">
                  <c:v>261.3077645669881</c:v>
                </c:pt>
                <c:pt idx="60">
                  <c:v>272.7019984870603</c:v>
                </c:pt>
                <c:pt idx="61">
                  <c:v>288.129684226726</c:v>
                </c:pt>
                <c:pt idx="62">
                  <c:v>303.5573699663918</c:v>
                </c:pt>
                <c:pt idx="63">
                  <c:v>318.9850557060576</c:v>
                </c:pt>
                <c:pt idx="64">
                  <c:v>334.4127414457234</c:v>
                </c:pt>
                <c:pt idx="65">
                  <c:v>349.8404271853891</c:v>
                </c:pt>
                <c:pt idx="66">
                  <c:v>365.2681129250549</c:v>
                </c:pt>
                <c:pt idx="67">
                  <c:v>380.6957986647207</c:v>
                </c:pt>
                <c:pt idx="68">
                  <c:v>396.1234844043865</c:v>
                </c:pt>
                <c:pt idx="69">
                  <c:v>411.5511701440523</c:v>
                </c:pt>
                <c:pt idx="70">
                  <c:v>426.9788558837181</c:v>
                </c:pt>
                <c:pt idx="71">
                  <c:v>442.4065416233839</c:v>
                </c:pt>
                <c:pt idx="72">
                  <c:v>457.8342273630496</c:v>
                </c:pt>
                <c:pt idx="73">
                  <c:v>473.2619131027154</c:v>
                </c:pt>
                <c:pt idx="74">
                  <c:v>488.6895988423812</c:v>
                </c:pt>
                <c:pt idx="75">
                  <c:v>504.117284582047</c:v>
                </c:pt>
                <c:pt idx="76">
                  <c:v>519.5449703217127</c:v>
                </c:pt>
                <c:pt idx="77">
                  <c:v>534.9726560613785</c:v>
                </c:pt>
                <c:pt idx="78">
                  <c:v>550.4003418010443</c:v>
                </c:pt>
                <c:pt idx="79">
                  <c:v>565.8280275407101</c:v>
                </c:pt>
                <c:pt idx="80">
                  <c:v>581.2557132803758</c:v>
                </c:pt>
                <c:pt idx="81">
                  <c:v>596.6833990200416</c:v>
                </c:pt>
                <c:pt idx="82">
                  <c:v>730.0459364514796</c:v>
                </c:pt>
                <c:pt idx="83">
                  <c:v>863.4084738829176</c:v>
                </c:pt>
                <c:pt idx="84">
                  <c:v>996.7710113143557</c:v>
                </c:pt>
                <c:pt idx="85">
                  <c:v>1130.133548745794</c:v>
                </c:pt>
                <c:pt idx="86">
                  <c:v>1263.496086177232</c:v>
                </c:pt>
                <c:pt idx="87">
                  <c:v>1396.85862360867</c:v>
                </c:pt>
                <c:pt idx="88">
                  <c:v>1530.221161040108</c:v>
                </c:pt>
                <c:pt idx="89">
                  <c:v>1663.583698471546</c:v>
                </c:pt>
                <c:pt idx="90">
                  <c:v>1796.946235902984</c:v>
                </c:pt>
                <c:pt idx="91">
                  <c:v>1930.308773334422</c:v>
                </c:pt>
                <c:pt idx="92">
                  <c:v>2063.67131076586</c:v>
                </c:pt>
                <c:pt idx="93">
                  <c:v>2197.033848197298</c:v>
                </c:pt>
                <c:pt idx="94">
                  <c:v>2330.396385628736</c:v>
                </c:pt>
                <c:pt idx="95">
                  <c:v>2463.758923060174</c:v>
                </c:pt>
                <c:pt idx="96">
                  <c:v>2472.189923060174</c:v>
                </c:pt>
                <c:pt idx="97">
                  <c:v>2480.620923060174</c:v>
                </c:pt>
                <c:pt idx="98">
                  <c:v>2489.051923060174</c:v>
                </c:pt>
                <c:pt idx="99">
                  <c:v>2497.482923060174</c:v>
                </c:pt>
              </c:numCache>
            </c:numRef>
          </c:val>
        </c:ser>
        <c:ser>
          <c:idx val="3"/>
          <c:order val="3"/>
          <c:tx>
            <c:strRef>
              <c:f>Percentiles!$A$62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Percentiles!$F$62:$DA$62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Percentiles!$A$63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Percentiles!$F$63:$DA$63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40.4353148661994</c:v>
                </c:pt>
                <c:pt idx="25">
                  <c:v>121.3059445985982</c:v>
                </c:pt>
                <c:pt idx="26">
                  <c:v>202.176574330997</c:v>
                </c:pt>
                <c:pt idx="27">
                  <c:v>283.0472040633957</c:v>
                </c:pt>
                <c:pt idx="28">
                  <c:v>363.9178337957945</c:v>
                </c:pt>
                <c:pt idx="29">
                  <c:v>444.7884635281933</c:v>
                </c:pt>
                <c:pt idx="30">
                  <c:v>525.659093260592</c:v>
                </c:pt>
                <c:pt idx="31">
                  <c:v>606.5297229929909</c:v>
                </c:pt>
                <c:pt idx="32">
                  <c:v>687.4003527253897</c:v>
                </c:pt>
                <c:pt idx="33">
                  <c:v>768.2709824577884</c:v>
                </c:pt>
                <c:pt idx="34">
                  <c:v>849.1416121901872</c:v>
                </c:pt>
                <c:pt idx="35">
                  <c:v>930.012241922586</c:v>
                </c:pt>
                <c:pt idx="36">
                  <c:v>1010.882871654985</c:v>
                </c:pt>
                <c:pt idx="37">
                  <c:v>1091.753501387383</c:v>
                </c:pt>
                <c:pt idx="38">
                  <c:v>1172.624131119782</c:v>
                </c:pt>
                <c:pt idx="39">
                  <c:v>1253.494760852181</c:v>
                </c:pt>
                <c:pt idx="40">
                  <c:v>1334.36539058458</c:v>
                </c:pt>
                <c:pt idx="41">
                  <c:v>1415.236020316979</c:v>
                </c:pt>
                <c:pt idx="42">
                  <c:v>1496.106650049378</c:v>
                </c:pt>
                <c:pt idx="43">
                  <c:v>1576.977279781776</c:v>
                </c:pt>
                <c:pt idx="44">
                  <c:v>1657.847909514175</c:v>
                </c:pt>
                <c:pt idx="45">
                  <c:v>1738.718539246574</c:v>
                </c:pt>
                <c:pt idx="46">
                  <c:v>1819.589168978973</c:v>
                </c:pt>
                <c:pt idx="47">
                  <c:v>1900.459798711371</c:v>
                </c:pt>
                <c:pt idx="48">
                  <c:v>1981.33042844377</c:v>
                </c:pt>
                <c:pt idx="49">
                  <c:v>2062.201058176169</c:v>
                </c:pt>
                <c:pt idx="50">
                  <c:v>2143.071687908568</c:v>
                </c:pt>
                <c:pt idx="51">
                  <c:v>2223.942317640966</c:v>
                </c:pt>
                <c:pt idx="52">
                  <c:v>2304.812947373365</c:v>
                </c:pt>
                <c:pt idx="53">
                  <c:v>2385.683577105764</c:v>
                </c:pt>
                <c:pt idx="54">
                  <c:v>2466.554206838163</c:v>
                </c:pt>
                <c:pt idx="55">
                  <c:v>2547.424836570561</c:v>
                </c:pt>
                <c:pt idx="56">
                  <c:v>2628.29546630296</c:v>
                </c:pt>
                <c:pt idx="57">
                  <c:v>2709.16609603536</c:v>
                </c:pt>
                <c:pt idx="58">
                  <c:v>2790.036725767758</c:v>
                </c:pt>
                <c:pt idx="59">
                  <c:v>2870.907355500157</c:v>
                </c:pt>
                <c:pt idx="60">
                  <c:v>3141.54185825579</c:v>
                </c:pt>
                <c:pt idx="61">
                  <c:v>3601.940234034655</c:v>
                </c:pt>
                <c:pt idx="62">
                  <c:v>4062.338609813521</c:v>
                </c:pt>
                <c:pt idx="63">
                  <c:v>4522.736985592386</c:v>
                </c:pt>
                <c:pt idx="64">
                  <c:v>4983.135361371251</c:v>
                </c:pt>
                <c:pt idx="65">
                  <c:v>5443.533737150117</c:v>
                </c:pt>
                <c:pt idx="66">
                  <c:v>5903.932112928983</c:v>
                </c:pt>
                <c:pt idx="67">
                  <c:v>6364.330488707848</c:v>
                </c:pt>
                <c:pt idx="68">
                  <c:v>6824.728864486713</c:v>
                </c:pt>
                <c:pt idx="69">
                  <c:v>7285.12724026558</c:v>
                </c:pt>
                <c:pt idx="70">
                  <c:v>7745.525616044445</c:v>
                </c:pt>
                <c:pt idx="71">
                  <c:v>8205.923991823311</c:v>
                </c:pt>
                <c:pt idx="72">
                  <c:v>8666.322367602177</c:v>
                </c:pt>
                <c:pt idx="73">
                  <c:v>9126.72074338104</c:v>
                </c:pt>
                <c:pt idx="74">
                  <c:v>9587.119119159906</c:v>
                </c:pt>
                <c:pt idx="75">
                  <c:v>10047.51749493877</c:v>
                </c:pt>
                <c:pt idx="76">
                  <c:v>10507.91587071764</c:v>
                </c:pt>
                <c:pt idx="77">
                  <c:v>10968.31424649651</c:v>
                </c:pt>
                <c:pt idx="78">
                  <c:v>11428.71262227537</c:v>
                </c:pt>
                <c:pt idx="79">
                  <c:v>11889.11099805424</c:v>
                </c:pt>
                <c:pt idx="80">
                  <c:v>12349.5093738331</c:v>
                </c:pt>
                <c:pt idx="81">
                  <c:v>12809.90774961197</c:v>
                </c:pt>
                <c:pt idx="82">
                  <c:v>14883.49671279127</c:v>
                </c:pt>
                <c:pt idx="83">
                  <c:v>16957.08567597057</c:v>
                </c:pt>
                <c:pt idx="84">
                  <c:v>19030.67463914987</c:v>
                </c:pt>
                <c:pt idx="85">
                  <c:v>21104.26360232918</c:v>
                </c:pt>
                <c:pt idx="86">
                  <c:v>23177.85256550848</c:v>
                </c:pt>
                <c:pt idx="87">
                  <c:v>25251.44152868778</c:v>
                </c:pt>
                <c:pt idx="88">
                  <c:v>27325.03049186709</c:v>
                </c:pt>
                <c:pt idx="89">
                  <c:v>29398.61945504639</c:v>
                </c:pt>
                <c:pt idx="90">
                  <c:v>31472.2084182257</c:v>
                </c:pt>
                <c:pt idx="91">
                  <c:v>33545.797381405</c:v>
                </c:pt>
                <c:pt idx="92">
                  <c:v>35619.3863445843</c:v>
                </c:pt>
                <c:pt idx="93">
                  <c:v>37692.9753077636</c:v>
                </c:pt>
                <c:pt idx="94">
                  <c:v>39766.5642709429</c:v>
                </c:pt>
                <c:pt idx="95">
                  <c:v>41840.1532341222</c:v>
                </c:pt>
                <c:pt idx="96">
                  <c:v>41840.1532341222</c:v>
                </c:pt>
                <c:pt idx="97">
                  <c:v>41840.1532341222</c:v>
                </c:pt>
                <c:pt idx="98">
                  <c:v>41840.1532341222</c:v>
                </c:pt>
                <c:pt idx="99">
                  <c:v>41840.1532341222</c:v>
                </c:pt>
              </c:numCache>
            </c:numRef>
          </c:val>
        </c:ser>
        <c:ser>
          <c:idx val="5"/>
          <c:order val="5"/>
          <c:tx>
            <c:strRef>
              <c:f>Percentiles!$A$64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Percentiles!$F$64:$DA$64</c:f>
              <c:numCache>
                <c:formatCode>0</c:formatCode>
                <c:ptCount val="100"/>
                <c:pt idx="0">
                  <c:v>2081.529140348738</c:v>
                </c:pt>
                <c:pt idx="1">
                  <c:v>2081.529140348738</c:v>
                </c:pt>
                <c:pt idx="2">
                  <c:v>2081.529140348738</c:v>
                </c:pt>
                <c:pt idx="3">
                  <c:v>2081.529140348738</c:v>
                </c:pt>
                <c:pt idx="4">
                  <c:v>2081.529140348738</c:v>
                </c:pt>
                <c:pt idx="5">
                  <c:v>2081.529140348738</c:v>
                </c:pt>
                <c:pt idx="6">
                  <c:v>2081.529140348738</c:v>
                </c:pt>
                <c:pt idx="7">
                  <c:v>2081.529140348738</c:v>
                </c:pt>
                <c:pt idx="8">
                  <c:v>2081.529140348738</c:v>
                </c:pt>
                <c:pt idx="9">
                  <c:v>2081.529140348738</c:v>
                </c:pt>
                <c:pt idx="10">
                  <c:v>2081.529140348738</c:v>
                </c:pt>
                <c:pt idx="11">
                  <c:v>2081.529140348738</c:v>
                </c:pt>
                <c:pt idx="12">
                  <c:v>2081.529140348738</c:v>
                </c:pt>
                <c:pt idx="13">
                  <c:v>2081.529140348738</c:v>
                </c:pt>
                <c:pt idx="14">
                  <c:v>2081.529140348738</c:v>
                </c:pt>
                <c:pt idx="15">
                  <c:v>2081.529140348738</c:v>
                </c:pt>
                <c:pt idx="16">
                  <c:v>2081.529140348738</c:v>
                </c:pt>
                <c:pt idx="17">
                  <c:v>2081.529140348738</c:v>
                </c:pt>
                <c:pt idx="18">
                  <c:v>2081.529140348738</c:v>
                </c:pt>
                <c:pt idx="19">
                  <c:v>2081.529140348738</c:v>
                </c:pt>
                <c:pt idx="20">
                  <c:v>2081.529140348738</c:v>
                </c:pt>
                <c:pt idx="21">
                  <c:v>2081.529140348738</c:v>
                </c:pt>
                <c:pt idx="22">
                  <c:v>2081.529140348738</c:v>
                </c:pt>
                <c:pt idx="23">
                  <c:v>2081.529140348738</c:v>
                </c:pt>
                <c:pt idx="24">
                  <c:v>2099.726155218572</c:v>
                </c:pt>
                <c:pt idx="25">
                  <c:v>2136.12018495824</c:v>
                </c:pt>
                <c:pt idx="26">
                  <c:v>2172.514214697909</c:v>
                </c:pt>
                <c:pt idx="27">
                  <c:v>2208.908244437578</c:v>
                </c:pt>
                <c:pt idx="28">
                  <c:v>2245.302274177246</c:v>
                </c:pt>
                <c:pt idx="29">
                  <c:v>2281.696303916915</c:v>
                </c:pt>
                <c:pt idx="30">
                  <c:v>2318.090333656583</c:v>
                </c:pt>
                <c:pt idx="31">
                  <c:v>2354.484363396251</c:v>
                </c:pt>
                <c:pt idx="32">
                  <c:v>2390.87839313592</c:v>
                </c:pt>
                <c:pt idx="33">
                  <c:v>2427.272422875588</c:v>
                </c:pt>
                <c:pt idx="34">
                  <c:v>2463.666452615257</c:v>
                </c:pt>
                <c:pt idx="35">
                  <c:v>2500.060482354926</c:v>
                </c:pt>
                <c:pt idx="36">
                  <c:v>2536.454512094594</c:v>
                </c:pt>
                <c:pt idx="37">
                  <c:v>2572.848541834263</c:v>
                </c:pt>
                <c:pt idx="38">
                  <c:v>2609.242571573931</c:v>
                </c:pt>
                <c:pt idx="39">
                  <c:v>2645.6366013136</c:v>
                </c:pt>
                <c:pt idx="40">
                  <c:v>2682.030631053268</c:v>
                </c:pt>
                <c:pt idx="41">
                  <c:v>2718.424660792937</c:v>
                </c:pt>
                <c:pt idx="42">
                  <c:v>2754.818690532606</c:v>
                </c:pt>
                <c:pt idx="43">
                  <c:v>2791.212720272274</c:v>
                </c:pt>
                <c:pt idx="44">
                  <c:v>2827.606750011942</c:v>
                </c:pt>
                <c:pt idx="45">
                  <c:v>2864.000779751611</c:v>
                </c:pt>
                <c:pt idx="46">
                  <c:v>2900.394809491279</c:v>
                </c:pt>
                <c:pt idx="47">
                  <c:v>2936.788839230948</c:v>
                </c:pt>
                <c:pt idx="48">
                  <c:v>2973.182868970616</c:v>
                </c:pt>
                <c:pt idx="49">
                  <c:v>3009.576898710285</c:v>
                </c:pt>
                <c:pt idx="50">
                  <c:v>3045.970928449954</c:v>
                </c:pt>
                <c:pt idx="51">
                  <c:v>3082.364958189622</c:v>
                </c:pt>
                <c:pt idx="52">
                  <c:v>3118.758987929291</c:v>
                </c:pt>
                <c:pt idx="53">
                  <c:v>3155.15301766896</c:v>
                </c:pt>
                <c:pt idx="54">
                  <c:v>3191.547047408628</c:v>
                </c:pt>
                <c:pt idx="55">
                  <c:v>3227.941077148296</c:v>
                </c:pt>
                <c:pt idx="56">
                  <c:v>3264.335106887964</c:v>
                </c:pt>
                <c:pt idx="57">
                  <c:v>3300.729136627633</c:v>
                </c:pt>
                <c:pt idx="58">
                  <c:v>3337.123166367302</c:v>
                </c:pt>
                <c:pt idx="59">
                  <c:v>3373.51719610697</c:v>
                </c:pt>
                <c:pt idx="60">
                  <c:v>3312.837136302925</c:v>
                </c:pt>
                <c:pt idx="61">
                  <c:v>3155.082986955167</c:v>
                </c:pt>
                <c:pt idx="62">
                  <c:v>2997.328837607409</c:v>
                </c:pt>
                <c:pt idx="63">
                  <c:v>2839.57468825965</c:v>
                </c:pt>
                <c:pt idx="64">
                  <c:v>2681.820538911892</c:v>
                </c:pt>
                <c:pt idx="65">
                  <c:v>2524.066389564134</c:v>
                </c:pt>
                <c:pt idx="66">
                  <c:v>2366.312240216375</c:v>
                </c:pt>
                <c:pt idx="67">
                  <c:v>2208.558090868617</c:v>
                </c:pt>
                <c:pt idx="68">
                  <c:v>2050.803941520859</c:v>
                </c:pt>
                <c:pt idx="69">
                  <c:v>1893.0497921731</c:v>
                </c:pt>
                <c:pt idx="70">
                  <c:v>1735.295642825342</c:v>
                </c:pt>
                <c:pt idx="71">
                  <c:v>1577.541493477584</c:v>
                </c:pt>
                <c:pt idx="72">
                  <c:v>1419.787344129825</c:v>
                </c:pt>
                <c:pt idx="73">
                  <c:v>1262.033194782067</c:v>
                </c:pt>
                <c:pt idx="74">
                  <c:v>1104.279045434309</c:v>
                </c:pt>
                <c:pt idx="75">
                  <c:v>946.5248960865501</c:v>
                </c:pt>
                <c:pt idx="76">
                  <c:v>788.7707467387917</c:v>
                </c:pt>
                <c:pt idx="77">
                  <c:v>631.0165973910334</c:v>
                </c:pt>
                <c:pt idx="78">
                  <c:v>473.2624480432751</c:v>
                </c:pt>
                <c:pt idx="79">
                  <c:v>315.5082986955167</c:v>
                </c:pt>
                <c:pt idx="80">
                  <c:v>157.7541493477584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52.18999999999988</c:v>
                </c:pt>
                <c:pt idx="97">
                  <c:v>104.3799999999998</c:v>
                </c:pt>
                <c:pt idx="98">
                  <c:v>156.5699999999997</c:v>
                </c:pt>
                <c:pt idx="99">
                  <c:v>208.7599999999995</c:v>
                </c:pt>
              </c:numCache>
            </c:numRef>
          </c:val>
        </c:ser>
        <c:ser>
          <c:idx val="6"/>
          <c:order val="6"/>
          <c:tx>
            <c:strRef>
              <c:f>Percentiles!$A$65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Percentiles!$F$65:$DA$65</c:f>
              <c:numCache>
                <c:formatCode>0</c:formatCode>
                <c:ptCount val="100"/>
                <c:pt idx="0">
                  <c:v>12130.2698698158</c:v>
                </c:pt>
                <c:pt idx="1">
                  <c:v>12130.2698698158</c:v>
                </c:pt>
                <c:pt idx="2">
                  <c:v>12130.2698698158</c:v>
                </c:pt>
                <c:pt idx="3">
                  <c:v>12130.2698698158</c:v>
                </c:pt>
                <c:pt idx="4">
                  <c:v>12130.2698698158</c:v>
                </c:pt>
                <c:pt idx="5">
                  <c:v>12130.2698698158</c:v>
                </c:pt>
                <c:pt idx="6">
                  <c:v>12130.2698698158</c:v>
                </c:pt>
                <c:pt idx="7">
                  <c:v>12130.2698698158</c:v>
                </c:pt>
                <c:pt idx="8">
                  <c:v>12130.2698698158</c:v>
                </c:pt>
                <c:pt idx="9">
                  <c:v>12130.2698698158</c:v>
                </c:pt>
                <c:pt idx="10">
                  <c:v>12130.2698698158</c:v>
                </c:pt>
                <c:pt idx="11">
                  <c:v>12130.2698698158</c:v>
                </c:pt>
                <c:pt idx="12">
                  <c:v>12130.2698698158</c:v>
                </c:pt>
                <c:pt idx="13">
                  <c:v>12130.2698698158</c:v>
                </c:pt>
                <c:pt idx="14">
                  <c:v>12130.2698698158</c:v>
                </c:pt>
                <c:pt idx="15">
                  <c:v>12130.2698698158</c:v>
                </c:pt>
                <c:pt idx="16">
                  <c:v>12130.2698698158</c:v>
                </c:pt>
                <c:pt idx="17">
                  <c:v>12130.2698698158</c:v>
                </c:pt>
                <c:pt idx="18">
                  <c:v>12130.2698698158</c:v>
                </c:pt>
                <c:pt idx="19">
                  <c:v>12130.2698698158</c:v>
                </c:pt>
                <c:pt idx="20">
                  <c:v>12130.2698698158</c:v>
                </c:pt>
                <c:pt idx="21">
                  <c:v>12130.2698698158</c:v>
                </c:pt>
                <c:pt idx="22">
                  <c:v>12130.2698698158</c:v>
                </c:pt>
                <c:pt idx="23">
                  <c:v>12130.2698698158</c:v>
                </c:pt>
                <c:pt idx="24">
                  <c:v>12259.08443513975</c:v>
                </c:pt>
                <c:pt idx="25">
                  <c:v>12516.71356578764</c:v>
                </c:pt>
                <c:pt idx="26">
                  <c:v>12774.34269643553</c:v>
                </c:pt>
                <c:pt idx="27">
                  <c:v>13031.97182708343</c:v>
                </c:pt>
                <c:pt idx="28">
                  <c:v>13289.60095773132</c:v>
                </c:pt>
                <c:pt idx="29">
                  <c:v>13547.23008837921</c:v>
                </c:pt>
                <c:pt idx="30">
                  <c:v>13804.85921902711</c:v>
                </c:pt>
                <c:pt idx="31">
                  <c:v>14062.488349675</c:v>
                </c:pt>
                <c:pt idx="32">
                  <c:v>14320.1174803229</c:v>
                </c:pt>
                <c:pt idx="33">
                  <c:v>14577.74661097078</c:v>
                </c:pt>
                <c:pt idx="34">
                  <c:v>14835.37574161868</c:v>
                </c:pt>
                <c:pt idx="35">
                  <c:v>15093.00487226657</c:v>
                </c:pt>
                <c:pt idx="36">
                  <c:v>15350.63400291446</c:v>
                </c:pt>
                <c:pt idx="37">
                  <c:v>15608.26313356236</c:v>
                </c:pt>
                <c:pt idx="38">
                  <c:v>15865.89226421025</c:v>
                </c:pt>
                <c:pt idx="39">
                  <c:v>16123.52139485814</c:v>
                </c:pt>
                <c:pt idx="40">
                  <c:v>16381.15052550603</c:v>
                </c:pt>
                <c:pt idx="41">
                  <c:v>16638.77965615393</c:v>
                </c:pt>
                <c:pt idx="42">
                  <c:v>16896.40878680182</c:v>
                </c:pt>
                <c:pt idx="43">
                  <c:v>17154.03791744971</c:v>
                </c:pt>
                <c:pt idx="44">
                  <c:v>17411.6670480976</c:v>
                </c:pt>
                <c:pt idx="45">
                  <c:v>17669.2961787455</c:v>
                </c:pt>
                <c:pt idx="46">
                  <c:v>17926.92530939339</c:v>
                </c:pt>
                <c:pt idx="47">
                  <c:v>18184.55444004128</c:v>
                </c:pt>
                <c:pt idx="48">
                  <c:v>18442.18357068917</c:v>
                </c:pt>
                <c:pt idx="49">
                  <c:v>18699.81270133707</c:v>
                </c:pt>
                <c:pt idx="50">
                  <c:v>18957.44183198496</c:v>
                </c:pt>
                <c:pt idx="51">
                  <c:v>19215.07096263285</c:v>
                </c:pt>
                <c:pt idx="52">
                  <c:v>19472.70009328075</c:v>
                </c:pt>
                <c:pt idx="53">
                  <c:v>19730.32922392864</c:v>
                </c:pt>
                <c:pt idx="54">
                  <c:v>19987.95835457653</c:v>
                </c:pt>
                <c:pt idx="55">
                  <c:v>20245.58748522442</c:v>
                </c:pt>
                <c:pt idx="56">
                  <c:v>20503.21661587232</c:v>
                </c:pt>
                <c:pt idx="57">
                  <c:v>20760.84574652021</c:v>
                </c:pt>
                <c:pt idx="58">
                  <c:v>21018.4748771681</c:v>
                </c:pt>
                <c:pt idx="59">
                  <c:v>21276.10400781599</c:v>
                </c:pt>
                <c:pt idx="60">
                  <c:v>20907.12976911343</c:v>
                </c:pt>
                <c:pt idx="61">
                  <c:v>19911.55216106041</c:v>
                </c:pt>
                <c:pt idx="62">
                  <c:v>18915.97455300739</c:v>
                </c:pt>
                <c:pt idx="63">
                  <c:v>17920.39694495437</c:v>
                </c:pt>
                <c:pt idx="64">
                  <c:v>16924.81933690135</c:v>
                </c:pt>
                <c:pt idx="65">
                  <c:v>15929.24172884833</c:v>
                </c:pt>
                <c:pt idx="66">
                  <c:v>14933.66412079531</c:v>
                </c:pt>
                <c:pt idx="67">
                  <c:v>13938.08651274229</c:v>
                </c:pt>
                <c:pt idx="68">
                  <c:v>12942.50890468927</c:v>
                </c:pt>
                <c:pt idx="69">
                  <c:v>11946.93129663625</c:v>
                </c:pt>
                <c:pt idx="70">
                  <c:v>10951.35368858323</c:v>
                </c:pt>
                <c:pt idx="71">
                  <c:v>9955.776080530205</c:v>
                </c:pt>
                <c:pt idx="72">
                  <c:v>8960.198472477184</c:v>
                </c:pt>
                <c:pt idx="73">
                  <c:v>7964.620864424163</c:v>
                </c:pt>
                <c:pt idx="74">
                  <c:v>6969.043256371144</c:v>
                </c:pt>
                <c:pt idx="75">
                  <c:v>5973.465648318122</c:v>
                </c:pt>
                <c:pt idx="76">
                  <c:v>4977.888040265101</c:v>
                </c:pt>
                <c:pt idx="77">
                  <c:v>3982.310432212081</c:v>
                </c:pt>
                <c:pt idx="78">
                  <c:v>2986.732824159062</c:v>
                </c:pt>
                <c:pt idx="79">
                  <c:v>1991.155216106043</c:v>
                </c:pt>
                <c:pt idx="80">
                  <c:v>995.5776080530195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Percentiles!$A$66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Percentiles!$F$66:$DA$66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291.1342670366356</c:v>
                </c:pt>
                <c:pt idx="25">
                  <c:v>873.4028011099068</c:v>
                </c:pt>
                <c:pt idx="26">
                  <c:v>1455.671335183178</c:v>
                </c:pt>
                <c:pt idx="27">
                  <c:v>2037.93986925645</c:v>
                </c:pt>
                <c:pt idx="28">
                  <c:v>2620.208403329721</c:v>
                </c:pt>
                <c:pt idx="29">
                  <c:v>3202.476937402992</c:v>
                </c:pt>
                <c:pt idx="30">
                  <c:v>3784.745471476263</c:v>
                </c:pt>
                <c:pt idx="31">
                  <c:v>4367.014005549534</c:v>
                </c:pt>
                <c:pt idx="32">
                  <c:v>4949.282539622805</c:v>
                </c:pt>
                <c:pt idx="33">
                  <c:v>5531.551073696076</c:v>
                </c:pt>
                <c:pt idx="34">
                  <c:v>6113.819607769347</c:v>
                </c:pt>
                <c:pt idx="35">
                  <c:v>6696.088141842619</c:v>
                </c:pt>
                <c:pt idx="36">
                  <c:v>7278.35667591589</c:v>
                </c:pt>
                <c:pt idx="37">
                  <c:v>7860.62520998916</c:v>
                </c:pt>
                <c:pt idx="38">
                  <c:v>8442.893744062432</c:v>
                </c:pt>
                <c:pt idx="39">
                  <c:v>9025.1622781357</c:v>
                </c:pt>
                <c:pt idx="40">
                  <c:v>9607.430812208975</c:v>
                </c:pt>
                <c:pt idx="41">
                  <c:v>10189.69934628225</c:v>
                </c:pt>
                <c:pt idx="42">
                  <c:v>10771.96788035552</c:v>
                </c:pt>
                <c:pt idx="43">
                  <c:v>11354.23641442879</c:v>
                </c:pt>
                <c:pt idx="44">
                  <c:v>11936.50494850206</c:v>
                </c:pt>
                <c:pt idx="45">
                  <c:v>12518.77348257533</c:v>
                </c:pt>
                <c:pt idx="46">
                  <c:v>13101.0420166486</c:v>
                </c:pt>
                <c:pt idx="47">
                  <c:v>13683.31055072187</c:v>
                </c:pt>
                <c:pt idx="48">
                  <c:v>14265.57908479514</c:v>
                </c:pt>
                <c:pt idx="49">
                  <c:v>14847.84761886842</c:v>
                </c:pt>
                <c:pt idx="50">
                  <c:v>15430.11615294169</c:v>
                </c:pt>
                <c:pt idx="51">
                  <c:v>16012.38468701496</c:v>
                </c:pt>
                <c:pt idx="52">
                  <c:v>16594.65322108823</c:v>
                </c:pt>
                <c:pt idx="53">
                  <c:v>17176.9217551615</c:v>
                </c:pt>
                <c:pt idx="54">
                  <c:v>17759.19028923477</c:v>
                </c:pt>
                <c:pt idx="55">
                  <c:v>18341.45882330804</c:v>
                </c:pt>
                <c:pt idx="56">
                  <c:v>18923.72735738131</c:v>
                </c:pt>
                <c:pt idx="57">
                  <c:v>19505.99589145458</c:v>
                </c:pt>
                <c:pt idx="58">
                  <c:v>20088.26442552785</c:v>
                </c:pt>
                <c:pt idx="59">
                  <c:v>20670.53295960113</c:v>
                </c:pt>
                <c:pt idx="60">
                  <c:v>23114.70668983893</c:v>
                </c:pt>
                <c:pt idx="61">
                  <c:v>27420.78561624126</c:v>
                </c:pt>
                <c:pt idx="62">
                  <c:v>31726.8645426436</c:v>
                </c:pt>
                <c:pt idx="63">
                  <c:v>36032.94346904592</c:v>
                </c:pt>
                <c:pt idx="64">
                  <c:v>40339.02239544825</c:v>
                </c:pt>
                <c:pt idx="65">
                  <c:v>44645.10132185058</c:v>
                </c:pt>
                <c:pt idx="66">
                  <c:v>48951.18024825291</c:v>
                </c:pt>
                <c:pt idx="67">
                  <c:v>53257.25917465524</c:v>
                </c:pt>
                <c:pt idx="68">
                  <c:v>57563.33810105757</c:v>
                </c:pt>
                <c:pt idx="69">
                  <c:v>61869.4170274599</c:v>
                </c:pt>
                <c:pt idx="70">
                  <c:v>66175.49595386224</c:v>
                </c:pt>
                <c:pt idx="71">
                  <c:v>70481.57488026457</c:v>
                </c:pt>
                <c:pt idx="72">
                  <c:v>74787.6538066669</c:v>
                </c:pt>
                <c:pt idx="73">
                  <c:v>79093.73273306922</c:v>
                </c:pt>
                <c:pt idx="74">
                  <c:v>83399.81165947157</c:v>
                </c:pt>
                <c:pt idx="75">
                  <c:v>87705.89058587389</c:v>
                </c:pt>
                <c:pt idx="76">
                  <c:v>92011.96951227621</c:v>
                </c:pt>
                <c:pt idx="77">
                  <c:v>96318.04843867855</c:v>
                </c:pt>
                <c:pt idx="78">
                  <c:v>100624.1273650809</c:v>
                </c:pt>
                <c:pt idx="79">
                  <c:v>104930.2062914832</c:v>
                </c:pt>
                <c:pt idx="80">
                  <c:v>109236.2852178855</c:v>
                </c:pt>
                <c:pt idx="81">
                  <c:v>113542.3641442879</c:v>
                </c:pt>
                <c:pt idx="82">
                  <c:v>127534.6335090078</c:v>
                </c:pt>
                <c:pt idx="83">
                  <c:v>141526.9028737278</c:v>
                </c:pt>
                <c:pt idx="84">
                  <c:v>155519.1722384477</c:v>
                </c:pt>
                <c:pt idx="85">
                  <c:v>169511.4416031676</c:v>
                </c:pt>
                <c:pt idx="86">
                  <c:v>183503.7109678875</c:v>
                </c:pt>
                <c:pt idx="87">
                  <c:v>197495.9803326075</c:v>
                </c:pt>
                <c:pt idx="88">
                  <c:v>211488.2496973274</c:v>
                </c:pt>
                <c:pt idx="89">
                  <c:v>225480.5190620474</c:v>
                </c:pt>
                <c:pt idx="90">
                  <c:v>239472.7884267673</c:v>
                </c:pt>
                <c:pt idx="91">
                  <c:v>253465.0577914872</c:v>
                </c:pt>
                <c:pt idx="92">
                  <c:v>267457.3271562072</c:v>
                </c:pt>
                <c:pt idx="93">
                  <c:v>281449.596520927</c:v>
                </c:pt>
                <c:pt idx="94">
                  <c:v>295441.865885647</c:v>
                </c:pt>
                <c:pt idx="95">
                  <c:v>309434.1352503669</c:v>
                </c:pt>
                <c:pt idx="96">
                  <c:v>312105.8352503669</c:v>
                </c:pt>
                <c:pt idx="97">
                  <c:v>314777.535250367</c:v>
                </c:pt>
                <c:pt idx="98">
                  <c:v>317449.235250367</c:v>
                </c:pt>
                <c:pt idx="99">
                  <c:v>320120.935250367</c:v>
                </c:pt>
              </c:numCache>
            </c:numRef>
          </c:val>
        </c:ser>
        <c:ser>
          <c:idx val="8"/>
          <c:order val="8"/>
          <c:tx>
            <c:strRef>
              <c:f>Percentiles!$A$67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Percentiles!$F$67:$DA$67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129.7973607205</c:v>
                </c:pt>
                <c:pt idx="25">
                  <c:v>389.3920821615001</c:v>
                </c:pt>
                <c:pt idx="26">
                  <c:v>648.9868036025001</c:v>
                </c:pt>
                <c:pt idx="27">
                  <c:v>908.5815250435002</c:v>
                </c:pt>
                <c:pt idx="28">
                  <c:v>1168.1762464845</c:v>
                </c:pt>
                <c:pt idx="29">
                  <c:v>1427.7709679255</c:v>
                </c:pt>
                <c:pt idx="30">
                  <c:v>1687.3656893665</c:v>
                </c:pt>
                <c:pt idx="31">
                  <c:v>1946.9604108075</c:v>
                </c:pt>
                <c:pt idx="32">
                  <c:v>2206.5551322485</c:v>
                </c:pt>
                <c:pt idx="33">
                  <c:v>2466.149853689501</c:v>
                </c:pt>
                <c:pt idx="34">
                  <c:v>2725.7445751305</c:v>
                </c:pt>
                <c:pt idx="35">
                  <c:v>2985.3392965715</c:v>
                </c:pt>
                <c:pt idx="36">
                  <c:v>3244.9340180125</c:v>
                </c:pt>
                <c:pt idx="37">
                  <c:v>3504.528739453501</c:v>
                </c:pt>
                <c:pt idx="38">
                  <c:v>3764.123460894501</c:v>
                </c:pt>
                <c:pt idx="39">
                  <c:v>4023.718182335501</c:v>
                </c:pt>
                <c:pt idx="40">
                  <c:v>4283.3129037765</c:v>
                </c:pt>
                <c:pt idx="41">
                  <c:v>4542.907625217501</c:v>
                </c:pt>
                <c:pt idx="42">
                  <c:v>4802.5023466585</c:v>
                </c:pt>
                <c:pt idx="43">
                  <c:v>5062.0970680995</c:v>
                </c:pt>
                <c:pt idx="44">
                  <c:v>5321.691789540501</c:v>
                </c:pt>
                <c:pt idx="45">
                  <c:v>5581.286510981501</c:v>
                </c:pt>
                <c:pt idx="46">
                  <c:v>5840.8812324225</c:v>
                </c:pt>
                <c:pt idx="47">
                  <c:v>6100.475953863501</c:v>
                </c:pt>
                <c:pt idx="48">
                  <c:v>6360.070675304501</c:v>
                </c:pt>
                <c:pt idx="49">
                  <c:v>6619.665396745501</c:v>
                </c:pt>
                <c:pt idx="50">
                  <c:v>6879.260118186501</c:v>
                </c:pt>
                <c:pt idx="51">
                  <c:v>7138.8548396275</c:v>
                </c:pt>
                <c:pt idx="52">
                  <c:v>7398.449561068501</c:v>
                </c:pt>
                <c:pt idx="53">
                  <c:v>7658.044282509501</c:v>
                </c:pt>
                <c:pt idx="54">
                  <c:v>7917.639003950501</c:v>
                </c:pt>
                <c:pt idx="55">
                  <c:v>8177.233725391501</c:v>
                </c:pt>
                <c:pt idx="56">
                  <c:v>8436.8284468325</c:v>
                </c:pt>
                <c:pt idx="57">
                  <c:v>8696.4231682735</c:v>
                </c:pt>
                <c:pt idx="58">
                  <c:v>8956.017889714501</c:v>
                </c:pt>
                <c:pt idx="59">
                  <c:v>9215.6126111555</c:v>
                </c:pt>
                <c:pt idx="60">
                  <c:v>9168.698242349113</c:v>
                </c:pt>
                <c:pt idx="61">
                  <c:v>8815.27478329534</c:v>
                </c:pt>
                <c:pt idx="62">
                  <c:v>8461.851324241561</c:v>
                </c:pt>
                <c:pt idx="63">
                  <c:v>8108.427865187786</c:v>
                </c:pt>
                <c:pt idx="64">
                  <c:v>7755.00440613401</c:v>
                </c:pt>
                <c:pt idx="65">
                  <c:v>7401.580947080233</c:v>
                </c:pt>
                <c:pt idx="66">
                  <c:v>7048.157488026457</c:v>
                </c:pt>
                <c:pt idx="67">
                  <c:v>6694.734028972681</c:v>
                </c:pt>
                <c:pt idx="68">
                  <c:v>6341.310569918904</c:v>
                </c:pt>
                <c:pt idx="69">
                  <c:v>5987.887110865128</c:v>
                </c:pt>
                <c:pt idx="70">
                  <c:v>5634.463651811352</c:v>
                </c:pt>
                <c:pt idx="71">
                  <c:v>5281.040192757576</c:v>
                </c:pt>
                <c:pt idx="72">
                  <c:v>4927.6167337038</c:v>
                </c:pt>
                <c:pt idx="73">
                  <c:v>4574.193274650023</c:v>
                </c:pt>
                <c:pt idx="74">
                  <c:v>4220.769815596247</c:v>
                </c:pt>
                <c:pt idx="75">
                  <c:v>3867.34635654247</c:v>
                </c:pt>
                <c:pt idx="76">
                  <c:v>3513.922897488695</c:v>
                </c:pt>
                <c:pt idx="77">
                  <c:v>3160.499438434918</c:v>
                </c:pt>
                <c:pt idx="78">
                  <c:v>2807.075979381142</c:v>
                </c:pt>
                <c:pt idx="79">
                  <c:v>2453.652520327366</c:v>
                </c:pt>
                <c:pt idx="80">
                  <c:v>2100.22906127359</c:v>
                </c:pt>
                <c:pt idx="81">
                  <c:v>1746.805602219813</c:v>
                </c:pt>
                <c:pt idx="82">
                  <c:v>1622.033773489827</c:v>
                </c:pt>
                <c:pt idx="83">
                  <c:v>1497.26194475984</c:v>
                </c:pt>
                <c:pt idx="84">
                  <c:v>1372.490116029854</c:v>
                </c:pt>
                <c:pt idx="85">
                  <c:v>1247.718287299867</c:v>
                </c:pt>
                <c:pt idx="86">
                  <c:v>1122.94645856988</c:v>
                </c:pt>
                <c:pt idx="87">
                  <c:v>998.1746298398934</c:v>
                </c:pt>
                <c:pt idx="88">
                  <c:v>873.4028011099068</c:v>
                </c:pt>
                <c:pt idx="89">
                  <c:v>748.63097237992</c:v>
                </c:pt>
                <c:pt idx="90">
                  <c:v>623.8591436499335</c:v>
                </c:pt>
                <c:pt idx="91">
                  <c:v>499.0873149199467</c:v>
                </c:pt>
                <c:pt idx="92">
                  <c:v>374.31548618996</c:v>
                </c:pt>
                <c:pt idx="93">
                  <c:v>249.5436574599732</c:v>
                </c:pt>
                <c:pt idx="94">
                  <c:v>124.7718287299865</c:v>
                </c:pt>
                <c:pt idx="95">
                  <c:v>0.0</c:v>
                </c:pt>
                <c:pt idx="96">
                  <c:v>829.53</c:v>
                </c:pt>
                <c:pt idx="97">
                  <c:v>1659.06</c:v>
                </c:pt>
                <c:pt idx="98">
                  <c:v>2488.59</c:v>
                </c:pt>
                <c:pt idx="99">
                  <c:v>3318.12</c:v>
                </c:pt>
              </c:numCache>
            </c:numRef>
          </c:val>
        </c:ser>
        <c:ser>
          <c:idx val="9"/>
          <c:order val="9"/>
          <c:tx>
            <c:strRef>
              <c:f>Percentiles!$A$68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Percentiles!$F$68:$DA$68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19.40895113577571</c:v>
                </c:pt>
                <c:pt idx="25">
                  <c:v>58.22685340732711</c:v>
                </c:pt>
                <c:pt idx="26">
                  <c:v>97.04475567887853</c:v>
                </c:pt>
                <c:pt idx="27">
                  <c:v>135.86265795043</c:v>
                </c:pt>
                <c:pt idx="28">
                  <c:v>174.6805602219814</c:v>
                </c:pt>
                <c:pt idx="29">
                  <c:v>213.4984624935328</c:v>
                </c:pt>
                <c:pt idx="30">
                  <c:v>252.3163647650842</c:v>
                </c:pt>
                <c:pt idx="31">
                  <c:v>291.1342670366356</c:v>
                </c:pt>
                <c:pt idx="32">
                  <c:v>329.952169308187</c:v>
                </c:pt>
                <c:pt idx="33">
                  <c:v>368.7700715797384</c:v>
                </c:pt>
                <c:pt idx="34">
                  <c:v>407.5879738512898</c:v>
                </c:pt>
                <c:pt idx="35">
                  <c:v>446.4058761228412</c:v>
                </c:pt>
                <c:pt idx="36">
                  <c:v>485.2237783943926</c:v>
                </c:pt>
                <c:pt idx="37">
                  <c:v>524.041680665944</c:v>
                </c:pt>
                <c:pt idx="38">
                  <c:v>562.8595829374954</c:v>
                </c:pt>
                <c:pt idx="39">
                  <c:v>601.6774852090468</c:v>
                </c:pt>
                <c:pt idx="40">
                  <c:v>640.4953874805983</c:v>
                </c:pt>
                <c:pt idx="41">
                  <c:v>679.3132897521497</c:v>
                </c:pt>
                <c:pt idx="42">
                  <c:v>718.1311920237011</c:v>
                </c:pt>
                <c:pt idx="43">
                  <c:v>756.9490942952525</c:v>
                </c:pt>
                <c:pt idx="44">
                  <c:v>795.7669965668038</c:v>
                </c:pt>
                <c:pt idx="45">
                  <c:v>834.5848988383553</c:v>
                </c:pt>
                <c:pt idx="46">
                  <c:v>873.4028011099067</c:v>
                </c:pt>
                <c:pt idx="47">
                  <c:v>912.2207033814582</c:v>
                </c:pt>
                <c:pt idx="48">
                  <c:v>951.0386056530095</c:v>
                </c:pt>
                <c:pt idx="49">
                  <c:v>989.856507924561</c:v>
                </c:pt>
                <c:pt idx="50">
                  <c:v>1028.674410196112</c:v>
                </c:pt>
                <c:pt idx="51">
                  <c:v>1067.492312467664</c:v>
                </c:pt>
                <c:pt idx="52">
                  <c:v>1106.310214739215</c:v>
                </c:pt>
                <c:pt idx="53">
                  <c:v>1145.128117010767</c:v>
                </c:pt>
                <c:pt idx="54">
                  <c:v>1183.946019282318</c:v>
                </c:pt>
                <c:pt idx="55">
                  <c:v>1222.76392155387</c:v>
                </c:pt>
                <c:pt idx="56">
                  <c:v>1261.581823825421</c:v>
                </c:pt>
                <c:pt idx="57">
                  <c:v>1300.399726096972</c:v>
                </c:pt>
                <c:pt idx="58">
                  <c:v>1339.217628368524</c:v>
                </c:pt>
                <c:pt idx="59">
                  <c:v>1378.035530640075</c:v>
                </c:pt>
                <c:pt idx="60">
                  <c:v>1364.945772897343</c:v>
                </c:pt>
                <c:pt idx="61">
                  <c:v>1299.948355140326</c:v>
                </c:pt>
                <c:pt idx="62">
                  <c:v>1234.95093738331</c:v>
                </c:pt>
                <c:pt idx="63">
                  <c:v>1169.953519626294</c:v>
                </c:pt>
                <c:pt idx="64">
                  <c:v>1104.956101869277</c:v>
                </c:pt>
                <c:pt idx="65">
                  <c:v>1039.958684112261</c:v>
                </c:pt>
                <c:pt idx="66">
                  <c:v>974.9612663552448</c:v>
                </c:pt>
                <c:pt idx="67">
                  <c:v>909.9638485982284</c:v>
                </c:pt>
                <c:pt idx="68">
                  <c:v>844.9664308412121</c:v>
                </c:pt>
                <c:pt idx="69">
                  <c:v>779.9690130841958</c:v>
                </c:pt>
                <c:pt idx="70">
                  <c:v>714.9715953271794</c:v>
                </c:pt>
                <c:pt idx="71">
                  <c:v>649.974177570163</c:v>
                </c:pt>
                <c:pt idx="72">
                  <c:v>584.9767598131468</c:v>
                </c:pt>
                <c:pt idx="73">
                  <c:v>519.9793420561304</c:v>
                </c:pt>
                <c:pt idx="74">
                  <c:v>454.9819242991141</c:v>
                </c:pt>
                <c:pt idx="75">
                  <c:v>389.9845065420978</c:v>
                </c:pt>
                <c:pt idx="76">
                  <c:v>324.9870887850816</c:v>
                </c:pt>
                <c:pt idx="77">
                  <c:v>259.9896710280652</c:v>
                </c:pt>
                <c:pt idx="78">
                  <c:v>194.9922532710489</c:v>
                </c:pt>
                <c:pt idx="79">
                  <c:v>129.9948355140325</c:v>
                </c:pt>
                <c:pt idx="80">
                  <c:v>64.99741775701613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6203.5</c:v>
                </c:pt>
                <c:pt idx="97">
                  <c:v>12407.0</c:v>
                </c:pt>
                <c:pt idx="98">
                  <c:v>18610.5</c:v>
                </c:pt>
                <c:pt idx="99">
                  <c:v>24814.0</c:v>
                </c:pt>
              </c:numCache>
            </c:numRef>
          </c:val>
        </c:ser>
        <c:ser>
          <c:idx val="10"/>
          <c:order val="10"/>
          <c:tx>
            <c:strRef>
              <c:f>Percentiles!$A$69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Percentiles!$F$69:$DA$69</c:f>
              <c:numCache>
                <c:formatCode>0</c:formatCode>
                <c:ptCount val="100"/>
                <c:pt idx="0">
                  <c:v>1008.391684526244</c:v>
                </c:pt>
                <c:pt idx="1">
                  <c:v>1008.391684526244</c:v>
                </c:pt>
                <c:pt idx="2">
                  <c:v>1008.391684526244</c:v>
                </c:pt>
                <c:pt idx="3">
                  <c:v>1008.391684526244</c:v>
                </c:pt>
                <c:pt idx="4">
                  <c:v>1008.391684526244</c:v>
                </c:pt>
                <c:pt idx="5">
                  <c:v>1008.391684526244</c:v>
                </c:pt>
                <c:pt idx="6">
                  <c:v>1008.391684526244</c:v>
                </c:pt>
                <c:pt idx="7">
                  <c:v>1008.391684526244</c:v>
                </c:pt>
                <c:pt idx="8">
                  <c:v>1008.391684526244</c:v>
                </c:pt>
                <c:pt idx="9">
                  <c:v>1008.391684526244</c:v>
                </c:pt>
                <c:pt idx="10">
                  <c:v>1008.391684526244</c:v>
                </c:pt>
                <c:pt idx="11">
                  <c:v>1008.391684526244</c:v>
                </c:pt>
                <c:pt idx="12">
                  <c:v>1008.391684526244</c:v>
                </c:pt>
                <c:pt idx="13">
                  <c:v>1008.391684526244</c:v>
                </c:pt>
                <c:pt idx="14">
                  <c:v>1008.391684526244</c:v>
                </c:pt>
                <c:pt idx="15">
                  <c:v>1008.391684526244</c:v>
                </c:pt>
                <c:pt idx="16">
                  <c:v>1008.391684526244</c:v>
                </c:pt>
                <c:pt idx="17">
                  <c:v>1008.391684526244</c:v>
                </c:pt>
                <c:pt idx="18">
                  <c:v>1008.391684526244</c:v>
                </c:pt>
                <c:pt idx="19">
                  <c:v>1008.391684526244</c:v>
                </c:pt>
                <c:pt idx="20">
                  <c:v>1008.391684526244</c:v>
                </c:pt>
                <c:pt idx="21">
                  <c:v>1008.391684526244</c:v>
                </c:pt>
                <c:pt idx="22">
                  <c:v>1008.391684526244</c:v>
                </c:pt>
                <c:pt idx="23">
                  <c:v>1008.391684526244</c:v>
                </c:pt>
                <c:pt idx="24">
                  <c:v>1006.057444515766</c:v>
                </c:pt>
                <c:pt idx="25">
                  <c:v>1001.388964494811</c:v>
                </c:pt>
                <c:pt idx="26">
                  <c:v>996.7204844738565</c:v>
                </c:pt>
                <c:pt idx="27">
                  <c:v>992.0520044529018</c:v>
                </c:pt>
                <c:pt idx="28">
                  <c:v>987.383524431947</c:v>
                </c:pt>
                <c:pt idx="29">
                  <c:v>982.715044410992</c:v>
                </c:pt>
                <c:pt idx="30">
                  <c:v>978.0465643900372</c:v>
                </c:pt>
                <c:pt idx="31">
                  <c:v>973.3780843690824</c:v>
                </c:pt>
                <c:pt idx="32">
                  <c:v>968.7096043481276</c:v>
                </c:pt>
                <c:pt idx="33">
                  <c:v>964.0411243271727</c:v>
                </c:pt>
                <c:pt idx="34">
                  <c:v>959.372644306218</c:v>
                </c:pt>
                <c:pt idx="35">
                  <c:v>954.7041642852631</c:v>
                </c:pt>
                <c:pt idx="36">
                  <c:v>950.0356842643082</c:v>
                </c:pt>
                <c:pt idx="37">
                  <c:v>945.3672042433534</c:v>
                </c:pt>
                <c:pt idx="38">
                  <c:v>940.6987242223985</c:v>
                </c:pt>
                <c:pt idx="39">
                  <c:v>936.0302442014438</c:v>
                </c:pt>
                <c:pt idx="40">
                  <c:v>931.3617641804889</c:v>
                </c:pt>
                <c:pt idx="41">
                  <c:v>926.693284159534</c:v>
                </c:pt>
                <c:pt idx="42">
                  <c:v>922.0248041385792</c:v>
                </c:pt>
                <c:pt idx="43">
                  <c:v>917.3563241176244</c:v>
                </c:pt>
                <c:pt idx="44">
                  <c:v>912.6878440966695</c:v>
                </c:pt>
                <c:pt idx="45">
                  <c:v>908.0193640757147</c:v>
                </c:pt>
                <c:pt idx="46">
                  <c:v>903.3508840547599</c:v>
                </c:pt>
                <c:pt idx="47">
                  <c:v>898.682404033805</c:v>
                </c:pt>
                <c:pt idx="48">
                  <c:v>894.0139240128502</c:v>
                </c:pt>
                <c:pt idx="49">
                  <c:v>889.3454439918954</c:v>
                </c:pt>
                <c:pt idx="50">
                  <c:v>884.6769639709405</c:v>
                </c:pt>
                <c:pt idx="51">
                  <c:v>880.0084839499857</c:v>
                </c:pt>
                <c:pt idx="52">
                  <c:v>875.3400039290309</c:v>
                </c:pt>
                <c:pt idx="53">
                  <c:v>870.671523908076</c:v>
                </c:pt>
                <c:pt idx="54">
                  <c:v>866.0030438871212</c:v>
                </c:pt>
                <c:pt idx="55">
                  <c:v>861.3345638661663</c:v>
                </c:pt>
                <c:pt idx="56">
                  <c:v>856.6660838452116</c:v>
                </c:pt>
                <c:pt idx="57">
                  <c:v>851.9976038242567</c:v>
                </c:pt>
                <c:pt idx="58">
                  <c:v>847.3291238033019</c:v>
                </c:pt>
                <c:pt idx="59">
                  <c:v>842.6606437823471</c:v>
                </c:pt>
                <c:pt idx="60">
                  <c:v>820.783929265547</c:v>
                </c:pt>
                <c:pt idx="61">
                  <c:v>781.698980252902</c:v>
                </c:pt>
                <c:pt idx="62">
                  <c:v>742.614031240257</c:v>
                </c:pt>
                <c:pt idx="63">
                  <c:v>703.5290822276117</c:v>
                </c:pt>
                <c:pt idx="64">
                  <c:v>664.4441332149668</c:v>
                </c:pt>
                <c:pt idx="65">
                  <c:v>625.3591842023216</c:v>
                </c:pt>
                <c:pt idx="66">
                  <c:v>586.2742351896765</c:v>
                </c:pt>
                <c:pt idx="67">
                  <c:v>547.1892861770313</c:v>
                </c:pt>
                <c:pt idx="68">
                  <c:v>508.1043371643863</c:v>
                </c:pt>
                <c:pt idx="69">
                  <c:v>469.0193881517412</c:v>
                </c:pt>
                <c:pt idx="70">
                  <c:v>429.9344391390961</c:v>
                </c:pt>
                <c:pt idx="71">
                  <c:v>390.849490126451</c:v>
                </c:pt>
                <c:pt idx="72">
                  <c:v>351.764541113806</c:v>
                </c:pt>
                <c:pt idx="73">
                  <c:v>312.6795921011609</c:v>
                </c:pt>
                <c:pt idx="74">
                  <c:v>273.5946430885157</c:v>
                </c:pt>
                <c:pt idx="75">
                  <c:v>234.5096940758707</c:v>
                </c:pt>
                <c:pt idx="76">
                  <c:v>195.4247450632255</c:v>
                </c:pt>
                <c:pt idx="77">
                  <c:v>156.3397960505805</c:v>
                </c:pt>
                <c:pt idx="78">
                  <c:v>117.2548470379353</c:v>
                </c:pt>
                <c:pt idx="79">
                  <c:v>78.16989802529031</c:v>
                </c:pt>
                <c:pt idx="80">
                  <c:v>39.0849490126451</c:v>
                </c:pt>
                <c:pt idx="81">
                  <c:v>1.13686837721616E-13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14.73</c:v>
                </c:pt>
                <c:pt idx="97">
                  <c:v>29.46000000000001</c:v>
                </c:pt>
                <c:pt idx="98">
                  <c:v>44.19000000000001</c:v>
                </c:pt>
                <c:pt idx="99">
                  <c:v>58.92000000000002</c:v>
                </c:pt>
              </c:numCache>
            </c:numRef>
          </c:val>
        </c:ser>
        <c:ser>
          <c:idx val="11"/>
          <c:order val="11"/>
          <c:tx>
            <c:strRef>
              <c:f>Percentiles!$A$70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Percentiles!$F$70:$DA$70</c:f>
              <c:numCache>
                <c:formatCode>0</c:formatCode>
                <c:ptCount val="100"/>
                <c:pt idx="0">
                  <c:v>29433.67439740386</c:v>
                </c:pt>
                <c:pt idx="1">
                  <c:v>29433.67439740386</c:v>
                </c:pt>
                <c:pt idx="2">
                  <c:v>29433.67439740386</c:v>
                </c:pt>
                <c:pt idx="3">
                  <c:v>29433.67439740386</c:v>
                </c:pt>
                <c:pt idx="4">
                  <c:v>29433.67439740386</c:v>
                </c:pt>
                <c:pt idx="5">
                  <c:v>29433.67439740386</c:v>
                </c:pt>
                <c:pt idx="6">
                  <c:v>29433.67439740386</c:v>
                </c:pt>
                <c:pt idx="7">
                  <c:v>29433.67439740386</c:v>
                </c:pt>
                <c:pt idx="8">
                  <c:v>29433.67439740386</c:v>
                </c:pt>
                <c:pt idx="9">
                  <c:v>29433.67439740386</c:v>
                </c:pt>
                <c:pt idx="10">
                  <c:v>29433.67439740386</c:v>
                </c:pt>
                <c:pt idx="11">
                  <c:v>29433.67439740386</c:v>
                </c:pt>
                <c:pt idx="12">
                  <c:v>29433.67439740386</c:v>
                </c:pt>
                <c:pt idx="13">
                  <c:v>29433.67439740386</c:v>
                </c:pt>
                <c:pt idx="14">
                  <c:v>29433.67439740386</c:v>
                </c:pt>
                <c:pt idx="15">
                  <c:v>29433.67439740386</c:v>
                </c:pt>
                <c:pt idx="16">
                  <c:v>29433.67439740386</c:v>
                </c:pt>
                <c:pt idx="17">
                  <c:v>29433.67439740386</c:v>
                </c:pt>
                <c:pt idx="18">
                  <c:v>29433.67439740386</c:v>
                </c:pt>
                <c:pt idx="19">
                  <c:v>29433.67439740386</c:v>
                </c:pt>
                <c:pt idx="20">
                  <c:v>29433.67439740386</c:v>
                </c:pt>
                <c:pt idx="21">
                  <c:v>29433.67439740386</c:v>
                </c:pt>
                <c:pt idx="22">
                  <c:v>29433.67439740386</c:v>
                </c:pt>
                <c:pt idx="23">
                  <c:v>29433.67439740386</c:v>
                </c:pt>
                <c:pt idx="24">
                  <c:v>29433.67439740386</c:v>
                </c:pt>
                <c:pt idx="25">
                  <c:v>29433.67439740386</c:v>
                </c:pt>
                <c:pt idx="26">
                  <c:v>29433.67439740386</c:v>
                </c:pt>
                <c:pt idx="27">
                  <c:v>29433.67439740386</c:v>
                </c:pt>
                <c:pt idx="28">
                  <c:v>29433.67439740386</c:v>
                </c:pt>
                <c:pt idx="29">
                  <c:v>29433.67439740386</c:v>
                </c:pt>
                <c:pt idx="30">
                  <c:v>29433.67439740386</c:v>
                </c:pt>
                <c:pt idx="31">
                  <c:v>29433.67439740386</c:v>
                </c:pt>
                <c:pt idx="32">
                  <c:v>29433.67439740386</c:v>
                </c:pt>
                <c:pt idx="33">
                  <c:v>29433.67439740386</c:v>
                </c:pt>
                <c:pt idx="34">
                  <c:v>29433.67439740386</c:v>
                </c:pt>
                <c:pt idx="35">
                  <c:v>29433.67439740386</c:v>
                </c:pt>
                <c:pt idx="36">
                  <c:v>29433.67439740386</c:v>
                </c:pt>
                <c:pt idx="37">
                  <c:v>29433.67439740386</c:v>
                </c:pt>
                <c:pt idx="38">
                  <c:v>29433.67439740386</c:v>
                </c:pt>
                <c:pt idx="39">
                  <c:v>29433.67439740386</c:v>
                </c:pt>
                <c:pt idx="40">
                  <c:v>29433.67439740386</c:v>
                </c:pt>
                <c:pt idx="41">
                  <c:v>29433.67439740386</c:v>
                </c:pt>
                <c:pt idx="42">
                  <c:v>29433.67439740386</c:v>
                </c:pt>
                <c:pt idx="43">
                  <c:v>29433.67439740386</c:v>
                </c:pt>
                <c:pt idx="44">
                  <c:v>29433.67439740386</c:v>
                </c:pt>
                <c:pt idx="45">
                  <c:v>29433.67439740386</c:v>
                </c:pt>
                <c:pt idx="46">
                  <c:v>29433.67439740386</c:v>
                </c:pt>
                <c:pt idx="47">
                  <c:v>29433.67439740386</c:v>
                </c:pt>
                <c:pt idx="48">
                  <c:v>29433.67439740386</c:v>
                </c:pt>
                <c:pt idx="49">
                  <c:v>29433.67439740386</c:v>
                </c:pt>
                <c:pt idx="50">
                  <c:v>29433.67439740386</c:v>
                </c:pt>
                <c:pt idx="51">
                  <c:v>29433.67439740386</c:v>
                </c:pt>
                <c:pt idx="52">
                  <c:v>29433.67439740386</c:v>
                </c:pt>
                <c:pt idx="53">
                  <c:v>29433.67439740386</c:v>
                </c:pt>
                <c:pt idx="54">
                  <c:v>29433.67439740386</c:v>
                </c:pt>
                <c:pt idx="55">
                  <c:v>29433.67439740386</c:v>
                </c:pt>
                <c:pt idx="56">
                  <c:v>29433.67439740386</c:v>
                </c:pt>
                <c:pt idx="57">
                  <c:v>29433.67439740386</c:v>
                </c:pt>
                <c:pt idx="58">
                  <c:v>29433.67439740386</c:v>
                </c:pt>
                <c:pt idx="59">
                  <c:v>29433.67439740386</c:v>
                </c:pt>
                <c:pt idx="60">
                  <c:v>29007.12884337344</c:v>
                </c:pt>
                <c:pt idx="61">
                  <c:v>28154.0377353126</c:v>
                </c:pt>
                <c:pt idx="62">
                  <c:v>27300.94662725176</c:v>
                </c:pt>
                <c:pt idx="63">
                  <c:v>26447.85551919092</c:v>
                </c:pt>
                <c:pt idx="64">
                  <c:v>25594.76441113008</c:v>
                </c:pt>
                <c:pt idx="65">
                  <c:v>24741.67330306924</c:v>
                </c:pt>
                <c:pt idx="66">
                  <c:v>23888.5821950084</c:v>
                </c:pt>
                <c:pt idx="67">
                  <c:v>23035.49108694756</c:v>
                </c:pt>
                <c:pt idx="68">
                  <c:v>22182.39997888673</c:v>
                </c:pt>
                <c:pt idx="69">
                  <c:v>21329.30887082589</c:v>
                </c:pt>
                <c:pt idx="70">
                  <c:v>20476.21776276505</c:v>
                </c:pt>
                <c:pt idx="71">
                  <c:v>19623.12665470421</c:v>
                </c:pt>
                <c:pt idx="72">
                  <c:v>18770.03554664337</c:v>
                </c:pt>
                <c:pt idx="73">
                  <c:v>17916.94443858253</c:v>
                </c:pt>
                <c:pt idx="74">
                  <c:v>17063.8533305217</c:v>
                </c:pt>
                <c:pt idx="75">
                  <c:v>16210.76222246085</c:v>
                </c:pt>
                <c:pt idx="76">
                  <c:v>15357.67111440001</c:v>
                </c:pt>
                <c:pt idx="77">
                  <c:v>14504.58000633917</c:v>
                </c:pt>
                <c:pt idx="78">
                  <c:v>13651.48889827833</c:v>
                </c:pt>
                <c:pt idx="79">
                  <c:v>12798.39779021749</c:v>
                </c:pt>
                <c:pt idx="80">
                  <c:v>11945.30668215665</c:v>
                </c:pt>
                <c:pt idx="81">
                  <c:v>11092.21557409582</c:v>
                </c:pt>
                <c:pt idx="82">
                  <c:v>11205.40144730088</c:v>
                </c:pt>
                <c:pt idx="83">
                  <c:v>11318.58732050594</c:v>
                </c:pt>
                <c:pt idx="84">
                  <c:v>11431.77319371099</c:v>
                </c:pt>
                <c:pt idx="85">
                  <c:v>11544.95906691605</c:v>
                </c:pt>
                <c:pt idx="86">
                  <c:v>11658.14494012111</c:v>
                </c:pt>
                <c:pt idx="87">
                  <c:v>11771.33081332617</c:v>
                </c:pt>
                <c:pt idx="88">
                  <c:v>11884.51668653123</c:v>
                </c:pt>
                <c:pt idx="89">
                  <c:v>11997.7025597363</c:v>
                </c:pt>
                <c:pt idx="90">
                  <c:v>12110.88843294135</c:v>
                </c:pt>
                <c:pt idx="91">
                  <c:v>12224.07430614641</c:v>
                </c:pt>
                <c:pt idx="92">
                  <c:v>12337.26017935147</c:v>
                </c:pt>
                <c:pt idx="93">
                  <c:v>12450.44605255653</c:v>
                </c:pt>
                <c:pt idx="94">
                  <c:v>12563.63192576159</c:v>
                </c:pt>
                <c:pt idx="95">
                  <c:v>12676.81779896665</c:v>
                </c:pt>
                <c:pt idx="96">
                  <c:v>11548.98779896665</c:v>
                </c:pt>
                <c:pt idx="97">
                  <c:v>10421.15779896665</c:v>
                </c:pt>
                <c:pt idx="98">
                  <c:v>9293.327798966647</c:v>
                </c:pt>
                <c:pt idx="99">
                  <c:v>8165.497798966648</c:v>
                </c:pt>
              </c:numCache>
            </c:numRef>
          </c:val>
        </c:ser>
        <c:ser>
          <c:idx val="14"/>
          <c:order val="12"/>
          <c:tx>
            <c:strRef>
              <c:f>Percentiles!$A$71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Percentiles!$F$71:$DA$71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97.04475567887853</c:v>
                </c:pt>
                <c:pt idx="25">
                  <c:v>291.1342670366356</c:v>
                </c:pt>
                <c:pt idx="26">
                  <c:v>485.2237783943926</c:v>
                </c:pt>
                <c:pt idx="27">
                  <c:v>679.3132897521497</c:v>
                </c:pt>
                <c:pt idx="28">
                  <c:v>873.4028011099068</c:v>
                </c:pt>
                <c:pt idx="29">
                  <c:v>1067.492312467664</c:v>
                </c:pt>
                <c:pt idx="30">
                  <c:v>1261.581823825421</c:v>
                </c:pt>
                <c:pt idx="31">
                  <c:v>1455.671335183178</c:v>
                </c:pt>
                <c:pt idx="32">
                  <c:v>1649.760846540935</c:v>
                </c:pt>
                <c:pt idx="33">
                  <c:v>1843.850357898692</c:v>
                </c:pt>
                <c:pt idx="34">
                  <c:v>2037.93986925645</c:v>
                </c:pt>
                <c:pt idx="35">
                  <c:v>2232.029380614206</c:v>
                </c:pt>
                <c:pt idx="36">
                  <c:v>2426.118891971963</c:v>
                </c:pt>
                <c:pt idx="37">
                  <c:v>2620.20840332972</c:v>
                </c:pt>
                <c:pt idx="38">
                  <c:v>2814.297914687477</c:v>
                </c:pt>
                <c:pt idx="39">
                  <c:v>3008.387426045234</c:v>
                </c:pt>
                <c:pt idx="40">
                  <c:v>3202.476937402992</c:v>
                </c:pt>
                <c:pt idx="41">
                  <c:v>3396.566448760749</c:v>
                </c:pt>
                <c:pt idx="42">
                  <c:v>3590.655960118506</c:v>
                </c:pt>
                <c:pt idx="43">
                  <c:v>3784.745471476263</c:v>
                </c:pt>
                <c:pt idx="44">
                  <c:v>3978.83498283402</c:v>
                </c:pt>
                <c:pt idx="45">
                  <c:v>4172.924494191776</c:v>
                </c:pt>
                <c:pt idx="46">
                  <c:v>4367.014005549534</c:v>
                </c:pt>
                <c:pt idx="47">
                  <c:v>4561.103516907291</c:v>
                </c:pt>
                <c:pt idx="48">
                  <c:v>4755.193028265048</c:v>
                </c:pt>
                <c:pt idx="49">
                  <c:v>4949.282539622805</c:v>
                </c:pt>
                <c:pt idx="50">
                  <c:v>5143.372050980563</c:v>
                </c:pt>
                <c:pt idx="51">
                  <c:v>5337.461562338319</c:v>
                </c:pt>
                <c:pt idx="52">
                  <c:v>5531.551073696076</c:v>
                </c:pt>
                <c:pt idx="53">
                  <c:v>5725.640585053833</c:v>
                </c:pt>
                <c:pt idx="54">
                  <c:v>5919.73009641159</c:v>
                </c:pt>
                <c:pt idx="55">
                  <c:v>6113.819607769347</c:v>
                </c:pt>
                <c:pt idx="56">
                  <c:v>6307.909119127105</c:v>
                </c:pt>
                <c:pt idx="57">
                  <c:v>6501.998630484861</c:v>
                </c:pt>
                <c:pt idx="58">
                  <c:v>6696.088141842619</c:v>
                </c:pt>
                <c:pt idx="59">
                  <c:v>6890.177653200376</c:v>
                </c:pt>
                <c:pt idx="60">
                  <c:v>6824.728864486713</c:v>
                </c:pt>
                <c:pt idx="61">
                  <c:v>6499.741775701632</c:v>
                </c:pt>
                <c:pt idx="62">
                  <c:v>6174.754686916551</c:v>
                </c:pt>
                <c:pt idx="63">
                  <c:v>5849.767598131469</c:v>
                </c:pt>
                <c:pt idx="64">
                  <c:v>5524.780509346388</c:v>
                </c:pt>
                <c:pt idx="65">
                  <c:v>5199.793420561305</c:v>
                </c:pt>
                <c:pt idx="66">
                  <c:v>4874.806331776224</c:v>
                </c:pt>
                <c:pt idx="67">
                  <c:v>4549.819242991142</c:v>
                </c:pt>
                <c:pt idx="68">
                  <c:v>4224.832154206061</c:v>
                </c:pt>
                <c:pt idx="69">
                  <c:v>3899.845065420979</c:v>
                </c:pt>
                <c:pt idx="70">
                  <c:v>3574.857976635898</c:v>
                </c:pt>
                <c:pt idx="71">
                  <c:v>3249.870887850816</c:v>
                </c:pt>
                <c:pt idx="72">
                  <c:v>2924.883799065735</c:v>
                </c:pt>
                <c:pt idx="73">
                  <c:v>2599.896710280653</c:v>
                </c:pt>
                <c:pt idx="74">
                  <c:v>2274.909621495572</c:v>
                </c:pt>
                <c:pt idx="75">
                  <c:v>1949.92253271049</c:v>
                </c:pt>
                <c:pt idx="76">
                  <c:v>1624.935443925408</c:v>
                </c:pt>
                <c:pt idx="77">
                  <c:v>1299.948355140326</c:v>
                </c:pt>
                <c:pt idx="78">
                  <c:v>974.9612663552452</c:v>
                </c:pt>
                <c:pt idx="79">
                  <c:v>649.974177570163</c:v>
                </c:pt>
                <c:pt idx="80">
                  <c:v>324.9870887850821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296.33</c:v>
                </c:pt>
                <c:pt idx="97">
                  <c:v>592.66</c:v>
                </c:pt>
                <c:pt idx="98">
                  <c:v>888.99</c:v>
                </c:pt>
                <c:pt idx="99">
                  <c:v>1185.32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0522504"/>
        <c:axId val="-2140516552"/>
      </c:area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val>
            <c:numRef>
              <c:f>Percentiles!$F$39:$DA$39</c:f>
              <c:numCache>
                <c:formatCode>0</c:formatCode>
                <c:ptCount val="100"/>
                <c:pt idx="0">
                  <c:v>39324.2862920528</c:v>
                </c:pt>
                <c:pt idx="1">
                  <c:v>39324.2862920528</c:v>
                </c:pt>
                <c:pt idx="2">
                  <c:v>39324.2862920528</c:v>
                </c:pt>
                <c:pt idx="3">
                  <c:v>39324.2862920528</c:v>
                </c:pt>
                <c:pt idx="4">
                  <c:v>39324.2862920528</c:v>
                </c:pt>
                <c:pt idx="5">
                  <c:v>39324.2862920528</c:v>
                </c:pt>
                <c:pt idx="6">
                  <c:v>39324.2862920528</c:v>
                </c:pt>
                <c:pt idx="7">
                  <c:v>39324.2862920528</c:v>
                </c:pt>
                <c:pt idx="8">
                  <c:v>39324.2862920528</c:v>
                </c:pt>
                <c:pt idx="9">
                  <c:v>39324.2862920528</c:v>
                </c:pt>
                <c:pt idx="10">
                  <c:v>39324.2862920528</c:v>
                </c:pt>
                <c:pt idx="11">
                  <c:v>39324.2862920528</c:v>
                </c:pt>
                <c:pt idx="12">
                  <c:v>39324.2862920528</c:v>
                </c:pt>
                <c:pt idx="13">
                  <c:v>39324.2862920528</c:v>
                </c:pt>
                <c:pt idx="14">
                  <c:v>39324.2862920528</c:v>
                </c:pt>
                <c:pt idx="15">
                  <c:v>39324.2862920528</c:v>
                </c:pt>
                <c:pt idx="16">
                  <c:v>39324.2862920528</c:v>
                </c:pt>
                <c:pt idx="17">
                  <c:v>39324.2862920528</c:v>
                </c:pt>
                <c:pt idx="18">
                  <c:v>39324.2862920528</c:v>
                </c:pt>
                <c:pt idx="19">
                  <c:v>39324.2862920528</c:v>
                </c:pt>
                <c:pt idx="20">
                  <c:v>39324.2862920528</c:v>
                </c:pt>
                <c:pt idx="21">
                  <c:v>39324.2862920528</c:v>
                </c:pt>
                <c:pt idx="22">
                  <c:v>39324.2862920528</c:v>
                </c:pt>
                <c:pt idx="23">
                  <c:v>39324.2862920528</c:v>
                </c:pt>
                <c:pt idx="24">
                  <c:v>39324.2862920528</c:v>
                </c:pt>
                <c:pt idx="25">
                  <c:v>39324.2862920528</c:v>
                </c:pt>
                <c:pt idx="26">
                  <c:v>39324.2862920528</c:v>
                </c:pt>
                <c:pt idx="27">
                  <c:v>39324.2862920528</c:v>
                </c:pt>
                <c:pt idx="28">
                  <c:v>39324.2862920528</c:v>
                </c:pt>
                <c:pt idx="29">
                  <c:v>39324.2862920528</c:v>
                </c:pt>
                <c:pt idx="30">
                  <c:v>39324.2862920528</c:v>
                </c:pt>
                <c:pt idx="31">
                  <c:v>39324.2862920528</c:v>
                </c:pt>
                <c:pt idx="32">
                  <c:v>39324.2862920528</c:v>
                </c:pt>
                <c:pt idx="33">
                  <c:v>39324.2862920528</c:v>
                </c:pt>
                <c:pt idx="34">
                  <c:v>39324.2862920528</c:v>
                </c:pt>
                <c:pt idx="35">
                  <c:v>39324.2862920528</c:v>
                </c:pt>
                <c:pt idx="36">
                  <c:v>39324.2862920528</c:v>
                </c:pt>
                <c:pt idx="37">
                  <c:v>39324.2862920528</c:v>
                </c:pt>
                <c:pt idx="38">
                  <c:v>39324.2862920528</c:v>
                </c:pt>
                <c:pt idx="39">
                  <c:v>39324.2862920528</c:v>
                </c:pt>
                <c:pt idx="40">
                  <c:v>39324.2862920528</c:v>
                </c:pt>
                <c:pt idx="41">
                  <c:v>39324.2862920528</c:v>
                </c:pt>
                <c:pt idx="42">
                  <c:v>39324.2862920528</c:v>
                </c:pt>
                <c:pt idx="43">
                  <c:v>39324.2862920528</c:v>
                </c:pt>
                <c:pt idx="44">
                  <c:v>39324.2862920528</c:v>
                </c:pt>
                <c:pt idx="45">
                  <c:v>39324.2862920528</c:v>
                </c:pt>
                <c:pt idx="46">
                  <c:v>39324.2862920528</c:v>
                </c:pt>
                <c:pt idx="47">
                  <c:v>39324.2862920528</c:v>
                </c:pt>
                <c:pt idx="48">
                  <c:v>39324.2862920528</c:v>
                </c:pt>
                <c:pt idx="49">
                  <c:v>39324.2862920528</c:v>
                </c:pt>
                <c:pt idx="50">
                  <c:v>39324.2862920528</c:v>
                </c:pt>
                <c:pt idx="51">
                  <c:v>39324.2862920528</c:v>
                </c:pt>
                <c:pt idx="52">
                  <c:v>39324.2862920528</c:v>
                </c:pt>
                <c:pt idx="53">
                  <c:v>39324.2862920528</c:v>
                </c:pt>
                <c:pt idx="54">
                  <c:v>39324.2862920528</c:v>
                </c:pt>
                <c:pt idx="55">
                  <c:v>39324.2862920528</c:v>
                </c:pt>
                <c:pt idx="56">
                  <c:v>39324.2862920528</c:v>
                </c:pt>
                <c:pt idx="57">
                  <c:v>39324.2862920528</c:v>
                </c:pt>
                <c:pt idx="58">
                  <c:v>39324.2862920528</c:v>
                </c:pt>
                <c:pt idx="59">
                  <c:v>39324.2862920528</c:v>
                </c:pt>
                <c:pt idx="60">
                  <c:v>39324.2862920528</c:v>
                </c:pt>
                <c:pt idx="61">
                  <c:v>39324.2862920528</c:v>
                </c:pt>
                <c:pt idx="62">
                  <c:v>39324.2862920528</c:v>
                </c:pt>
                <c:pt idx="63">
                  <c:v>39324.2862920528</c:v>
                </c:pt>
                <c:pt idx="64">
                  <c:v>39324.2862920528</c:v>
                </c:pt>
                <c:pt idx="65">
                  <c:v>39324.2862920528</c:v>
                </c:pt>
                <c:pt idx="66">
                  <c:v>39324.2862920528</c:v>
                </c:pt>
                <c:pt idx="67">
                  <c:v>39324.2862920528</c:v>
                </c:pt>
                <c:pt idx="68">
                  <c:v>39324.2862920528</c:v>
                </c:pt>
                <c:pt idx="69">
                  <c:v>39324.2862920528</c:v>
                </c:pt>
                <c:pt idx="70">
                  <c:v>39324.2862920528</c:v>
                </c:pt>
                <c:pt idx="71">
                  <c:v>39324.2862920528</c:v>
                </c:pt>
                <c:pt idx="72">
                  <c:v>39324.2862920528</c:v>
                </c:pt>
                <c:pt idx="73">
                  <c:v>39324.2862920528</c:v>
                </c:pt>
                <c:pt idx="74">
                  <c:v>39324.2862920528</c:v>
                </c:pt>
                <c:pt idx="75">
                  <c:v>39324.2862920528</c:v>
                </c:pt>
                <c:pt idx="76">
                  <c:v>39324.2862920528</c:v>
                </c:pt>
                <c:pt idx="77">
                  <c:v>39324.2862920528</c:v>
                </c:pt>
                <c:pt idx="78">
                  <c:v>39324.2862920528</c:v>
                </c:pt>
                <c:pt idx="79">
                  <c:v>39324.2862920528</c:v>
                </c:pt>
                <c:pt idx="80">
                  <c:v>39324.2862920528</c:v>
                </c:pt>
                <c:pt idx="81">
                  <c:v>39324.2862920528</c:v>
                </c:pt>
                <c:pt idx="82">
                  <c:v>39324.2862920528</c:v>
                </c:pt>
                <c:pt idx="83">
                  <c:v>39324.2862920528</c:v>
                </c:pt>
                <c:pt idx="84">
                  <c:v>39324.2862920528</c:v>
                </c:pt>
                <c:pt idx="85">
                  <c:v>39324.2862920528</c:v>
                </c:pt>
                <c:pt idx="86">
                  <c:v>39324.2862920528</c:v>
                </c:pt>
                <c:pt idx="87">
                  <c:v>39324.2862920528</c:v>
                </c:pt>
                <c:pt idx="88">
                  <c:v>39324.2862920528</c:v>
                </c:pt>
                <c:pt idx="89">
                  <c:v>39324.2862920528</c:v>
                </c:pt>
                <c:pt idx="90">
                  <c:v>39324.2862920528</c:v>
                </c:pt>
                <c:pt idx="91">
                  <c:v>39324.2862920528</c:v>
                </c:pt>
                <c:pt idx="92">
                  <c:v>39324.2862920528</c:v>
                </c:pt>
                <c:pt idx="93">
                  <c:v>39324.2862920528</c:v>
                </c:pt>
                <c:pt idx="94">
                  <c:v>39324.2862920528</c:v>
                </c:pt>
                <c:pt idx="95">
                  <c:v>39324.2862920528</c:v>
                </c:pt>
                <c:pt idx="96">
                  <c:v>39324.2862920528</c:v>
                </c:pt>
                <c:pt idx="97">
                  <c:v>39324.2862920528</c:v>
                </c:pt>
                <c:pt idx="98">
                  <c:v>39324.2862920528</c:v>
                </c:pt>
                <c:pt idx="99">
                  <c:v>39324.2862920528</c:v>
                </c:pt>
              </c:numCache>
            </c:numRef>
          </c:val>
          <c:smooth val="0"/>
        </c:ser>
        <c:ser>
          <c:idx val="13"/>
          <c:order val="14"/>
          <c:tx>
            <c:strRef>
              <c:f>Percentiles!$A$72</c:f>
              <c:strCache>
                <c:ptCount val="1"/>
                <c:pt idx="0">
                  <c:v>TOTAL</c:v>
                </c:pt>
              </c:strCache>
            </c:strRef>
          </c:tx>
          <c:spPr>
            <a:ln w="25400">
              <a:solidFill>
                <a:srgbClr val="003366"/>
              </a:solidFill>
              <a:prstDash val="solid"/>
            </a:ln>
          </c:spPr>
          <c:marker>
            <c:symbol val="none"/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6"/>
            <c:dispRSqr val="0"/>
            <c:dispEq val="0"/>
          </c:trendline>
          <c:val>
            <c:numRef>
              <c:f>Percentiles!$F$72:$DA$72</c:f>
              <c:numCache>
                <c:formatCode>0</c:formatCode>
                <c:ptCount val="100"/>
                <c:pt idx="0">
                  <c:v>56579.53132909874</c:v>
                </c:pt>
                <c:pt idx="1">
                  <c:v>56239.27132909874</c:v>
                </c:pt>
                <c:pt idx="2">
                  <c:v>55899.01132909873</c:v>
                </c:pt>
                <c:pt idx="3">
                  <c:v>55558.75132909874</c:v>
                </c:pt>
                <c:pt idx="4">
                  <c:v>55218.49132909874</c:v>
                </c:pt>
                <c:pt idx="5">
                  <c:v>54878.23132909874</c:v>
                </c:pt>
                <c:pt idx="6">
                  <c:v>54537.97132909874</c:v>
                </c:pt>
                <c:pt idx="7">
                  <c:v>54197.71132909874</c:v>
                </c:pt>
                <c:pt idx="8">
                  <c:v>53857.45132909873</c:v>
                </c:pt>
                <c:pt idx="9">
                  <c:v>53517.19132909874</c:v>
                </c:pt>
                <c:pt idx="10">
                  <c:v>53176.93132909874</c:v>
                </c:pt>
                <c:pt idx="11">
                  <c:v>52836.67132909874</c:v>
                </c:pt>
                <c:pt idx="12">
                  <c:v>52496.41132909874</c:v>
                </c:pt>
                <c:pt idx="13">
                  <c:v>52156.15132909873</c:v>
                </c:pt>
                <c:pt idx="14">
                  <c:v>51815.89132909874</c:v>
                </c:pt>
                <c:pt idx="15">
                  <c:v>51475.63132909875</c:v>
                </c:pt>
                <c:pt idx="16">
                  <c:v>51135.37132909873</c:v>
                </c:pt>
                <c:pt idx="17">
                  <c:v>50795.11132909874</c:v>
                </c:pt>
                <c:pt idx="18">
                  <c:v>50454.85132909873</c:v>
                </c:pt>
                <c:pt idx="19">
                  <c:v>50114.59132909874</c:v>
                </c:pt>
                <c:pt idx="20">
                  <c:v>49774.33132909874</c:v>
                </c:pt>
                <c:pt idx="21">
                  <c:v>49434.07132909874</c:v>
                </c:pt>
                <c:pt idx="22">
                  <c:v>49093.81132909873</c:v>
                </c:pt>
                <c:pt idx="23">
                  <c:v>48753.55132909874</c:v>
                </c:pt>
                <c:pt idx="24">
                  <c:v>49374.31797883161</c:v>
                </c:pt>
                <c:pt idx="25">
                  <c:v>50956.11127829735</c:v>
                </c:pt>
                <c:pt idx="26">
                  <c:v>52537.90457776309</c:v>
                </c:pt>
                <c:pt idx="27">
                  <c:v>54119.69787722883</c:v>
                </c:pt>
                <c:pt idx="28">
                  <c:v>55701.49117669458</c:v>
                </c:pt>
                <c:pt idx="29">
                  <c:v>57283.28447616033</c:v>
                </c:pt>
                <c:pt idx="30">
                  <c:v>58865.07777562606</c:v>
                </c:pt>
                <c:pt idx="31">
                  <c:v>60446.8710750918</c:v>
                </c:pt>
                <c:pt idx="32">
                  <c:v>62028.66437455755</c:v>
                </c:pt>
                <c:pt idx="33">
                  <c:v>63610.4576740233</c:v>
                </c:pt>
                <c:pt idx="34">
                  <c:v>65192.25097348902</c:v>
                </c:pt>
                <c:pt idx="35">
                  <c:v>66774.04427295476</c:v>
                </c:pt>
                <c:pt idx="36">
                  <c:v>68355.83757242051</c:v>
                </c:pt>
                <c:pt idx="37">
                  <c:v>69937.63087188624</c:v>
                </c:pt>
                <c:pt idx="38">
                  <c:v>71519.42417135199</c:v>
                </c:pt>
                <c:pt idx="39">
                  <c:v>73101.21747081772</c:v>
                </c:pt>
                <c:pt idx="40">
                  <c:v>74683.01077028348</c:v>
                </c:pt>
                <c:pt idx="41">
                  <c:v>76264.8040697492</c:v>
                </c:pt>
                <c:pt idx="42">
                  <c:v>77846.59736921496</c:v>
                </c:pt>
                <c:pt idx="43">
                  <c:v>79428.3906686807</c:v>
                </c:pt>
                <c:pt idx="44">
                  <c:v>81010.18396814643</c:v>
                </c:pt>
                <c:pt idx="45">
                  <c:v>82591.97726761218</c:v>
                </c:pt>
                <c:pt idx="46">
                  <c:v>84173.77056707791</c:v>
                </c:pt>
                <c:pt idx="47">
                  <c:v>85755.56386654366</c:v>
                </c:pt>
                <c:pt idx="48">
                  <c:v>87337.3571660094</c:v>
                </c:pt>
                <c:pt idx="49">
                  <c:v>88919.15046547514</c:v>
                </c:pt>
                <c:pt idx="50">
                  <c:v>90500.9437649409</c:v>
                </c:pt>
                <c:pt idx="51">
                  <c:v>92082.73706440662</c:v>
                </c:pt>
                <c:pt idx="52">
                  <c:v>93664.53036387237</c:v>
                </c:pt>
                <c:pt idx="53">
                  <c:v>95246.3236633381</c:v>
                </c:pt>
                <c:pt idx="54">
                  <c:v>96828.11696280384</c:v>
                </c:pt>
                <c:pt idx="55">
                  <c:v>98409.91026226959</c:v>
                </c:pt>
                <c:pt idx="56">
                  <c:v>99991.70356173533</c:v>
                </c:pt>
                <c:pt idx="57">
                  <c:v>101573.4968612011</c:v>
                </c:pt>
                <c:pt idx="58">
                  <c:v>103155.2901606668</c:v>
                </c:pt>
                <c:pt idx="59">
                  <c:v>104737.0834601326</c:v>
                </c:pt>
                <c:pt idx="60">
                  <c:v>106634.4459033979</c:v>
                </c:pt>
                <c:pt idx="61">
                  <c:v>108847.3774904628</c:v>
                </c:pt>
                <c:pt idx="62">
                  <c:v>111060.3090775277</c:v>
                </c:pt>
                <c:pt idx="63">
                  <c:v>113273.2406645926</c:v>
                </c:pt>
                <c:pt idx="64">
                  <c:v>115486.1722516575</c:v>
                </c:pt>
                <c:pt idx="65">
                  <c:v>117699.1038387224</c:v>
                </c:pt>
                <c:pt idx="66">
                  <c:v>119912.0354257873</c:v>
                </c:pt>
                <c:pt idx="67">
                  <c:v>122124.9670128522</c:v>
                </c:pt>
                <c:pt idx="68">
                  <c:v>124337.8985999171</c:v>
                </c:pt>
                <c:pt idx="69">
                  <c:v>126550.830186982</c:v>
                </c:pt>
                <c:pt idx="70">
                  <c:v>128763.7617740468</c:v>
                </c:pt>
                <c:pt idx="71">
                  <c:v>130976.6933611117</c:v>
                </c:pt>
                <c:pt idx="72">
                  <c:v>133189.6249481766</c:v>
                </c:pt>
                <c:pt idx="73">
                  <c:v>135402.5565352415</c:v>
                </c:pt>
                <c:pt idx="74">
                  <c:v>137615.4881223064</c:v>
                </c:pt>
                <c:pt idx="75">
                  <c:v>139828.4197093713</c:v>
                </c:pt>
                <c:pt idx="76">
                  <c:v>142041.3512964362</c:v>
                </c:pt>
                <c:pt idx="77">
                  <c:v>144254.2828835011</c:v>
                </c:pt>
                <c:pt idx="78">
                  <c:v>146467.214470566</c:v>
                </c:pt>
                <c:pt idx="79">
                  <c:v>148680.1460576309</c:v>
                </c:pt>
                <c:pt idx="80">
                  <c:v>150893.0776446958</c:v>
                </c:pt>
                <c:pt idx="81">
                  <c:v>153106.0092317606</c:v>
                </c:pt>
                <c:pt idx="82">
                  <c:v>170009.8011420718</c:v>
                </c:pt>
                <c:pt idx="83">
                  <c:v>186913.593052383</c:v>
                </c:pt>
                <c:pt idx="84">
                  <c:v>203817.384962694</c:v>
                </c:pt>
                <c:pt idx="85">
                  <c:v>220721.1768730051</c:v>
                </c:pt>
                <c:pt idx="86">
                  <c:v>237624.9687833162</c:v>
                </c:pt>
                <c:pt idx="87">
                  <c:v>254528.7606936273</c:v>
                </c:pt>
                <c:pt idx="88">
                  <c:v>271432.5526039384</c:v>
                </c:pt>
                <c:pt idx="89">
                  <c:v>288336.3445142495</c:v>
                </c:pt>
                <c:pt idx="90">
                  <c:v>305240.1364245606</c:v>
                </c:pt>
                <c:pt idx="91">
                  <c:v>322143.9283348717</c:v>
                </c:pt>
                <c:pt idx="92">
                  <c:v>339047.7202451829</c:v>
                </c:pt>
                <c:pt idx="93">
                  <c:v>355951.5121554939</c:v>
                </c:pt>
                <c:pt idx="94">
                  <c:v>372855.3040658051</c:v>
                </c:pt>
                <c:pt idx="95">
                  <c:v>389759.0959761162</c:v>
                </c:pt>
                <c:pt idx="96">
                  <c:v>399538.8969761162</c:v>
                </c:pt>
                <c:pt idx="97">
                  <c:v>409318.6979761161</c:v>
                </c:pt>
                <c:pt idx="98">
                  <c:v>419098.4989761162</c:v>
                </c:pt>
                <c:pt idx="99">
                  <c:v>428878.2999761161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0522504"/>
        <c:axId val="-2140516552"/>
      </c:lineChart>
      <c:catAx>
        <c:axId val="-2140522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40516552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14051655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Annual Total Income (ZAR)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40522504"/>
        <c:crossesAt val="1.0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4190384023226"/>
          <c:y val="0.042042042042042"/>
          <c:w val="0.9874307174592"/>
          <c:h val="0.96997067934075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Rich!$K$6:$M$6</c:f>
              <c:numCache>
                <c:formatCode>0%</c:formatCode>
                <c:ptCount val="3"/>
                <c:pt idx="0">
                  <c:v>0.096532517345668</c:v>
                </c:pt>
                <c:pt idx="1">
                  <c:v>0.048266258672834</c:v>
                </c:pt>
                <c:pt idx="2" formatCode="0.0%">
                  <c:v>0.048266258672834</c:v>
                </c:pt>
              </c:numCache>
            </c:numRef>
          </c:val>
        </c:ser>
        <c:ser>
          <c:idx val="1"/>
          <c:order val="1"/>
          <c:tx>
            <c:strRef>
              <c:f>Rich!$A$7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Rich!$K$7:$M$7</c:f>
              <c:numCache>
                <c:formatCode>0%</c:formatCode>
                <c:ptCount val="3"/>
                <c:pt idx="0">
                  <c:v>0.0643550115637787</c:v>
                </c:pt>
                <c:pt idx="1">
                  <c:v>0.0321775057818893</c:v>
                </c:pt>
                <c:pt idx="2" formatCode="0.0%">
                  <c:v>0.0321775057818893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Rich!$K$8:$M$8</c:f>
              <c:numCache>
                <c:formatCode>0%</c:formatCode>
                <c:ptCount val="3"/>
                <c:pt idx="0">
                  <c:v>0.0572603184486746</c:v>
                </c:pt>
                <c:pt idx="1">
                  <c:v>0.0286301592243373</c:v>
                </c:pt>
                <c:pt idx="2" formatCode="0.0%">
                  <c:v>0.0286301592243373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Rich!$K$9:$M$9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Rich!$K$10:$M$10</c:f>
              <c:numCache>
                <c:formatCode>0%</c:formatCode>
                <c:ptCount val="3"/>
                <c:pt idx="0">
                  <c:v>0.10815217221135</c:v>
                </c:pt>
                <c:pt idx="1">
                  <c:v>0.117885867710372</c:v>
                </c:pt>
                <c:pt idx="2" formatCode="0.0%">
                  <c:v>0.110569022089203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Maize (irrigated):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Rich!$K$11:$M$11</c:f>
              <c:numCache>
                <c:formatCode>0%</c:formatCode>
                <c:ptCount val="3"/>
                <c:pt idx="0">
                  <c:v>0.0506963307240704</c:v>
                </c:pt>
                <c:pt idx="1">
                  <c:v>0.0552590004892368</c:v>
                </c:pt>
                <c:pt idx="2" formatCode="0.0%">
                  <c:v>0.0545273159271199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1FB71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Rich!$K$12:$M$12</c:f>
              <c:numCache>
                <c:formatCode>0%</c:formatCode>
                <c:ptCount val="3"/>
                <c:pt idx="0">
                  <c:v>0.0284904999110478</c:v>
                </c:pt>
                <c:pt idx="1">
                  <c:v>0.0284904999110478</c:v>
                </c:pt>
                <c:pt idx="2" formatCode="0.0%">
                  <c:v>0.0284904999110478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Beans season 2: kg produced</c:v>
                </c:pt>
              </c:strCache>
            </c:strRef>
          </c:tx>
          <c:spPr>
            <a:solidFill>
              <a:srgbClr val="CCCC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-0.00188066621091525</c:v>
                </c:pt>
              </c:numCache>
            </c:numRef>
          </c:val>
        </c:ser>
        <c:ser>
          <c:idx val="9"/>
          <c:order val="8"/>
          <c:tx>
            <c:strRef>
              <c:f>Rich!$A$14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96969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Rich!$K$14:$M$14</c:f>
              <c:numCache>
                <c:formatCode>0%</c:formatCode>
                <c:ptCount val="3"/>
                <c:pt idx="0">
                  <c:v>0.0127634762497776</c:v>
                </c:pt>
                <c:pt idx="1">
                  <c:v>0.0127634762497776</c:v>
                </c:pt>
                <c:pt idx="2" formatCode="0.0%">
                  <c:v>0.0127634762497776</c:v>
                </c:pt>
              </c:numCache>
            </c:numRef>
          </c:val>
        </c:ser>
        <c:ser>
          <c:idx val="10"/>
          <c:order val="9"/>
          <c:tx>
            <c:strRef>
              <c:f>Rich!$A$15</c:f>
              <c:strCache>
                <c:ptCount val="1"/>
                <c:pt idx="0">
                  <c:v>Other root crops (sweet potato): no. local meas</c:v>
                </c:pt>
              </c:strCache>
            </c:strRef>
          </c:tx>
          <c:spPr>
            <a:solidFill>
              <a:srgbClr val="FCF30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Rich!$K$15:$M$15</c:f>
              <c:numCache>
                <c:formatCode>0%</c:formatCode>
                <c:ptCount val="3"/>
                <c:pt idx="0">
                  <c:v>0.0424564312399929</c:v>
                </c:pt>
                <c:pt idx="1">
                  <c:v>0.0424564312399929</c:v>
                </c:pt>
                <c:pt idx="2" formatCode="0.0%">
                  <c:v>0.0398212794695364</c:v>
                </c:pt>
              </c:numCache>
            </c:numRef>
          </c:val>
        </c:ser>
        <c:ser>
          <c:idx val="11"/>
          <c:order val="10"/>
          <c:tx>
            <c:strRef>
              <c:f>Rich!$A$16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00ABE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Rich!$K$16:$M$16</c:f>
              <c:numCache>
                <c:formatCode>0%</c:formatCode>
                <c:ptCount val="3"/>
                <c:pt idx="0">
                  <c:v>0.0515032912293186</c:v>
                </c:pt>
                <c:pt idx="1">
                  <c:v>0.0515032912293186</c:v>
                </c:pt>
                <c:pt idx="2" formatCode="0.0%">
                  <c:v>0.0508639582232065</c:v>
                </c:pt>
              </c:numCache>
            </c:numRef>
          </c:val>
        </c:ser>
        <c:ser>
          <c:idx val="12"/>
          <c:order val="11"/>
          <c:tx>
            <c:strRef>
              <c:f>Rich!$A$17</c:f>
              <c:strCache>
                <c:ptCount val="1"/>
                <c:pt idx="0">
                  <c:v>Other crop: Rape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Rich!$K$17:$M$17</c:f>
              <c:numCache>
                <c:formatCode>0%</c:formatCode>
                <c:ptCount val="3"/>
                <c:pt idx="0">
                  <c:v>0.0236901796833304</c:v>
                </c:pt>
                <c:pt idx="1">
                  <c:v>0.0236901796833304</c:v>
                </c:pt>
                <c:pt idx="2" formatCode="0.0%">
                  <c:v>0.0236513393750575</c:v>
                </c:pt>
              </c:numCache>
            </c:numRef>
          </c:val>
        </c:ser>
        <c:ser>
          <c:idx val="13"/>
          <c:order val="12"/>
          <c:tx>
            <c:strRef>
              <c:f>Rich!$A$18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Rich!$A$19</c:f>
              <c:strCache>
                <c:ptCount val="1"/>
                <c:pt idx="0">
                  <c:v>Labour: Weeding, ploughing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Rich!$A$20</c:f>
              <c:strCache>
                <c:ptCount val="1"/>
                <c:pt idx="0">
                  <c:v>Gifts/remittances: cereal</c:v>
                </c:pt>
              </c:strCache>
            </c:strRef>
          </c:tx>
          <c:spPr>
            <a:solidFill>
              <a:srgbClr val="0000D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Rich!$A$21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Rich!$A$22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Rich!$A$23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Rich!$A$24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Rich!$A$25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Rich!$K$26:$M$26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Rich!$K$27:$M$27</c:f>
              <c:numCache>
                <c:formatCode>0%</c:formatCode>
                <c:ptCount val="3"/>
                <c:pt idx="0">
                  <c:v>0.0212417719267034</c:v>
                </c:pt>
                <c:pt idx="1">
                  <c:v>0.0212417719267034</c:v>
                </c:pt>
                <c:pt idx="2" formatCode="0.0%">
                  <c:v>0.0215054553841465</c:v>
                </c:pt>
              </c:numCache>
            </c:numRef>
          </c:val>
        </c:ser>
        <c:ser>
          <c:idx val="22"/>
          <c:order val="2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Rich!$K$29:$M$29</c:f>
              <c:numCache>
                <c:formatCode>0%</c:formatCode>
                <c:ptCount val="3"/>
                <c:pt idx="0">
                  <c:v>0.284175046433019</c:v>
                </c:pt>
                <c:pt idx="1">
                  <c:v>0.284175046433019</c:v>
                </c:pt>
                <c:pt idx="2" formatCode="0.0%">
                  <c:v>0.284914121195463</c:v>
                </c:pt>
              </c:numCache>
            </c:numRef>
          </c:val>
        </c:ser>
        <c:ser>
          <c:idx val="24"/>
          <c:order val="2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Rich!$K$30:$M$30</c:f>
              <c:numCache>
                <c:formatCode>0%</c:formatCode>
                <c:ptCount val="3"/>
                <c:pt idx="0">
                  <c:v>0.647125394057997</c:v>
                </c:pt>
                <c:pt idx="1">
                  <c:v>0.352236455561926</c:v>
                </c:pt>
                <c:pt idx="2" formatCode="0.0%">
                  <c:v>0.265700274707295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17575768"/>
        <c:axId val="2117568984"/>
      </c:barChart>
      <c:catAx>
        <c:axId val="2117575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175689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175689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4432162997363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1757576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V.Poor!$K$8:$M$8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V.Poor!$K$9:$M$9</c:f>
              <c:numCache>
                <c:formatCode>0%</c:formatCode>
                <c:ptCount val="3"/>
                <c:pt idx="0">
                  <c:v>0.0833333333333333</c:v>
                </c:pt>
                <c:pt idx="1">
                  <c:v>0.0833333333333333</c:v>
                </c:pt>
                <c:pt idx="2" formatCode="0.0%">
                  <c:v>0.0833333333333333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V.Poor!$K$10:$M$10</c:f>
              <c:numCache>
                <c:formatCode>0%</c:formatCode>
                <c:ptCount val="3"/>
                <c:pt idx="0">
                  <c:v>0.0922673219178082</c:v>
                </c:pt>
                <c:pt idx="1">
                  <c:v>0.100571380890411</c:v>
                </c:pt>
                <c:pt idx="2" formatCode="0.0%">
                  <c:v>0.100571380890411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Maize (irrigated): kg produced</c:v>
                </c:pt>
              </c:strCache>
            </c:strRef>
          </c:tx>
          <c:spPr>
            <a:solidFill>
              <a:srgbClr val="F2088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V.Poor!$K$12:$M$12</c:f>
              <c:numCache>
                <c:formatCode>0%</c:formatCode>
                <c:ptCount val="3"/>
                <c:pt idx="0">
                  <c:v>0.00166194582814446</c:v>
                </c:pt>
                <c:pt idx="1">
                  <c:v>0.00166194582814446</c:v>
                </c:pt>
                <c:pt idx="2" formatCode="0.0%">
                  <c:v>0.00166194582814446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Beans season 2: kg produced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V.Poor!$K$13:$M$13</c:f>
              <c:numCache>
                <c:formatCode>0%</c:formatCode>
                <c:ptCount val="3"/>
                <c:pt idx="0">
                  <c:v>0.00441882067247821</c:v>
                </c:pt>
                <c:pt idx="1">
                  <c:v>0.00441882067247821</c:v>
                </c:pt>
                <c:pt idx="2" formatCode="0.0%">
                  <c:v>0.00441882067247821</c:v>
                </c:pt>
              </c:numCache>
            </c:numRef>
          </c:val>
        </c:ser>
        <c:ser>
          <c:idx val="9"/>
          <c:order val="8"/>
          <c:tx>
            <c:strRef>
              <c:f>V.Poor!$A$14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V.Poor!$K$14:$M$14</c:f>
              <c:numCache>
                <c:formatCode>0%</c:formatCode>
                <c:ptCount val="3"/>
                <c:pt idx="0">
                  <c:v>0.0111680417185554</c:v>
                </c:pt>
                <c:pt idx="1">
                  <c:v>0.0111680417185554</c:v>
                </c:pt>
                <c:pt idx="2" formatCode="0.0%">
                  <c:v>0.0111680417185554</c:v>
                </c:pt>
              </c:numCache>
            </c:numRef>
          </c:val>
        </c:ser>
        <c:ser>
          <c:idx val="10"/>
          <c:order val="9"/>
          <c:tx>
            <c:strRef>
              <c:f>V.Poor!$A$15</c:f>
              <c:strCache>
                <c:ptCount val="1"/>
                <c:pt idx="0">
                  <c:v>Other root crops (sweet potato): no. local meas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V.Poor!$K$15:$M$15</c:f>
              <c:numCache>
                <c:formatCode>0%</c:formatCode>
                <c:ptCount val="3"/>
                <c:pt idx="0">
                  <c:v>0.00371493773349938</c:v>
                </c:pt>
                <c:pt idx="1">
                  <c:v>0.00371493773349938</c:v>
                </c:pt>
                <c:pt idx="2" formatCode="0.0%">
                  <c:v>0.0501516594022416</c:v>
                </c:pt>
              </c:numCache>
            </c:numRef>
          </c:val>
        </c:ser>
        <c:ser>
          <c:idx val="11"/>
          <c:order val="10"/>
          <c:tx>
            <c:strRef>
              <c:f>V.Poor!$A$16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0.00518251867995019</c:v>
                </c:pt>
              </c:numCache>
            </c:numRef>
          </c:val>
        </c:ser>
        <c:ser>
          <c:idx val="12"/>
          <c:order val="11"/>
          <c:tx>
            <c:strRef>
              <c:f>V.Poor!$A$17</c:f>
              <c:strCache>
                <c:ptCount val="1"/>
                <c:pt idx="0">
                  <c:v>Other crop: Rape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V.Poor!$K$17:$M$17</c:f>
              <c:numCache>
                <c:formatCode>0%</c:formatCode>
                <c:ptCount val="3"/>
                <c:pt idx="0">
                  <c:v>0.00469333748443337</c:v>
                </c:pt>
                <c:pt idx="1">
                  <c:v>0.00469333748443337</c:v>
                </c:pt>
                <c:pt idx="2" formatCode="0.0%">
                  <c:v>0.00469333748443337</c:v>
                </c:pt>
              </c:numCache>
            </c:numRef>
          </c:val>
        </c:ser>
        <c:ser>
          <c:idx val="13"/>
          <c:order val="12"/>
          <c:tx>
            <c:strRef>
              <c:f>V.Poor!$A$18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V.Poor!$K$18:$M$18</c:f>
              <c:numCache>
                <c:formatCode>0%</c:formatCode>
                <c:ptCount val="3"/>
                <c:pt idx="0">
                  <c:v>0.0115928549190535</c:v>
                </c:pt>
                <c:pt idx="1">
                  <c:v>0.0115928549190535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V.Poor!$A$19</c:f>
              <c:strCache>
                <c:ptCount val="1"/>
                <c:pt idx="0">
                  <c:v>Labour: Weeding, ploughing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V.Poor!$K$19:$M$19</c:f>
              <c:numCache>
                <c:formatCode>0%</c:formatCode>
                <c:ptCount val="3"/>
                <c:pt idx="0">
                  <c:v>0.153778869863014</c:v>
                </c:pt>
                <c:pt idx="1">
                  <c:v>0.153778869863014</c:v>
                </c:pt>
                <c:pt idx="2" formatCode="0.0%">
                  <c:v>0.153778869863014</c:v>
                </c:pt>
              </c:numCache>
            </c:numRef>
          </c:val>
        </c:ser>
        <c:ser>
          <c:idx val="15"/>
          <c:order val="14"/>
          <c:tx>
            <c:strRef>
              <c:f>V.Poor!$A$20</c:f>
              <c:strCache>
                <c:ptCount val="1"/>
                <c:pt idx="0">
                  <c:v>Gifts/remittances: cereal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V.Poor!$K$20:$M$20</c:f>
              <c:numCache>
                <c:formatCode>0%</c:formatCode>
                <c:ptCount val="3"/>
                <c:pt idx="0">
                  <c:v>0.00589827833125778</c:v>
                </c:pt>
                <c:pt idx="1">
                  <c:v>0.00589827833125778</c:v>
                </c:pt>
                <c:pt idx="2" formatCode="0.0%">
                  <c:v>0.00589827833125778</c:v>
                </c:pt>
              </c:numCache>
            </c:numRef>
          </c:val>
        </c:ser>
        <c:ser>
          <c:idx val="16"/>
          <c:order val="15"/>
          <c:tx>
            <c:strRef>
              <c:f>V.Poor!$A$21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V.Poor!$A$22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V.Poor!$K$26:$M$26</c:f>
              <c:numCache>
                <c:formatCode>0%</c:formatCode>
                <c:ptCount val="3"/>
                <c:pt idx="0">
                  <c:v>0.0892857142857143</c:v>
                </c:pt>
                <c:pt idx="1">
                  <c:v>0.0892857142857143</c:v>
                </c:pt>
                <c:pt idx="2" formatCode="0.0%">
                  <c:v>0.0892857142857143</c:v>
                </c:pt>
              </c:numCache>
            </c:numRef>
          </c:val>
        </c:ser>
        <c:ser>
          <c:idx val="21"/>
          <c:order val="21"/>
          <c:tx>
            <c:strRef>
              <c:f>V.Poor!$A$27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V.Poor!$K$27:$M$27</c:f>
              <c:numCache>
                <c:formatCode>0%</c:formatCode>
                <c:ptCount val="3"/>
                <c:pt idx="0">
                  <c:v>0.0252147814445828</c:v>
                </c:pt>
                <c:pt idx="1">
                  <c:v>0.0252147814445828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V.Poor!$K$28:$M$28</c:f>
              <c:numCache>
                <c:formatCode>0%</c:formatCode>
                <c:ptCount val="3"/>
                <c:pt idx="0">
                  <c:v>0.0129045205479452</c:v>
                </c:pt>
                <c:pt idx="1">
                  <c:v>0.0129045205479452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V.Poor!$K$29:$M$29</c:f>
              <c:numCache>
                <c:formatCode>0%</c:formatCode>
                <c:ptCount val="3"/>
                <c:pt idx="0">
                  <c:v>0.0751965312889165</c:v>
                </c:pt>
                <c:pt idx="1">
                  <c:v>0.0751965312889165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V.Poor!$K$30:$M$30</c:f>
              <c:numCache>
                <c:formatCode>0%</c:formatCode>
                <c:ptCount val="3"/>
                <c:pt idx="0">
                  <c:v>0.566234719800747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17474616"/>
        <c:axId val="2117469112"/>
      </c:barChart>
      <c:catAx>
        <c:axId val="2117474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174691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174691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4319877515310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1747461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(Poor!$AA$6,Poor!$AC$6,Poor!$AE$6,Poor!$AG$6)</c:f>
              <c:numCache>
                <c:formatCode>0.0%</c:formatCode>
                <c:ptCount val="4"/>
                <c:pt idx="0">
                  <c:v>0.00478640398505604</c:v>
                </c:pt>
                <c:pt idx="1">
                  <c:v>0.00478640398505604</c:v>
                </c:pt>
                <c:pt idx="2">
                  <c:v>0.00929125479452054</c:v>
                </c:pt>
                <c:pt idx="3">
                  <c:v>0.00929125479452054</c:v>
                </c:pt>
              </c:numCache>
            </c:numRef>
          </c:val>
        </c:ser>
        <c:ser>
          <c:idx val="12"/>
          <c:order val="1"/>
          <c:tx>
            <c:strRef>
              <c:f>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(Poor!$AA$7,Poor!$AC$7,Poor!$AE$7,Poor!$AG$7)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0.0187702117061021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(Poor!$AA$8,Poor!$AC$8,Poor!$AE$8,Poor!$AG$8)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(Poor!$AA$9,Poor!$AC$9,Poor!$AE$9,Poor!$AG$9)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0.166666666666667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(Poor!$AA$10,Poor!$AC$10,Poor!$AE$10,Poor!$AG$10)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1.27648291130137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Maize (irrigated):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(Poor!$AA$11,Poor!$AC$11,Poor!$AE$11,Poor!$AG$11)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0.399706770205479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(Poor!$AA$12,Poor!$AC$12,Poor!$AE$12,Poor!$AG$12)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0.00593868642590286</c:v>
                </c:pt>
                <c:pt idx="3">
                  <c:v>0.00292502465753425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Beans season 2: kg produced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(Poor!$AA$13,Poor!$AC$13,Poor!$AE$13,Poor!$AG$13)</c:f>
              <c:numCache>
                <c:formatCode>0.0%</c:formatCode>
                <c:ptCount val="4"/>
                <c:pt idx="0">
                  <c:v>0.0287223343711083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Poor!$A$14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(Poor!$AA$14,Poor!$AC$14,Poor!$AE$14,Poor!$AG$14)</c:f>
              <c:numCache>
                <c:formatCode>0.0%</c:formatCode>
                <c:ptCount val="4"/>
                <c:pt idx="0">
                  <c:v>0.0</c:v>
                </c:pt>
                <c:pt idx="1">
                  <c:v>0.0446721668742217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Poor!$A$15</c:f>
              <c:strCache>
                <c:ptCount val="1"/>
                <c:pt idx="0">
                  <c:v>Other root crops (sweet potato): no. local meas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(Poor!$AA$15,Poor!$AC$15,Poor!$AE$15,Poor!$AG$15)</c:f>
              <c:numCache>
                <c:formatCode>0.0%</c:formatCode>
                <c:ptCount val="4"/>
                <c:pt idx="0">
                  <c:v>0.0668688792029888</c:v>
                </c:pt>
                <c:pt idx="1">
                  <c:v>0.0668688792029888</c:v>
                </c:pt>
                <c:pt idx="2">
                  <c:v>0.0668688792029888</c:v>
                </c:pt>
                <c:pt idx="3">
                  <c:v>0.0668688792029888</c:v>
                </c:pt>
              </c:numCache>
            </c:numRef>
          </c:val>
        </c:ser>
        <c:ser>
          <c:idx val="1"/>
          <c:order val="10"/>
          <c:tx>
            <c:strRef>
              <c:f>Poor!$A$16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(Poor!$AA$16,Poor!$AC$16,Poor!$AE$16,Poor!$AG$16)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0.225326899128269</c:v>
                </c:pt>
              </c:numCache>
            </c:numRef>
          </c:val>
        </c:ser>
        <c:ser>
          <c:idx val="9"/>
          <c:order val="11"/>
          <c:tx>
            <c:strRef>
              <c:f>Poor!$A$17</c:f>
              <c:strCache>
                <c:ptCount val="1"/>
                <c:pt idx="0">
                  <c:v>Other crop: Rape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(Poor!$AA$17,Poor!$AC$17,Poor!$AE$17,Poor!$AG$17)</c:f>
              <c:numCache>
                <c:formatCode>0.0%</c:formatCode>
                <c:ptCount val="4"/>
                <c:pt idx="0">
                  <c:v>0.0276062110834371</c:v>
                </c:pt>
                <c:pt idx="1">
                  <c:v>0.0165674813200498</c:v>
                </c:pt>
                <c:pt idx="2">
                  <c:v>0.0220868462017435</c:v>
                </c:pt>
                <c:pt idx="3">
                  <c:v>0.0276062110834371</c:v>
                </c:pt>
              </c:numCache>
            </c:numRef>
          </c:val>
        </c:ser>
        <c:ser>
          <c:idx val="10"/>
          <c:order val="1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(Poor!$AA$28,Poor!$AC$28,Poor!$AE$28,Poor!$AG$28)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(Poor!$AA$29,Poor!$AC$29,Poor!$AE$29,Poor!$AG$29)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(Poor!$AA$30,Poor!$AC$30,Poor!$AE$30,Poor!$AG$30)</c:f>
              <c:numCache>
                <c:formatCode>0.0%;[Red]"Adjust!"</c:formatCode>
                <c:ptCount val="4"/>
                <c:pt idx="0">
                  <c:v>-0.620501083296569</c:v>
                </c:pt>
                <c:pt idx="1">
                  <c:v>-1.21042239881791</c:v>
                </c:pt>
                <c:pt idx="2">
                  <c:v>-1.21042239881791</c:v>
                </c:pt>
                <c:pt idx="3">
                  <c:v>-1.21042239881791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68886024"/>
        <c:axId val="-2068898680"/>
      </c:barChart>
      <c:catAx>
        <c:axId val="-2068886024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68898680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688986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849748289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6888602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2950819672131"/>
          <c:y val="0.0984251968503937"/>
          <c:w val="0.321311475409836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'Very 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(V.Poor!$AA$6,V.Poor!$AC$6,V.Poor!$AE$6,V.Poor!$AG$6)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V.Poor!$A$7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(V.Poor!$AA$7,V.Poor!$AC$7,V.Poor!$AE$7,V.Poor!$AG$7)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(V.Poor!$AA$8,V.Poor!$AC$8,V.Poor!$AE$8,V.Poor!$AG$8)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(V.Poor!$AA$9,V.Poor!$AC$9,V.Poor!$AE$9,V.Poor!$AG$9)</c:f>
              <c:numCache>
                <c:formatCode>0.0%</c:formatCode>
                <c:ptCount val="4"/>
                <c:pt idx="0">
                  <c:v>0.28014986469567</c:v>
                </c:pt>
                <c:pt idx="1">
                  <c:v>0.0531834686376631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(V.Poor!$AA$10,V.Poor!$AC$10,V.Poor!$AE$10,V.Poor!$AG$10)</c:f>
              <c:numCache>
                <c:formatCode>0.0%</c:formatCode>
                <c:ptCount val="4"/>
                <c:pt idx="0">
                  <c:v>0.338100704984464</c:v>
                </c:pt>
                <c:pt idx="1">
                  <c:v>0.0641848185771797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Maize (irrigated): kg produced</c:v>
                </c:pt>
              </c:strCache>
            </c:strRef>
          </c:tx>
          <c:spPr>
            <a:solidFill>
              <a:srgbClr val="F2DCD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(V.Poor!$AA$11,V.Poor!$AC$11,V.Poor!$AE$11,V.Poor!$AG$11)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(V.Poor!$AA$12,V.Poor!$AC$12,V.Poor!$AE$12,V.Poor!$AG$12)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0.00445401481942715</c:v>
                </c:pt>
                <c:pt idx="3">
                  <c:v>0.00219376849315068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Beans season 2: kg produced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(V.Poor!$AA$13,V.Poor!$AC$13,V.Poor!$AE$13,V.Poor!$AG$13)</c:f>
              <c:numCache>
                <c:formatCode>0.0%</c:formatCode>
                <c:ptCount val="4"/>
                <c:pt idx="0">
                  <c:v>0.0176752826899128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V.Poor!$A$14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(V.Poor!$AA$14,V.Poor!$AC$14,V.Poor!$AE$14,V.Poor!$AG$14)</c:f>
              <c:numCache>
                <c:formatCode>0.0%</c:formatCode>
                <c:ptCount val="4"/>
                <c:pt idx="0">
                  <c:v>0.0</c:v>
                </c:pt>
                <c:pt idx="1">
                  <c:v>0.0446721668742217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V.Poor!$A$15</c:f>
              <c:strCache>
                <c:ptCount val="1"/>
                <c:pt idx="0">
                  <c:v>Other root crops (sweet potato): no. local meas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(V.Poor!$AA$15,V.Poor!$AC$15,V.Poor!$AE$15,V.Poor!$AG$15)</c:f>
              <c:numCache>
                <c:formatCode>0.0%</c:formatCode>
                <c:ptCount val="4"/>
                <c:pt idx="0">
                  <c:v>0.0501516594022416</c:v>
                </c:pt>
                <c:pt idx="1">
                  <c:v>0.0501516594022416</c:v>
                </c:pt>
                <c:pt idx="2">
                  <c:v>0.0501516594022416</c:v>
                </c:pt>
                <c:pt idx="3">
                  <c:v>0.0501516594022416</c:v>
                </c:pt>
              </c:numCache>
            </c:numRef>
          </c:val>
        </c:ser>
        <c:ser>
          <c:idx val="1"/>
          <c:order val="10"/>
          <c:tx>
            <c:strRef>
              <c:f>V.Poor!$A$24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(V.Poor!$AA$24,V.Poor!$AC$24,V.Poor!$AE$24,V.Poor!$AG$24)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V.Poor!$A$25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(V.Poor!$AA$25,V.Poor!$AC$25,V.Poor!$AE$25,V.Poor!$AG$25)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(V.Poor!$AA$28,V.Poor!$AC$28,V.Poor!$AE$28,V.Poor!$AG$28)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(V.Poor!$AA$29,V.Poor!$AC$29,V.Poor!$AE$29,V.Poor!$AG$29)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(V.Poor!$AA$30,V.Poor!$AC$30,V.Poor!$AE$30,V.Poor!$AG$30)</c:f>
              <c:numCache>
                <c:formatCode>0.0%;[Red]"Adjust!"</c:formatCode>
                <c:ptCount val="4"/>
                <c:pt idx="0">
                  <c:v>-2.22044604925031E-16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14391496"/>
        <c:axId val="2114495096"/>
      </c:barChart>
      <c:catAx>
        <c:axId val="2114391496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4495096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21144950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90880551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439149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1835211775"/>
          <c:y val="0.0984251968503937"/>
          <c:w val="0.320261695229273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'Middle'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(Middle!$AA$6,Middle!$AC$6,Middle!$AE$6,Middle!$AG$6)</c:f>
              <c:numCache>
                <c:formatCode>0.0%</c:formatCode>
                <c:ptCount val="4"/>
                <c:pt idx="0">
                  <c:v>0.00957280797011208</c:v>
                </c:pt>
                <c:pt idx="1">
                  <c:v>0.00957280797011208</c:v>
                </c:pt>
                <c:pt idx="2">
                  <c:v>0.0185825095890411</c:v>
                </c:pt>
                <c:pt idx="3">
                  <c:v>0.0185825095890411</c:v>
                </c:pt>
              </c:numCache>
            </c:numRef>
          </c:val>
        </c:ser>
        <c:ser>
          <c:idx val="12"/>
          <c:order val="1"/>
          <c:tx>
            <c:strRef>
              <c:f>Middle!$A$7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(Middle!$AA$7,Middle!$AC$7,Middle!$AE$7,Middle!$AG$7)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0.0375404234122042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solidFill>
                <a:srgbClr val="66FF33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(Middle!$AA$8,Middle!$AC$8,Middle!$AE$8,Middle!$AG$8)</c:f>
              <c:numCache>
                <c:formatCode>0.0%</c:formatCode>
                <c:ptCount val="4"/>
                <c:pt idx="0">
                  <c:v>0.00306068524989456</c:v>
                </c:pt>
                <c:pt idx="1">
                  <c:v>0.00315750480127996</c:v>
                </c:pt>
                <c:pt idx="2">
                  <c:v>0.00317592501741258</c:v>
                </c:pt>
                <c:pt idx="3">
                  <c:v>0.0024187351804789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(Middle!$AA$9,Middle!$AC$9,Middle!$AE$9,Middle!$AG$9)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(Middle!$AA$10,Middle!$AC$10,Middle!$AE$10,Middle!$AG$10)</c:f>
              <c:numCache>
                <c:formatCode>0.0%</c:formatCode>
                <c:ptCount val="4"/>
                <c:pt idx="0">
                  <c:v>0.494666326050024</c:v>
                </c:pt>
                <c:pt idx="1">
                  <c:v>0.510314250571264</c:v>
                </c:pt>
                <c:pt idx="2">
                  <c:v>0.513291316128622</c:v>
                </c:pt>
                <c:pt idx="3">
                  <c:v>0.390914696457813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Maize (irrigated):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(Middle!$AA$11,Middle!$AC$11,Middle!$AE$11,Middle!$AG$11)</c:f>
              <c:numCache>
                <c:formatCode>0.0%</c:formatCode>
                <c:ptCount val="4"/>
                <c:pt idx="0">
                  <c:v>0.0925058910891566</c:v>
                </c:pt>
                <c:pt idx="1">
                  <c:v>0.0954321569886204</c:v>
                </c:pt>
                <c:pt idx="2">
                  <c:v>0.0959888880368268</c:v>
                </c:pt>
                <c:pt idx="3">
                  <c:v>0.0731036467034958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(Middle!$AA$12,Middle!$AC$12,Middle!$AE$12,Middle!$AG$12)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0.0267240889165629</c:v>
                </c:pt>
                <c:pt idx="3">
                  <c:v>0.0131626109589041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Beans season 2: kg produced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(Middle!$AA$13,Middle!$AC$13,Middle!$AE$13,Middle!$AG$13)</c:f>
              <c:numCache>
                <c:formatCode>0.0%</c:formatCode>
                <c:ptCount val="4"/>
                <c:pt idx="0">
                  <c:v>0.0525708578122454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Middle!$A$14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(Middle!$AA$14,Middle!$AC$14,Middle!$AE$14,Middle!$AG$14)</c:f>
              <c:numCache>
                <c:formatCode>0.0%</c:formatCode>
                <c:ptCount val="4"/>
                <c:pt idx="0">
                  <c:v>0.0</c:v>
                </c:pt>
                <c:pt idx="1">
                  <c:v>0.0446721668742217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Middle!$A$15</c:f>
              <c:strCache>
                <c:ptCount val="1"/>
                <c:pt idx="0">
                  <c:v>Other root crops (sweet potato): no. local meas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(Middle!$AA$15,Middle!$AC$15,Middle!$AE$15,Middle!$AG$15)</c:f>
              <c:numCache>
                <c:formatCode>0.0%</c:formatCode>
                <c:ptCount val="4"/>
                <c:pt idx="0">
                  <c:v>0.0922359201153333</c:v>
                </c:pt>
                <c:pt idx="1">
                  <c:v>0.0922359201153333</c:v>
                </c:pt>
                <c:pt idx="2">
                  <c:v>0.0922359201153333</c:v>
                </c:pt>
                <c:pt idx="3">
                  <c:v>0.0922359201153333</c:v>
                </c:pt>
              </c:numCache>
            </c:numRef>
          </c:val>
        </c:ser>
        <c:ser>
          <c:idx val="1"/>
          <c:order val="10"/>
          <c:tx>
            <c:strRef>
              <c:f>Middle!$A$16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(Middle!$AA$16,Middle!$AC$16,Middle!$AE$16,Middle!$AG$16)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0.332555766315613</c:v>
                </c:pt>
              </c:numCache>
            </c:numRef>
          </c:val>
        </c:ser>
        <c:ser>
          <c:idx val="9"/>
          <c:order val="11"/>
          <c:tx>
            <c:strRef>
              <c:f>Middle!$A$17</c:f>
              <c:strCache>
                <c:ptCount val="1"/>
                <c:pt idx="0">
                  <c:v>Other crop: Rape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(Middle!$AA$17,Middle!$AC$17,Middle!$AE$17,Middle!$AG$17)</c:f>
              <c:numCache>
                <c:formatCode>0.0%</c:formatCode>
                <c:ptCount val="4"/>
                <c:pt idx="0">
                  <c:v>0.026939957720398</c:v>
                </c:pt>
                <c:pt idx="1">
                  <c:v>0.016167638686332</c:v>
                </c:pt>
                <c:pt idx="2">
                  <c:v>0.021553798203365</c:v>
                </c:pt>
                <c:pt idx="3">
                  <c:v>0.026939957720398</c:v>
                </c:pt>
              </c:numCache>
            </c:numRef>
          </c:val>
        </c:ser>
        <c:ser>
          <c:idx val="10"/>
          <c:order val="1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(Middle!$AA$28,Middle!$AC$28,Middle!$AE$28,Middle!$AG$28)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(Middle!$AA$29,Middle!$AC$29,Middle!$AE$29,Middle!$AG$29)</c:f>
              <c:numCache>
                <c:formatCode>0.0%</c:formatCode>
                <c:ptCount val="4"/>
                <c:pt idx="0">
                  <c:v>0.220489222154479</c:v>
                </c:pt>
                <c:pt idx="1">
                  <c:v>0.220489222154479</c:v>
                </c:pt>
                <c:pt idx="2">
                  <c:v>0.220489222154479</c:v>
                </c:pt>
                <c:pt idx="3">
                  <c:v>0.220489222154479</c:v>
                </c:pt>
              </c:numCache>
            </c:numRef>
          </c:val>
        </c:ser>
        <c:ser>
          <c:idx val="13"/>
          <c:order val="1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(Middle!$AA$30,Middle!$AC$30,Middle!$AE$30,Middle!$AG$30)</c:f>
              <c:numCache>
                <c:formatCode>0.0%;[Red]"Adjust!"</c:formatCode>
                <c:ptCount val="4"/>
                <c:pt idx="0">
                  <c:v>2.22044604925031E-16</c:v>
                </c:pt>
                <c:pt idx="1">
                  <c:v>2.22044604925031E-16</c:v>
                </c:pt>
                <c:pt idx="2">
                  <c:v>2.22044604925031E-16</c:v>
                </c:pt>
                <c:pt idx="3">
                  <c:v>-0.215901820446118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86720728"/>
        <c:axId val="2114470248"/>
      </c:barChart>
      <c:catAx>
        <c:axId val="2086720728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4470248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21144702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672072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2362204724409"/>
          <c:w val="0.319078688354745"/>
          <c:h val="0.7322825345650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'Better-off'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(Rich!$AA$6,Rich!$AC$6,Rich!$AE$6,Rich!$AG$6)</c:f>
              <c:numCache>
                <c:formatCode>0.0%</c:formatCode>
                <c:ptCount val="4"/>
                <c:pt idx="0">
                  <c:v>0.0328210558975271</c:v>
                </c:pt>
                <c:pt idx="1">
                  <c:v>0.0328210558975271</c:v>
                </c:pt>
                <c:pt idx="2">
                  <c:v>0.0637114614481409</c:v>
                </c:pt>
                <c:pt idx="3">
                  <c:v>0.0637114614481409</c:v>
                </c:pt>
              </c:numCache>
            </c:numRef>
          </c:val>
        </c:ser>
        <c:ser>
          <c:idx val="12"/>
          <c:order val="1"/>
          <c:tx>
            <c:strRef>
              <c:f>Rich!$A$7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(Rich!$AA$7,Rich!$AC$7,Rich!$AE$7,Rich!$AG$7)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0.128710023127557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(Rich!$AA$8,Rich!$AC$8,Rich!$AE$8,Rich!$AG$8)</c:f>
              <c:numCache>
                <c:formatCode>0.0%</c:formatCode>
                <c:ptCount val="4"/>
                <c:pt idx="0">
                  <c:v>0.0887660814295344</c:v>
                </c:pt>
                <c:pt idx="1">
                  <c:v>0.0257545554678148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(Rich!$AA$9,Rich!$AC$9,Rich!$AE$9,Rich!$AG$9)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(Rich!$AA$10,Rich!$AC$10,Rich!$AE$10,Rich!$AG$10)</c:f>
              <c:numCache>
                <c:formatCode>0.0%</c:formatCode>
                <c:ptCount val="4"/>
                <c:pt idx="0">
                  <c:v>0.342812582404749</c:v>
                </c:pt>
                <c:pt idx="1">
                  <c:v>0.0994635059520645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Maize (irrigated):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(Rich!$AA$11,Rich!$AC$11,Rich!$AE$11,Rich!$AG$11)</c:f>
              <c:numCache>
                <c:formatCode>0.0%</c:formatCode>
                <c:ptCount val="4"/>
                <c:pt idx="0">
                  <c:v>0.169058653421887</c:v>
                </c:pt>
                <c:pt idx="1">
                  <c:v>0.0490506102865929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(Rich!$AA$12,Rich!$AC$12,Rich!$AE$12,Rich!$AG$12)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0.0763545397616082</c:v>
                </c:pt>
                <c:pt idx="3">
                  <c:v>0.0376074598825832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Beans season 2: kg produced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(Rich!$AA$13,Rich!$AC$13,Rich!$AE$13,Rich!$AG$13)</c:f>
              <c:numCache>
                <c:formatCode>0.0%</c:formatCode>
                <c:ptCount val="4"/>
                <c:pt idx="0">
                  <c:v>-0.00752266484366098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Rich!$A$14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(Rich!$AA$14,Rich!$AC$14,Rich!$AE$14,Rich!$AG$14)</c:f>
              <c:numCache>
                <c:formatCode>0.0%</c:formatCode>
                <c:ptCount val="4"/>
                <c:pt idx="0">
                  <c:v>0.0</c:v>
                </c:pt>
                <c:pt idx="1">
                  <c:v>0.0510539049991105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Rich!$A$15</c:f>
              <c:strCache>
                <c:ptCount val="1"/>
                <c:pt idx="0">
                  <c:v>Other root crops (sweet potato): no. local meas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(Rich!$AA$15,Rich!$AC$15,Rich!$AE$15,Rich!$AG$15)</c:f>
              <c:numCache>
                <c:formatCode>0.0%</c:formatCode>
                <c:ptCount val="4"/>
                <c:pt idx="0">
                  <c:v>0.0398212794695364</c:v>
                </c:pt>
                <c:pt idx="1">
                  <c:v>0.0398212794695364</c:v>
                </c:pt>
                <c:pt idx="2">
                  <c:v>0.0398212794695364</c:v>
                </c:pt>
                <c:pt idx="3">
                  <c:v>0.0398212794695364</c:v>
                </c:pt>
              </c:numCache>
            </c:numRef>
          </c:val>
        </c:ser>
        <c:ser>
          <c:idx val="1"/>
          <c:order val="10"/>
          <c:tx>
            <c:strRef>
              <c:f>Rich!$A$16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(Rich!$AA$16,Rich!$AC$16,Rich!$AE$16,Rich!$AG$16)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0.203455832892826</c:v>
                </c:pt>
              </c:numCache>
            </c:numRef>
          </c:val>
        </c:ser>
        <c:ser>
          <c:idx val="9"/>
          <c:order val="11"/>
          <c:tx>
            <c:strRef>
              <c:f>Rich!$A$17</c:f>
              <c:strCache>
                <c:ptCount val="1"/>
                <c:pt idx="0">
                  <c:v>Other crop: Rape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(Rich!$AA$17,Rich!$AC$17,Rich!$AE$17,Rich!$AG$17)</c:f>
              <c:numCache>
                <c:formatCode>0.0%</c:formatCode>
                <c:ptCount val="4"/>
                <c:pt idx="0">
                  <c:v>0.0278234356408176</c:v>
                </c:pt>
                <c:pt idx="1">
                  <c:v>0.0166978455987906</c:v>
                </c:pt>
                <c:pt idx="2">
                  <c:v>0.0222606406198041</c:v>
                </c:pt>
                <c:pt idx="3">
                  <c:v>0.0278234356408176</c:v>
                </c:pt>
              </c:numCache>
            </c:numRef>
          </c:val>
        </c:ser>
        <c:ser>
          <c:idx val="10"/>
          <c:order val="1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(Rich!$AA$28,Rich!$AC$28,Rich!$AE$28,Rich!$AG$28)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(Rich!$AA$29,Rich!$AC$29,Rich!$AE$29,Rich!$AG$29)</c:f>
              <c:numCache>
                <c:formatCode>0.0%</c:formatCode>
                <c:ptCount val="4"/>
                <c:pt idx="0">
                  <c:v>0.284914121195463</c:v>
                </c:pt>
                <c:pt idx="1">
                  <c:v>0.284914121195463</c:v>
                </c:pt>
                <c:pt idx="2">
                  <c:v>0.284914121195463</c:v>
                </c:pt>
                <c:pt idx="3">
                  <c:v>0.284914121195463</c:v>
                </c:pt>
              </c:numCache>
            </c:numRef>
          </c:val>
        </c:ser>
        <c:ser>
          <c:idx val="13"/>
          <c:order val="1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(Rich!$AA$30,Rich!$AC$30,Rich!$AE$30,Rich!$AG$30)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0.378917665748953</c:v>
                </c:pt>
                <c:pt idx="2">
                  <c:v>0.4914325021213</c:v>
                </c:pt>
                <c:pt idx="3">
                  <c:v>0.192450930958928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87076248"/>
        <c:axId val="2087451944"/>
      </c:barChart>
      <c:catAx>
        <c:axId val="2087076248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7451944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20874519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67623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707624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1960784313725"/>
          <c:w val="0.319078688354745"/>
          <c:h val="0.72941145592095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Poor!$A$37</c:f>
              <c:strCache>
                <c:ptCount val="1"/>
                <c:pt idx="0">
                  <c:v>Pig sales: no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Poor!$K$37:$M$37</c:f>
              <c:numCache>
                <c:formatCode>0%</c:formatCode>
                <c:ptCount val="3"/>
                <c:pt idx="0">
                  <c:v>0.0294594196494329</c:v>
                </c:pt>
                <c:pt idx="1">
                  <c:v>0.0278096921490647</c:v>
                </c:pt>
                <c:pt idx="2">
                  <c:v>0.0278096921490647</c:v>
                </c:pt>
              </c:numCache>
            </c:numRef>
          </c:val>
        </c:ser>
        <c:ser>
          <c:idx val="1"/>
          <c:order val="1"/>
          <c:tx>
            <c:strRef>
              <c:f>Poor!$A$38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Poor!$A$39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Poor!$A$40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Poor!$K$40:$M$40</c:f>
              <c:numCache>
                <c:formatCode>0%</c:formatCode>
                <c:ptCount val="3"/>
                <c:pt idx="0">
                  <c:v>0.00441891294741494</c:v>
                </c:pt>
                <c:pt idx="1">
                  <c:v>0.00674326115775519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Poor!$A$41</c:f>
              <c:strCache>
                <c:ptCount val="1"/>
                <c:pt idx="0">
                  <c:v>Maize (irrigated):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Poor!$K$41:$M$41</c:f>
              <c:numCache>
                <c:formatCode>0%</c:formatCode>
                <c:ptCount val="3"/>
                <c:pt idx="0">
                  <c:v>0.00441891294741494</c:v>
                </c:pt>
                <c:pt idx="1">
                  <c:v>0.00674326115775519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Poor!$A$42</c:f>
              <c:strCache>
                <c:ptCount val="1"/>
                <c:pt idx="0">
                  <c:v>Beans season 2: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Poor!$A$43</c:f>
              <c:strCache>
                <c:ptCount val="1"/>
                <c:pt idx="0">
                  <c:v>Other root crops (sweet potato): no. local meas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Poor!$K$43:$M$43</c:f>
              <c:numCache>
                <c:formatCode>0%</c:formatCode>
                <c:ptCount val="3"/>
                <c:pt idx="0">
                  <c:v>0.0147297098247165</c:v>
                </c:pt>
                <c:pt idx="1">
                  <c:v>0.020621593754603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Poor!$A$44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Poor!$K$44:$M$44</c:f>
              <c:numCache>
                <c:formatCode>0%</c:formatCode>
                <c:ptCount val="3"/>
                <c:pt idx="0">
                  <c:v>0.0132567388422448</c:v>
                </c:pt>
                <c:pt idx="1">
                  <c:v>0.0185594343791427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Poor!$A$45</c:f>
              <c:strCache>
                <c:ptCount val="1"/>
                <c:pt idx="0">
                  <c:v>Other crop: Rape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Poor!$K$45:$M$45</c:f>
              <c:numCache>
                <c:formatCode>0%</c:formatCode>
                <c:ptCount val="3"/>
                <c:pt idx="0">
                  <c:v>0.00257769921932538</c:v>
                </c:pt>
                <c:pt idx="1">
                  <c:v>0.00360877890705553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Poor!$A$46</c:f>
              <c:strCache>
                <c:ptCount val="1"/>
                <c:pt idx="0">
                  <c:v>Other cashcrop (cabbage): kg produced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Poor!$A$47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Poor!$K$47:$M$47</c:f>
              <c:numCache>
                <c:formatCode>0%</c:formatCode>
                <c:ptCount val="3"/>
                <c:pt idx="0">
                  <c:v>0.0184121372808956</c:v>
                </c:pt>
                <c:pt idx="1">
                  <c:v>0.0217263219914568</c:v>
                </c:pt>
                <c:pt idx="2">
                  <c:v>0.0554021210782147</c:v>
                </c:pt>
              </c:numCache>
            </c:numRef>
          </c:val>
        </c:ser>
        <c:ser>
          <c:idx val="11"/>
          <c:order val="11"/>
          <c:tx>
            <c:strRef>
              <c:f>Poor!$A$48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Poor!$K$48:$M$48</c:f>
              <c:numCache>
                <c:formatCode>0%</c:formatCode>
                <c:ptCount val="3"/>
                <c:pt idx="0">
                  <c:v>0.0159080866106938</c:v>
                </c:pt>
                <c:pt idx="1">
                  <c:v>0.0187715422006186</c:v>
                </c:pt>
                <c:pt idx="2">
                  <c:v>0.0234644277507733</c:v>
                </c:pt>
              </c:numCache>
            </c:numRef>
          </c:val>
        </c:ser>
        <c:ser>
          <c:idx val="12"/>
          <c:order val="12"/>
          <c:tx>
            <c:strRef>
              <c:f>Poor!$A$49</c:f>
              <c:strCache>
                <c:ptCount val="1"/>
                <c:pt idx="0">
                  <c:v>Agricultural casual work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Poor!$K$49:$M$49</c:f>
              <c:numCache>
                <c:formatCode>0%</c:formatCode>
                <c:ptCount val="3"/>
                <c:pt idx="0">
                  <c:v>0.0307114449845338</c:v>
                </c:pt>
                <c:pt idx="1">
                  <c:v>0.0340897039328325</c:v>
                </c:pt>
                <c:pt idx="2">
                  <c:v>0.0340897039328325</c:v>
                </c:pt>
              </c:numCache>
            </c:numRef>
          </c:val>
        </c:ser>
        <c:ser>
          <c:idx val="13"/>
          <c:order val="13"/>
          <c:tx>
            <c:strRef>
              <c:f>Poor!$A$50</c:f>
              <c:strCache>
                <c:ptCount val="1"/>
                <c:pt idx="0">
                  <c:v>Construction casual work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Poor!$K$50:$M$50</c:f>
              <c:numCache>
                <c:formatCode>0%</c:formatCode>
                <c:ptCount val="3"/>
                <c:pt idx="0">
                  <c:v>0.0212107821475917</c:v>
                </c:pt>
                <c:pt idx="1">
                  <c:v>0.0235439681838268</c:v>
                </c:pt>
                <c:pt idx="2">
                  <c:v>0.0235439681838268</c:v>
                </c:pt>
              </c:numCache>
            </c:numRef>
          </c:val>
        </c:ser>
        <c:ser>
          <c:idx val="14"/>
          <c:order val="14"/>
          <c:tx>
            <c:strRef>
              <c:f>Poor!$A$51</c:f>
              <c:strCache>
                <c:ptCount val="1"/>
                <c:pt idx="0">
                  <c:v>Domestic casual work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Poor!$K$51:$M$51</c:f>
              <c:numCache>
                <c:formatCode>0%</c:formatCode>
                <c:ptCount val="3"/>
                <c:pt idx="0">
                  <c:v>0.155545735749006</c:v>
                </c:pt>
                <c:pt idx="1">
                  <c:v>0.172655766681396</c:v>
                </c:pt>
                <c:pt idx="2">
                  <c:v>0.172655766681396</c:v>
                </c:pt>
              </c:numCache>
            </c:numRef>
          </c:val>
        </c:ser>
        <c:ser>
          <c:idx val="15"/>
          <c:order val="15"/>
          <c:tx>
            <c:strRef>
              <c:f>Poor!$A$52</c:f>
              <c:strCache>
                <c:ptCount val="1"/>
                <c:pt idx="0">
                  <c:v>Labour migration: no. people per HH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Poor!$K$52:$M$52</c:f>
              <c:numCache>
                <c:formatCode>0%</c:formatCode>
                <c:ptCount val="3"/>
                <c:pt idx="0">
                  <c:v>0.212107821475917</c:v>
                </c:pt>
                <c:pt idx="1">
                  <c:v>0.200229783473266</c:v>
                </c:pt>
                <c:pt idx="2">
                  <c:v>0.200229783473266</c:v>
                </c:pt>
              </c:numCache>
            </c:numRef>
          </c:val>
        </c:ser>
        <c:ser>
          <c:idx val="16"/>
          <c:order val="16"/>
          <c:tx>
            <c:strRef>
              <c:f>Poor!$A$53</c:f>
              <c:strCache>
                <c:ptCount val="1"/>
                <c:pt idx="0">
                  <c:v>Formal Employment (e.g. teachers, salaried staff, etc.)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Poor!$A$54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Poor!$K$54:$M$54</c:f>
              <c:numCache>
                <c:formatCode>0%</c:formatCode>
                <c:ptCount val="3"/>
                <c:pt idx="0">
                  <c:v>0.0945647370746796</c:v>
                </c:pt>
                <c:pt idx="1">
                  <c:v>0.0756517896597437</c:v>
                </c:pt>
                <c:pt idx="2">
                  <c:v>0.0907821475916924</c:v>
                </c:pt>
              </c:numCache>
            </c:numRef>
          </c:val>
        </c:ser>
        <c:ser>
          <c:idx val="18"/>
          <c:order val="18"/>
          <c:tx>
            <c:strRef>
              <c:f>Poor!$A$55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Poor!$K$55:$M$55</c:f>
              <c:numCache>
                <c:formatCode>0%</c:formatCode>
                <c:ptCount val="3"/>
                <c:pt idx="0">
                  <c:v>0.0141405214317278</c:v>
                </c:pt>
                <c:pt idx="1">
                  <c:v>0.013348652231551</c:v>
                </c:pt>
                <c:pt idx="2">
                  <c:v>0.013348652231551</c:v>
                </c:pt>
              </c:numCache>
            </c:numRef>
          </c:val>
        </c:ser>
        <c:ser>
          <c:idx val="19"/>
          <c:order val="19"/>
          <c:tx>
            <c:strRef>
              <c:f>Poor!$A$56</c:f>
              <c:strCache>
                <c:ptCount val="1"/>
                <c:pt idx="0">
                  <c:v>Social Cash Transfers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Poor!$K$56:$M$56</c:f>
              <c:numCache>
                <c:formatCode>0%</c:formatCode>
                <c:ptCount val="3"/>
                <c:pt idx="0">
                  <c:v>0.297834732655767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Poor!$A$57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Poor!$K$57:$M$57</c:f>
              <c:numCache>
                <c:formatCode>0%</c:formatCode>
                <c:ptCount val="3"/>
                <c:pt idx="0">
                  <c:v>0.070702607158639</c:v>
                </c:pt>
                <c:pt idx="1">
                  <c:v>0.0784798939460893</c:v>
                </c:pt>
                <c:pt idx="2">
                  <c:v>0.0784798939460892</c:v>
                </c:pt>
              </c:numCache>
            </c:numRef>
          </c:val>
        </c:ser>
        <c:ser>
          <c:idx val="21"/>
          <c:order val="21"/>
          <c:tx>
            <c:strRef>
              <c:f>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Poor!$A$60</c:f>
              <c:strCache>
                <c:ptCount val="1"/>
              </c:strCache>
            </c:strRef>
          </c:tx>
          <c:invertIfNegative val="0"/>
          <c:val>
            <c:numRef>
              <c:f>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Poor!$A$61</c:f>
              <c:strCache>
                <c:ptCount val="1"/>
              </c:strCache>
            </c:strRef>
          </c:tx>
          <c:invertIfNegative val="0"/>
          <c:val>
            <c:numRef>
              <c:f>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Poor!$A$62</c:f>
              <c:strCache>
                <c:ptCount val="1"/>
              </c:strCache>
            </c:strRef>
          </c:tx>
          <c:invertIfNegative val="0"/>
          <c:val>
            <c:numRef>
              <c:f>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Poor!$A$63</c:f>
              <c:strCache>
                <c:ptCount val="1"/>
              </c:strCache>
            </c:strRef>
          </c:tx>
          <c:invertIfNegative val="0"/>
          <c:val>
            <c:numRef>
              <c:f>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Poor!$A$64</c:f>
              <c:strCache>
                <c:ptCount val="1"/>
              </c:strCache>
            </c:strRef>
          </c:tx>
          <c:invertIfNegative val="0"/>
          <c:val>
            <c:numRef>
              <c:f>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87026680"/>
        <c:axId val="2087017640"/>
      </c:barChart>
      <c:catAx>
        <c:axId val="2087026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70176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870176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8547586061764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702668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8258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705557</xdr:colOff>
      <xdr:row>3</xdr:row>
      <xdr:rowOff>12700</xdr:rowOff>
    </xdr:from>
    <xdr:to>
      <xdr:col>16</xdr:col>
      <xdr:colOff>310445</xdr:colOff>
      <xdr:row>33</xdr:row>
      <xdr:rowOff>98778</xdr:rowOff>
    </xdr:to>
    <xdr:graphicFrame macro="">
      <xdr:nvGraphicFramePr>
        <xdr:cNvPr id="1548258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169333</xdr:colOff>
      <xdr:row>3</xdr:row>
      <xdr:rowOff>0</xdr:rowOff>
    </xdr:from>
    <xdr:to>
      <xdr:col>21</xdr:col>
      <xdr:colOff>550333</xdr:colOff>
      <xdr:row>33</xdr:row>
      <xdr:rowOff>12700</xdr:rowOff>
    </xdr:to>
    <xdr:graphicFrame macro="">
      <xdr:nvGraphicFramePr>
        <xdr:cNvPr id="1548258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8258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546100</xdr:colOff>
      <xdr:row>33</xdr:row>
      <xdr:rowOff>165100</xdr:rowOff>
    </xdr:from>
    <xdr:to>
      <xdr:col>10</xdr:col>
      <xdr:colOff>546100</xdr:colOff>
      <xdr:row>50</xdr:row>
      <xdr:rowOff>152400</xdr:rowOff>
    </xdr:to>
    <xdr:graphicFrame macro="">
      <xdr:nvGraphicFramePr>
        <xdr:cNvPr id="1548258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495300</xdr:colOff>
      <xdr:row>33</xdr:row>
      <xdr:rowOff>114300</xdr:rowOff>
    </xdr:from>
    <xdr:to>
      <xdr:col>5</xdr:col>
      <xdr:colOff>101600</xdr:colOff>
      <xdr:row>50</xdr:row>
      <xdr:rowOff>101600</xdr:rowOff>
    </xdr:to>
    <xdr:graphicFrame macro="">
      <xdr:nvGraphicFramePr>
        <xdr:cNvPr id="154825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38100</xdr:colOff>
      <xdr:row>34</xdr:row>
      <xdr:rowOff>12700</xdr:rowOff>
    </xdr:from>
    <xdr:to>
      <xdr:col>16</xdr:col>
      <xdr:colOff>25400</xdr:colOff>
      <xdr:row>51</xdr:row>
      <xdr:rowOff>0</xdr:rowOff>
    </xdr:to>
    <xdr:graphicFrame macro="">
      <xdr:nvGraphicFramePr>
        <xdr:cNvPr id="1548259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88900</xdr:colOff>
      <xdr:row>34</xdr:row>
      <xdr:rowOff>25400</xdr:rowOff>
    </xdr:from>
    <xdr:to>
      <xdr:col>21</xdr:col>
      <xdr:colOff>76200</xdr:colOff>
      <xdr:row>51</xdr:row>
      <xdr:rowOff>25400</xdr:rowOff>
    </xdr:to>
    <xdr:graphicFrame macro="">
      <xdr:nvGraphicFramePr>
        <xdr:cNvPr id="1548259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63454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3</xdr:row>
      <xdr:rowOff>12700</xdr:rowOff>
    </xdr:from>
    <xdr:to>
      <xdr:col>16</xdr:col>
      <xdr:colOff>228600</xdr:colOff>
      <xdr:row>35</xdr:row>
      <xdr:rowOff>165100</xdr:rowOff>
    </xdr:to>
    <xdr:graphicFrame macro="">
      <xdr:nvGraphicFramePr>
        <xdr:cNvPr id="163454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63454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634547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520700</xdr:colOff>
      <xdr:row>55</xdr:row>
      <xdr:rowOff>165100</xdr:rowOff>
    </xdr:from>
    <xdr:to>
      <xdr:col>19</xdr:col>
      <xdr:colOff>127000</xdr:colOff>
      <xdr:row>80</xdr:row>
      <xdr:rowOff>88900</xdr:rowOff>
    </xdr:to>
    <xdr:graphicFrame macro="">
      <xdr:nvGraphicFramePr>
        <xdr:cNvPr id="1634547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596900</xdr:colOff>
      <xdr:row>81</xdr:row>
      <xdr:rowOff>12700</xdr:rowOff>
    </xdr:from>
    <xdr:to>
      <xdr:col>17</xdr:col>
      <xdr:colOff>635000</xdr:colOff>
      <xdr:row>104</xdr:row>
      <xdr:rowOff>0</xdr:rowOff>
    </xdr:to>
    <xdr:graphicFrame macro="">
      <xdr:nvGraphicFramePr>
        <xdr:cNvPr id="1634547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139700</xdr:colOff>
      <xdr:row>109</xdr:row>
      <xdr:rowOff>63500</xdr:rowOff>
    </xdr:from>
    <xdr:to>
      <xdr:col>16</xdr:col>
      <xdr:colOff>177800</xdr:colOff>
      <xdr:row>129</xdr:row>
      <xdr:rowOff>101600</xdr:rowOff>
    </xdr:to>
    <xdr:graphicFrame macro="">
      <xdr:nvGraphicFramePr>
        <xdr:cNvPr id="1634547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9860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3</xdr:row>
      <xdr:rowOff>12700</xdr:rowOff>
    </xdr:from>
    <xdr:to>
      <xdr:col>16</xdr:col>
      <xdr:colOff>12700</xdr:colOff>
      <xdr:row>33</xdr:row>
      <xdr:rowOff>12700</xdr:rowOff>
    </xdr:to>
    <xdr:graphicFrame macro="">
      <xdr:nvGraphicFramePr>
        <xdr:cNvPr id="1549860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549860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9860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72</xdr:row>
      <xdr:rowOff>114300</xdr:rowOff>
    </xdr:from>
    <xdr:to>
      <xdr:col>15</xdr:col>
      <xdr:colOff>63500</xdr:colOff>
      <xdr:row>103</xdr:row>
      <xdr:rowOff>38100</xdr:rowOff>
    </xdr:to>
    <xdr:graphicFrame macro="">
      <xdr:nvGraphicFramePr>
        <xdr:cNvPr id="1550372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571500</xdr:colOff>
      <xdr:row>72</xdr:row>
      <xdr:rowOff>127000</xdr:rowOff>
    </xdr:from>
    <xdr:to>
      <xdr:col>29</xdr:col>
      <xdr:colOff>419100</xdr:colOff>
      <xdr:row>103</xdr:row>
      <xdr:rowOff>63500</xdr:rowOff>
    </xdr:to>
    <xdr:graphicFrame macro="">
      <xdr:nvGraphicFramePr>
        <xdr:cNvPr id="155037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63500</xdr:colOff>
      <xdr:row>104</xdr:row>
      <xdr:rowOff>38100</xdr:rowOff>
    </xdr:from>
    <xdr:to>
      <xdr:col>18</xdr:col>
      <xdr:colOff>228600</xdr:colOff>
      <xdr:row>132</xdr:row>
      <xdr:rowOff>76200</xdr:rowOff>
    </xdr:to>
    <xdr:graphicFrame macro="">
      <xdr:nvGraphicFramePr>
        <xdr:cNvPr id="155037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25400</xdr:colOff>
      <xdr:row>73</xdr:row>
      <xdr:rowOff>12700</xdr:rowOff>
    </xdr:from>
    <xdr:to>
      <xdr:col>43</xdr:col>
      <xdr:colOff>533400</xdr:colOff>
      <xdr:row>103</xdr:row>
      <xdr:rowOff>50800</xdr:rowOff>
    </xdr:to>
    <xdr:graphicFrame macro="">
      <xdr:nvGraphicFramePr>
        <xdr:cNvPr id="155037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zaloi_baselin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uide"/>
      <sheetName val="WB"/>
      <sheetName val="Data"/>
      <sheetName val="Data 2"/>
      <sheetName val="Data 3"/>
      <sheetName val="Data 4"/>
      <sheetName val="Summ"/>
      <sheetName val="Exp factors"/>
      <sheetName val="Seasonal cal"/>
      <sheetName val="Methods"/>
      <sheetName val="Graphs"/>
      <sheetName val="zaloi_baseline.xlsx"/>
    </sheetNames>
    <definedNames>
      <definedName name="WB_summary" refersTo="='WB'!$CK$9"/>
    </definedNames>
    <sheetDataSet>
      <sheetData sheetId="0"/>
      <sheetData sheetId="1">
        <row r="1">
          <cell r="B1" t="str">
            <v>ZALOI</v>
          </cell>
          <cell r="D1">
            <v>59302</v>
          </cell>
        </row>
        <row r="2">
          <cell r="A2" t="str">
            <v>Lowveld Open Access Irrigated Cropping Livelihood Zone</v>
          </cell>
        </row>
        <row r="9">
          <cell r="CK9">
            <v>0.47</v>
          </cell>
        </row>
        <row r="10">
          <cell r="CK10">
            <v>0.25</v>
          </cell>
        </row>
        <row r="11">
          <cell r="CK11">
            <v>0.18</v>
          </cell>
        </row>
        <row r="12">
          <cell r="CK12">
            <v>0.1</v>
          </cell>
        </row>
      </sheetData>
      <sheetData sheetId="2"/>
      <sheetData sheetId="3"/>
      <sheetData sheetId="4"/>
      <sheetData sheetId="5"/>
      <sheetData sheetId="6">
        <row r="1">
          <cell r="P1">
            <v>8800</v>
          </cell>
        </row>
        <row r="892">
          <cell r="H892">
            <v>0</v>
          </cell>
          <cell r="I892">
            <v>0</v>
          </cell>
          <cell r="J892">
            <v>0</v>
          </cell>
          <cell r="K892">
            <v>0</v>
          </cell>
        </row>
        <row r="1031">
          <cell r="C1031">
            <v>20998.795168409193</v>
          </cell>
          <cell r="E1031">
            <v>20998.795168409193</v>
          </cell>
          <cell r="H1031">
            <v>20998.795168409197</v>
          </cell>
          <cell r="J1031">
            <v>18373.945772358045</v>
          </cell>
        </row>
        <row r="1032">
          <cell r="C1032">
            <v>17178.666666666668</v>
          </cell>
          <cell r="E1032">
            <v>17178.666666666668</v>
          </cell>
          <cell r="H1032">
            <v>17178.666666666668</v>
          </cell>
          <cell r="J1032">
            <v>15031.333333333334</v>
          </cell>
        </row>
        <row r="1033">
          <cell r="C1033">
            <v>27744</v>
          </cell>
          <cell r="E1033">
            <v>27744</v>
          </cell>
          <cell r="H1033">
            <v>27744</v>
          </cell>
          <cell r="J1033">
            <v>24276</v>
          </cell>
        </row>
        <row r="1034">
          <cell r="C1034">
            <v>1775</v>
          </cell>
          <cell r="E1034">
            <v>3785</v>
          </cell>
          <cell r="H1034">
            <v>40390</v>
          </cell>
          <cell r="J1034">
            <v>77950</v>
          </cell>
        </row>
        <row r="1037">
          <cell r="C1037" t="str">
            <v>maize</v>
          </cell>
          <cell r="E1037" t="str">
            <v>maize</v>
          </cell>
          <cell r="H1037" t="str">
            <v>maize</v>
          </cell>
          <cell r="J1037" t="str">
            <v>maize</v>
          </cell>
        </row>
        <row r="1038">
          <cell r="C1038">
            <v>0.58123152089493346</v>
          </cell>
          <cell r="E1038">
            <v>0.58123152089493346</v>
          </cell>
          <cell r="H1038">
            <v>0.58123152089493346</v>
          </cell>
          <cell r="J1038">
            <v>0.58123152089493346</v>
          </cell>
        </row>
        <row r="1039">
          <cell r="C1039">
            <v>8</v>
          </cell>
          <cell r="E1039">
            <v>8</v>
          </cell>
          <cell r="H1039">
            <v>8</v>
          </cell>
          <cell r="J1039">
            <v>7</v>
          </cell>
        </row>
        <row r="1040">
          <cell r="C1040">
            <v>4.5714285714285712</v>
          </cell>
          <cell r="E1040">
            <v>4.5714285714285712</v>
          </cell>
          <cell r="H1040">
            <v>4.5714285714285712</v>
          </cell>
          <cell r="J1040">
            <v>4.5714285714285712</v>
          </cell>
        </row>
        <row r="1044">
          <cell r="A1044" t="str">
            <v>Cows' milk - season 1</v>
          </cell>
          <cell r="C1044">
            <v>0</v>
          </cell>
          <cell r="D1044">
            <v>0</v>
          </cell>
          <cell r="E1044">
            <v>1.4077658779576585E-2</v>
          </cell>
          <cell r="F1044">
            <v>0</v>
          </cell>
          <cell r="H1044">
            <v>2.8155317559153167E-2</v>
          </cell>
          <cell r="I1044">
            <v>0</v>
          </cell>
          <cell r="J1044">
            <v>9.6532517345668034E-2</v>
          </cell>
          <cell r="K1044">
            <v>0</v>
          </cell>
        </row>
        <row r="1045">
          <cell r="A1045" t="str">
            <v>Cows' milk - season 2</v>
          </cell>
          <cell r="C1045">
            <v>0</v>
          </cell>
          <cell r="D1045">
            <v>0</v>
          </cell>
          <cell r="E1045">
            <v>9.3851058530510581E-3</v>
          </cell>
          <cell r="F1045">
            <v>0</v>
          </cell>
          <cell r="H1045">
            <v>1.8770211706102116E-2</v>
          </cell>
          <cell r="I1045">
            <v>0</v>
          </cell>
          <cell r="J1045">
            <v>6.4355011563778666E-2</v>
          </cell>
          <cell r="K1045">
            <v>0</v>
          </cell>
        </row>
        <row r="1046">
          <cell r="A1046" t="str">
            <v>Own meat</v>
          </cell>
          <cell r="C1046">
            <v>0</v>
          </cell>
          <cell r="D1046">
            <v>0</v>
          </cell>
          <cell r="E1046">
            <v>0</v>
          </cell>
          <cell r="F1046">
            <v>0</v>
          </cell>
          <cell r="H1046">
            <v>5.906425124533001E-3</v>
          </cell>
          <cell r="I1046">
            <v>0</v>
          </cell>
          <cell r="J1046">
            <v>5.7260318448674609E-2</v>
          </cell>
          <cell r="K1046">
            <v>0</v>
          </cell>
        </row>
        <row r="1047">
          <cell r="A1047" t="str">
            <v>Green cons - Season 1: no of months</v>
          </cell>
          <cell r="C1047">
            <v>8.3333333333333329E-2</v>
          </cell>
          <cell r="D1047">
            <v>0</v>
          </cell>
          <cell r="E1047">
            <v>4.1666666666666664E-2</v>
          </cell>
          <cell r="F1047">
            <v>0</v>
          </cell>
          <cell r="H1047">
            <v>0</v>
          </cell>
          <cell r="I1047">
            <v>0</v>
          </cell>
          <cell r="J1047">
            <v>0</v>
          </cell>
          <cell r="K1047">
            <v>0</v>
          </cell>
        </row>
        <row r="1048">
          <cell r="A1048" t="str">
            <v>Maize: kg produced</v>
          </cell>
          <cell r="C1048">
            <v>9.2267321917808204E-2</v>
          </cell>
          <cell r="D1048">
            <v>0</v>
          </cell>
          <cell r="E1048">
            <v>0.24545473458904107</v>
          </cell>
          <cell r="F1048">
            <v>4.7316575342465722E-2</v>
          </cell>
          <cell r="H1048">
            <v>0.32530145547945205</v>
          </cell>
          <cell r="I1048">
            <v>0.14194972602739725</v>
          </cell>
          <cell r="J1048">
            <v>0.10815217221135029</v>
          </cell>
          <cell r="K1048">
            <v>0.54076086105675136</v>
          </cell>
        </row>
        <row r="1049">
          <cell r="A1049" t="str">
            <v>Maize (irrigated): kg produced</v>
          </cell>
          <cell r="C1049">
            <v>0</v>
          </cell>
          <cell r="D1049">
            <v>0</v>
          </cell>
          <cell r="E1049">
            <v>4.4359289383561637E-2</v>
          </cell>
          <cell r="F1049">
            <v>4.7316575342465764E-2</v>
          </cell>
          <cell r="H1049">
            <v>4.4359289383561637E-2</v>
          </cell>
          <cell r="I1049">
            <v>4.7316575342465764E-2</v>
          </cell>
          <cell r="J1049">
            <v>5.069633072407044E-2</v>
          </cell>
          <cell r="K1049">
            <v>5.4076086105675158E-2</v>
          </cell>
        </row>
        <row r="1050">
          <cell r="A1050" t="str">
            <v>Cowpeas: kg produced</v>
          </cell>
          <cell r="C1050">
            <v>1.6619458281444583E-3</v>
          </cell>
          <cell r="D1050">
            <v>0</v>
          </cell>
          <cell r="E1050">
            <v>2.2159277708592774E-3</v>
          </cell>
          <cell r="F1050">
            <v>0</v>
          </cell>
          <cell r="H1050">
            <v>9.9716749688667488E-3</v>
          </cell>
          <cell r="I1050">
            <v>0</v>
          </cell>
          <cell r="J1050">
            <v>2.8490499911047854E-2</v>
          </cell>
          <cell r="K1050">
            <v>0</v>
          </cell>
        </row>
        <row r="1051">
          <cell r="A1051" t="str">
            <v>Beans season 2: kg produced</v>
          </cell>
          <cell r="C1051">
            <v>4.4188206724782072E-3</v>
          </cell>
          <cell r="D1051">
            <v>0</v>
          </cell>
          <cell r="E1051">
            <v>7.1805835927770869E-3</v>
          </cell>
          <cell r="F1051">
            <v>0</v>
          </cell>
          <cell r="H1051">
            <v>0</v>
          </cell>
          <cell r="I1051">
            <v>1.6570577521793275E-2</v>
          </cell>
          <cell r="J1051">
            <v>0</v>
          </cell>
          <cell r="K1051">
            <v>0.15150242305639566</v>
          </cell>
        </row>
        <row r="1052">
          <cell r="A1052" t="str">
            <v>Water melon: no. local meas</v>
          </cell>
          <cell r="C1052">
            <v>1.1168041718555417E-2</v>
          </cell>
          <cell r="D1052">
            <v>0</v>
          </cell>
          <cell r="E1052">
            <v>1.1168041718555417E-2</v>
          </cell>
          <cell r="F1052">
            <v>0</v>
          </cell>
          <cell r="H1052">
            <v>1.1168041718555417E-2</v>
          </cell>
          <cell r="I1052">
            <v>0</v>
          </cell>
          <cell r="J1052">
            <v>1.2763476249777621E-2</v>
          </cell>
          <cell r="K1052">
            <v>0</v>
          </cell>
        </row>
        <row r="1053">
          <cell r="A1053" t="str">
            <v>Other root crops (sweet potato): no. local meas</v>
          </cell>
          <cell r="C1053">
            <v>3.7149377334993777E-3</v>
          </cell>
          <cell r="D1053">
            <v>4.6436721668742215E-2</v>
          </cell>
          <cell r="E1053">
            <v>2.0432157534246573E-2</v>
          </cell>
          <cell r="F1053">
            <v>4.6436721668742215E-2</v>
          </cell>
          <cell r="H1053">
            <v>1.8574688667496887E-2</v>
          </cell>
          <cell r="I1053">
            <v>9.2873443337484457E-2</v>
          </cell>
          <cell r="J1053">
            <v>4.2456431239992889E-2</v>
          </cell>
          <cell r="K1053">
            <v>0.21228215619996443</v>
          </cell>
        </row>
        <row r="1054">
          <cell r="A1054" t="str">
            <v>Groundnuts (dry): no. local meas</v>
          </cell>
          <cell r="C1054">
            <v>0</v>
          </cell>
          <cell r="D1054">
            <v>5.1825186799501861E-3</v>
          </cell>
          <cell r="E1054">
            <v>2.2532689912826899E-2</v>
          </cell>
          <cell r="F1054">
            <v>3.3799034869240345E-2</v>
          </cell>
          <cell r="H1054">
            <v>5.6331724782067244E-2</v>
          </cell>
          <cell r="I1054">
            <v>3.3799034869240352E-2</v>
          </cell>
          <cell r="J1054">
            <v>5.1503291229318619E-2</v>
          </cell>
          <cell r="K1054">
            <v>5.1503291229318619E-2</v>
          </cell>
        </row>
        <row r="1055">
          <cell r="A1055" t="str">
            <v>Other crop: Rape</v>
          </cell>
          <cell r="C1055">
            <v>4.693337484433375E-3</v>
          </cell>
          <cell r="D1055">
            <v>0</v>
          </cell>
          <cell r="E1055">
            <v>2.072890722291407E-2</v>
          </cell>
          <cell r="F1055">
            <v>2.7377801992528039E-3</v>
          </cell>
          <cell r="H1055">
            <v>2.072890722291407E-2</v>
          </cell>
          <cell r="I1055">
            <v>2.7377801992528039E-3</v>
          </cell>
          <cell r="J1055">
            <v>2.369017968333037E-2</v>
          </cell>
          <cell r="K1055">
            <v>3.1288916562889138E-3</v>
          </cell>
        </row>
        <row r="1056">
          <cell r="A1056" t="str">
            <v>WILD FOODS -- see worksheet Data 3</v>
          </cell>
          <cell r="C1056">
            <v>1.159285491905355E-2</v>
          </cell>
          <cell r="D1056">
            <v>-1.159285491905355E-2</v>
          </cell>
          <cell r="E1056">
            <v>0</v>
          </cell>
          <cell r="F1056">
            <v>0</v>
          </cell>
          <cell r="H1056">
            <v>0</v>
          </cell>
          <cell r="I1056">
            <v>0</v>
          </cell>
          <cell r="J1056">
            <v>0</v>
          </cell>
          <cell r="K1056">
            <v>0</v>
          </cell>
        </row>
        <row r="1057">
          <cell r="A1057" t="str">
            <v>Labour: Weeding, ploughing</v>
          </cell>
          <cell r="C1057">
            <v>0.1537788698630137</v>
          </cell>
          <cell r="D1057">
            <v>0</v>
          </cell>
          <cell r="E1057">
            <v>7.9846720890410949E-2</v>
          </cell>
          <cell r="F1057">
            <v>0</v>
          </cell>
          <cell r="H1057">
            <v>0</v>
          </cell>
          <cell r="I1057">
            <v>0</v>
          </cell>
          <cell r="J1057">
            <v>0</v>
          </cell>
          <cell r="K1057">
            <v>0</v>
          </cell>
        </row>
        <row r="1058">
          <cell r="A1058" t="str">
            <v>Gifts/remittances: cereal</v>
          </cell>
          <cell r="C1058">
            <v>5.8982783312577841E-3</v>
          </cell>
          <cell r="D1058">
            <v>0</v>
          </cell>
          <cell r="E1058">
            <v>7.0779339975093397E-3</v>
          </cell>
          <cell r="F1058">
            <v>0</v>
          </cell>
          <cell r="H1058">
            <v>9.4372453300124535E-3</v>
          </cell>
          <cell r="I1058">
            <v>0</v>
          </cell>
          <cell r="J1058">
            <v>0</v>
          </cell>
          <cell r="K1058">
            <v>0</v>
          </cell>
        </row>
        <row r="1059">
          <cell r="A1059" t="str">
            <v/>
          </cell>
          <cell r="C1059" t="str">
            <v/>
          </cell>
          <cell r="D1059" t="str">
            <v/>
          </cell>
          <cell r="E1059" t="str">
            <v/>
          </cell>
          <cell r="F1059" t="str">
            <v/>
          </cell>
          <cell r="H1059" t="str">
            <v/>
          </cell>
          <cell r="I1059" t="str">
            <v/>
          </cell>
          <cell r="J1059" t="str">
            <v/>
          </cell>
          <cell r="K1059" t="str">
            <v/>
          </cell>
        </row>
        <row r="1060">
          <cell r="A1060" t="str">
            <v/>
          </cell>
          <cell r="C1060" t="str">
            <v/>
          </cell>
          <cell r="D1060" t="str">
            <v/>
          </cell>
          <cell r="E1060" t="str">
            <v/>
          </cell>
          <cell r="F1060" t="str">
            <v/>
          </cell>
          <cell r="H1060" t="str">
            <v/>
          </cell>
          <cell r="I1060" t="str">
            <v/>
          </cell>
          <cell r="J1060" t="str">
            <v/>
          </cell>
          <cell r="K1060" t="str">
            <v/>
          </cell>
        </row>
        <row r="1061">
          <cell r="A1061" t="str">
            <v/>
          </cell>
          <cell r="C1061" t="str">
            <v/>
          </cell>
          <cell r="D1061" t="str">
            <v/>
          </cell>
          <cell r="E1061" t="str">
            <v/>
          </cell>
          <cell r="F1061" t="str">
            <v/>
          </cell>
          <cell r="H1061" t="str">
            <v/>
          </cell>
          <cell r="I1061" t="str">
            <v/>
          </cell>
          <cell r="J1061" t="str">
            <v/>
          </cell>
          <cell r="K1061" t="str">
            <v/>
          </cell>
        </row>
        <row r="1062">
          <cell r="A1062" t="str">
            <v/>
          </cell>
          <cell r="C1062" t="str">
            <v/>
          </cell>
          <cell r="D1062" t="str">
            <v/>
          </cell>
          <cell r="E1062" t="str">
            <v/>
          </cell>
          <cell r="F1062" t="str">
            <v/>
          </cell>
          <cell r="H1062" t="str">
            <v/>
          </cell>
          <cell r="I1062" t="str">
            <v/>
          </cell>
          <cell r="J1062" t="str">
            <v/>
          </cell>
          <cell r="K1062" t="str">
            <v/>
          </cell>
        </row>
        <row r="1063">
          <cell r="A1063" t="str">
            <v/>
          </cell>
          <cell r="C1063" t="str">
            <v/>
          </cell>
          <cell r="D1063" t="str">
            <v/>
          </cell>
          <cell r="E1063" t="str">
            <v/>
          </cell>
          <cell r="F1063" t="str">
            <v/>
          </cell>
          <cell r="H1063" t="str">
            <v/>
          </cell>
          <cell r="I1063" t="str">
            <v/>
          </cell>
          <cell r="J1063" t="str">
            <v/>
          </cell>
          <cell r="K1063" t="str">
            <v/>
          </cell>
        </row>
        <row r="1064">
          <cell r="A1064" t="str">
            <v>Food aid</v>
          </cell>
          <cell r="C1064">
            <v>8.9285714285714288E-2</v>
          </cell>
          <cell r="D1064">
            <v>0</v>
          </cell>
          <cell r="E1064">
            <v>7.4404761904761904E-2</v>
          </cell>
          <cell r="F1064">
            <v>0</v>
          </cell>
          <cell r="H1064">
            <v>0</v>
          </cell>
          <cell r="I1064">
            <v>0</v>
          </cell>
          <cell r="J1064">
            <v>0</v>
          </cell>
          <cell r="K1064">
            <v>0</v>
          </cell>
        </row>
        <row r="1065">
          <cell r="A1065" t="str">
            <v>Purchase - other</v>
          </cell>
          <cell r="C1065">
            <v>2.5214781444582817E-2</v>
          </cell>
          <cell r="D1065">
            <v>-2.5214781444582817E-2</v>
          </cell>
          <cell r="E1065">
            <v>2.4110076276463267E-2</v>
          </cell>
          <cell r="F1065">
            <v>-2.4110076276463267E-2</v>
          </cell>
          <cell r="H1065">
            <v>3.847124346201744E-2</v>
          </cell>
          <cell r="I1065">
            <v>-3.847124346201744E-2</v>
          </cell>
          <cell r="J1065">
            <v>2.1241771926703436E-2</v>
          </cell>
          <cell r="K1065">
            <v>-2.1241771926703436E-2</v>
          </cell>
        </row>
        <row r="1066">
          <cell r="A1066" t="str">
            <v>Purchase - desirable</v>
          </cell>
          <cell r="C1066">
            <v>1.2904520547945206E-2</v>
          </cell>
          <cell r="D1066">
            <v>-1.2904520547945206E-2</v>
          </cell>
          <cell r="E1066">
            <v>0</v>
          </cell>
          <cell r="F1066">
            <v>0</v>
          </cell>
          <cell r="H1066">
            <v>0</v>
          </cell>
          <cell r="I1066">
            <v>0</v>
          </cell>
          <cell r="J1066">
            <v>0</v>
          </cell>
          <cell r="K1066">
            <v>0</v>
          </cell>
        </row>
        <row r="1067">
          <cell r="A1067" t="str">
            <v>Purchase - fpl non staple</v>
          </cell>
          <cell r="C1067">
            <v>7.519653128891654E-2</v>
          </cell>
          <cell r="D1067">
            <v>0.14944024265308051</v>
          </cell>
          <cell r="E1067">
            <v>9.6733393991282668E-2</v>
          </cell>
          <cell r="F1067">
            <v>0.12790337995071438</v>
          </cell>
          <cell r="H1067">
            <v>0.20458716080323786</v>
          </cell>
          <cell r="I1067">
            <v>2.0049613138759227E-2</v>
          </cell>
          <cell r="J1067">
            <v>0.28417504643301905</v>
          </cell>
          <cell r="K1067">
            <v>-5.9538272491021962E-2</v>
          </cell>
        </row>
        <row r="1068">
          <cell r="A1068" t="str">
            <v>Purchase - staple</v>
          </cell>
          <cell r="C1068">
            <v>0.56623471980074724</v>
          </cell>
          <cell r="E1068">
            <v>0.59392078206724785</v>
          </cell>
          <cell r="H1068">
            <v>0.63544987546699883</v>
          </cell>
          <cell r="J1068">
            <v>0.64712539405799685</v>
          </cell>
        </row>
        <row r="1072">
          <cell r="A1072" t="str">
            <v>Pig sales: no sold</v>
          </cell>
          <cell r="C1072">
            <v>0</v>
          </cell>
          <cell r="D1072">
            <v>0</v>
          </cell>
          <cell r="E1072">
            <v>2000</v>
          </cell>
          <cell r="F1072">
            <v>0</v>
          </cell>
          <cell r="H1072">
            <v>2800</v>
          </cell>
          <cell r="I1072">
            <v>0</v>
          </cell>
          <cell r="J1072">
            <v>4900</v>
          </cell>
          <cell r="K1072">
            <v>0</v>
          </cell>
        </row>
        <row r="1073">
          <cell r="A1073" t="str">
            <v>Cattle sales - local: no. sold</v>
          </cell>
          <cell r="C1073">
            <v>0</v>
          </cell>
          <cell r="D1073">
            <v>0</v>
          </cell>
          <cell r="E1073">
            <v>0</v>
          </cell>
          <cell r="F1073">
            <v>0</v>
          </cell>
          <cell r="H1073">
            <v>5000</v>
          </cell>
          <cell r="I1073">
            <v>2500</v>
          </cell>
          <cell r="J1073">
            <v>18000</v>
          </cell>
          <cell r="K1073">
            <v>0</v>
          </cell>
        </row>
        <row r="1074">
          <cell r="A1074" t="str">
            <v>Goat sales - local: no. sold</v>
          </cell>
          <cell r="C1074">
            <v>0</v>
          </cell>
          <cell r="D1074">
            <v>0</v>
          </cell>
          <cell r="E1074">
            <v>0</v>
          </cell>
          <cell r="F1074">
            <v>0</v>
          </cell>
          <cell r="H1074">
            <v>1000</v>
          </cell>
          <cell r="I1074">
            <v>-250</v>
          </cell>
          <cell r="J1074">
            <v>2250</v>
          </cell>
          <cell r="K1074">
            <v>-750</v>
          </cell>
        </row>
        <row r="1075">
          <cell r="A1075" t="str">
            <v>Maize: kg produced</v>
          </cell>
          <cell r="C1075">
            <v>0</v>
          </cell>
          <cell r="D1075">
            <v>0</v>
          </cell>
          <cell r="E1075">
            <v>300</v>
          </cell>
          <cell r="F1075">
            <v>-300</v>
          </cell>
          <cell r="H1075">
            <v>900</v>
          </cell>
          <cell r="I1075">
            <v>-900</v>
          </cell>
          <cell r="J1075">
            <v>3000</v>
          </cell>
          <cell r="K1075">
            <v>-3000</v>
          </cell>
        </row>
        <row r="1076">
          <cell r="A1076" t="str">
            <v>Maize (irrigated): kg produced</v>
          </cell>
          <cell r="C1076">
            <v>0</v>
          </cell>
          <cell r="D1076">
            <v>0</v>
          </cell>
          <cell r="E1076">
            <v>300</v>
          </cell>
          <cell r="F1076">
            <v>-300</v>
          </cell>
          <cell r="H1076">
            <v>300</v>
          </cell>
          <cell r="I1076">
            <v>-300</v>
          </cell>
          <cell r="J1076">
            <v>300</v>
          </cell>
          <cell r="K1076">
            <v>-300</v>
          </cell>
        </row>
        <row r="1077">
          <cell r="A1077" t="str">
            <v>Beans season 2: kg produced</v>
          </cell>
          <cell r="C1077">
            <v>0</v>
          </cell>
          <cell r="D1077">
            <v>0</v>
          </cell>
          <cell r="E1077">
            <v>0</v>
          </cell>
          <cell r="F1077">
            <v>0</v>
          </cell>
          <cell r="H1077">
            <v>300</v>
          </cell>
          <cell r="I1077">
            <v>-300</v>
          </cell>
          <cell r="J1077">
            <v>2400</v>
          </cell>
          <cell r="K1077">
            <v>-2400</v>
          </cell>
        </row>
        <row r="1078">
          <cell r="A1078" t="str">
            <v>Other root crops (sweet potato): no. local meas</v>
          </cell>
          <cell r="C1078">
            <v>1000</v>
          </cell>
          <cell r="D1078">
            <v>-1000</v>
          </cell>
          <cell r="E1078">
            <v>1000</v>
          </cell>
          <cell r="F1078">
            <v>-1000</v>
          </cell>
          <cell r="H1078">
            <v>2000</v>
          </cell>
          <cell r="I1078">
            <v>-2000</v>
          </cell>
          <cell r="J1078">
            <v>4000</v>
          </cell>
          <cell r="K1078">
            <v>-4000</v>
          </cell>
        </row>
        <row r="1079">
          <cell r="A1079" t="str">
            <v>Groundnuts (dry): no. local meas</v>
          </cell>
          <cell r="C1079">
            <v>138</v>
          </cell>
          <cell r="D1079">
            <v>-138</v>
          </cell>
          <cell r="E1079">
            <v>900</v>
          </cell>
          <cell r="F1079">
            <v>-900</v>
          </cell>
          <cell r="H1079">
            <v>900</v>
          </cell>
          <cell r="I1079">
            <v>-900</v>
          </cell>
          <cell r="J1079">
            <v>1200</v>
          </cell>
          <cell r="K1079">
            <v>-1200</v>
          </cell>
        </row>
        <row r="1080">
          <cell r="A1080" t="str">
            <v>Other crop: Rape</v>
          </cell>
          <cell r="C1080">
            <v>0</v>
          </cell>
          <cell r="D1080">
            <v>0</v>
          </cell>
          <cell r="E1080">
            <v>175</v>
          </cell>
          <cell r="F1080">
            <v>-175</v>
          </cell>
          <cell r="H1080">
            <v>175</v>
          </cell>
          <cell r="I1080">
            <v>-175</v>
          </cell>
          <cell r="J1080">
            <v>175</v>
          </cell>
          <cell r="K1080">
            <v>-175</v>
          </cell>
        </row>
        <row r="1081">
          <cell r="A1081" t="str">
            <v>Other cashcrop (cabbage): kg produced</v>
          </cell>
          <cell r="C1081">
            <v>0</v>
          </cell>
          <cell r="D1081">
            <v>0</v>
          </cell>
          <cell r="E1081">
            <v>0</v>
          </cell>
          <cell r="F1081">
            <v>0</v>
          </cell>
          <cell r="H1081">
            <v>800</v>
          </cell>
          <cell r="I1081">
            <v>0</v>
          </cell>
          <cell r="J1081">
            <v>800</v>
          </cell>
          <cell r="K1081">
            <v>0</v>
          </cell>
        </row>
        <row r="1082">
          <cell r="A1082" t="str">
            <v>FISHING -- see worksheet Data 3</v>
          </cell>
          <cell r="C1082">
            <v>0</v>
          </cell>
          <cell r="D1082">
            <v>0</v>
          </cell>
          <cell r="E1082">
            <v>1250</v>
          </cell>
          <cell r="F1082">
            <v>1937.5</v>
          </cell>
          <cell r="H1082">
            <v>0</v>
          </cell>
          <cell r="I1082">
            <v>0</v>
          </cell>
          <cell r="J1082">
            <v>0</v>
          </cell>
          <cell r="K1082">
            <v>0</v>
          </cell>
        </row>
        <row r="1083">
          <cell r="A1083" t="str">
            <v>WILD FOODS -- see worksheet Data 3</v>
          </cell>
          <cell r="C1083">
            <v>1340</v>
          </cell>
          <cell r="D1083">
            <v>835</v>
          </cell>
          <cell r="E1083">
            <v>1080</v>
          </cell>
          <cell r="F1083">
            <v>270</v>
          </cell>
          <cell r="H1083">
            <v>0</v>
          </cell>
          <cell r="I1083">
            <v>0</v>
          </cell>
          <cell r="J1083">
            <v>0</v>
          </cell>
          <cell r="K1083">
            <v>0</v>
          </cell>
        </row>
        <row r="1084">
          <cell r="A1084" t="str">
            <v>Agricultural casual work -- see Data2</v>
          </cell>
          <cell r="C1084">
            <v>900</v>
          </cell>
          <cell r="D1084">
            <v>0</v>
          </cell>
          <cell r="E1084">
            <v>2085</v>
          </cell>
          <cell r="F1084">
            <v>0</v>
          </cell>
          <cell r="H1084">
            <v>0</v>
          </cell>
          <cell r="I1084">
            <v>0</v>
          </cell>
          <cell r="J1084">
            <v>0</v>
          </cell>
          <cell r="K1084">
            <v>0</v>
          </cell>
        </row>
        <row r="1085">
          <cell r="A1085" t="str">
            <v>Construction casual work -- see Data2</v>
          </cell>
          <cell r="C1085">
            <v>1440</v>
          </cell>
          <cell r="D1085">
            <v>0</v>
          </cell>
          <cell r="E1085">
            <v>1440</v>
          </cell>
          <cell r="F1085">
            <v>0</v>
          </cell>
          <cell r="H1085">
            <v>0</v>
          </cell>
          <cell r="I1085">
            <v>0</v>
          </cell>
          <cell r="J1085">
            <v>0</v>
          </cell>
          <cell r="K1085">
            <v>0</v>
          </cell>
        </row>
        <row r="1086">
          <cell r="A1086" t="str">
            <v>Domestic casual work -- see Data2</v>
          </cell>
          <cell r="C1086">
            <v>4800</v>
          </cell>
          <cell r="D1086">
            <v>0</v>
          </cell>
          <cell r="E1086">
            <v>10560</v>
          </cell>
          <cell r="F1086">
            <v>0</v>
          </cell>
          <cell r="H1086">
            <v>0</v>
          </cell>
          <cell r="I1086">
            <v>0</v>
          </cell>
          <cell r="J1086">
            <v>0</v>
          </cell>
          <cell r="K1086">
            <v>0</v>
          </cell>
        </row>
        <row r="1087">
          <cell r="A1087" t="str">
            <v>Labour migration: no. people per HH</v>
          </cell>
          <cell r="C1087">
            <v>0</v>
          </cell>
          <cell r="D1087">
            <v>0</v>
          </cell>
          <cell r="E1087">
            <v>14400</v>
          </cell>
          <cell r="F1087">
            <v>0</v>
          </cell>
          <cell r="H1087">
            <v>42000</v>
          </cell>
          <cell r="I1087">
            <v>0</v>
          </cell>
          <cell r="J1087">
            <v>42000</v>
          </cell>
          <cell r="K1087">
            <v>0</v>
          </cell>
        </row>
        <row r="1088">
          <cell r="A1088" t="str">
            <v>Formal Employment (e.g. teachers, salaried staff, etc.)</v>
          </cell>
          <cell r="C1088">
            <v>0</v>
          </cell>
          <cell r="D1088">
            <v>0</v>
          </cell>
          <cell r="E1088">
            <v>0</v>
          </cell>
          <cell r="F1088">
            <v>0</v>
          </cell>
          <cell r="H1088">
            <v>36000</v>
          </cell>
          <cell r="I1088">
            <v>0</v>
          </cell>
          <cell r="J1088">
            <v>144000</v>
          </cell>
          <cell r="K1088">
            <v>0</v>
          </cell>
        </row>
        <row r="1089">
          <cell r="A1089" t="str">
            <v>Self-employment -- see Data2</v>
          </cell>
          <cell r="C1089">
            <v>0</v>
          </cell>
          <cell r="D1089">
            <v>0</v>
          </cell>
          <cell r="E1089">
            <v>6420</v>
          </cell>
          <cell r="F1089">
            <v>1284</v>
          </cell>
          <cell r="H1089">
            <v>1200</v>
          </cell>
          <cell r="I1089">
            <v>240</v>
          </cell>
          <cell r="J1089">
            <v>0</v>
          </cell>
          <cell r="K1089">
            <v>0</v>
          </cell>
        </row>
        <row r="1090">
          <cell r="A1090" t="str">
            <v>Small business -- see Data2</v>
          </cell>
          <cell r="C1090">
            <v>0</v>
          </cell>
          <cell r="D1090">
            <v>0</v>
          </cell>
          <cell r="E1090">
            <v>960</v>
          </cell>
          <cell r="F1090">
            <v>0</v>
          </cell>
          <cell r="H1090">
            <v>0</v>
          </cell>
          <cell r="I1090">
            <v>0</v>
          </cell>
          <cell r="J1090">
            <v>0</v>
          </cell>
          <cell r="K1090">
            <v>0</v>
          </cell>
        </row>
        <row r="1091">
          <cell r="A1091" t="str">
            <v>Social Cash Transfers -- see Data2</v>
          </cell>
          <cell r="C1091">
            <v>20220</v>
          </cell>
          <cell r="D1091">
            <v>0</v>
          </cell>
          <cell r="E1091">
            <v>20220</v>
          </cell>
          <cell r="F1091">
            <v>0</v>
          </cell>
          <cell r="H1091">
            <v>7620</v>
          </cell>
          <cell r="I1091">
            <v>0</v>
          </cell>
          <cell r="J1091">
            <v>7620</v>
          </cell>
          <cell r="K1091">
            <v>0</v>
          </cell>
        </row>
        <row r="1092">
          <cell r="A1092" t="str">
            <v>Remittances: no. times per year</v>
          </cell>
          <cell r="C1092">
            <v>0</v>
          </cell>
          <cell r="D1092">
            <v>0</v>
          </cell>
          <cell r="E1092">
            <v>4800</v>
          </cell>
          <cell r="F1092">
            <v>0</v>
          </cell>
          <cell r="H1092">
            <v>0</v>
          </cell>
          <cell r="I1092">
            <v>0</v>
          </cell>
          <cell r="J1092">
            <v>0</v>
          </cell>
          <cell r="K1092">
            <v>0</v>
          </cell>
        </row>
        <row r="1093">
          <cell r="A1093" t="str">
            <v/>
          </cell>
          <cell r="C1093" t="str">
            <v/>
          </cell>
          <cell r="D1093" t="str">
            <v/>
          </cell>
          <cell r="E1093" t="str">
            <v/>
          </cell>
          <cell r="F1093" t="str">
            <v/>
          </cell>
          <cell r="H1093" t="str">
            <v/>
          </cell>
          <cell r="I1093" t="str">
            <v/>
          </cell>
          <cell r="J1093" t="str">
            <v/>
          </cell>
          <cell r="K1093" t="str">
            <v/>
          </cell>
        </row>
        <row r="1094">
          <cell r="A1094" t="str">
            <v/>
          </cell>
          <cell r="C1094" t="str">
            <v/>
          </cell>
          <cell r="D1094" t="str">
            <v/>
          </cell>
          <cell r="E1094" t="str">
            <v/>
          </cell>
          <cell r="F1094" t="str">
            <v/>
          </cell>
          <cell r="H1094" t="str">
            <v/>
          </cell>
          <cell r="I1094" t="str">
            <v/>
          </cell>
          <cell r="J1094" t="str">
            <v/>
          </cell>
          <cell r="K1094" t="str">
            <v/>
          </cell>
        </row>
        <row r="1095">
          <cell r="A1095" t="str">
            <v/>
          </cell>
          <cell r="C1095" t="str">
            <v/>
          </cell>
          <cell r="D1095" t="str">
            <v/>
          </cell>
          <cell r="E1095" t="str">
            <v/>
          </cell>
          <cell r="F1095" t="str">
            <v/>
          </cell>
          <cell r="H1095" t="str">
            <v/>
          </cell>
          <cell r="I1095" t="str">
            <v/>
          </cell>
          <cell r="J1095" t="str">
            <v/>
          </cell>
          <cell r="K1095" t="str">
            <v/>
          </cell>
        </row>
        <row r="1096">
          <cell r="A1096" t="str">
            <v/>
          </cell>
          <cell r="C1096" t="str">
            <v/>
          </cell>
          <cell r="D1096" t="str">
            <v/>
          </cell>
          <cell r="E1096" t="str">
            <v/>
          </cell>
          <cell r="F1096" t="str">
            <v/>
          </cell>
          <cell r="H1096" t="str">
            <v/>
          </cell>
          <cell r="I1096" t="str">
            <v/>
          </cell>
          <cell r="J1096" t="str">
            <v/>
          </cell>
          <cell r="K1096" t="str">
            <v/>
          </cell>
        </row>
        <row r="1097">
          <cell r="A1097" t="str">
            <v/>
          </cell>
          <cell r="C1097" t="str">
            <v/>
          </cell>
          <cell r="D1097" t="str">
            <v/>
          </cell>
          <cell r="E1097" t="str">
            <v/>
          </cell>
          <cell r="F1097" t="str">
            <v/>
          </cell>
          <cell r="H1097" t="str">
            <v/>
          </cell>
          <cell r="I1097" t="str">
            <v/>
          </cell>
          <cell r="J1097" t="str">
            <v/>
          </cell>
          <cell r="K1097" t="str">
            <v/>
          </cell>
        </row>
        <row r="1098">
          <cell r="A1098" t="str">
            <v/>
          </cell>
          <cell r="C1098" t="str">
            <v/>
          </cell>
          <cell r="D1098" t="str">
            <v/>
          </cell>
          <cell r="E1098" t="str">
            <v/>
          </cell>
          <cell r="F1098" t="str">
            <v/>
          </cell>
          <cell r="H1098" t="str">
            <v/>
          </cell>
          <cell r="I1098" t="str">
            <v/>
          </cell>
          <cell r="J1098" t="str">
            <v/>
          </cell>
          <cell r="K1098" t="str">
            <v/>
          </cell>
        </row>
        <row r="1099">
          <cell r="A1099" t="str">
            <v/>
          </cell>
          <cell r="C1099" t="str">
            <v/>
          </cell>
          <cell r="D1099" t="str">
            <v/>
          </cell>
          <cell r="E1099" t="str">
            <v/>
          </cell>
          <cell r="F1099" t="str">
            <v/>
          </cell>
          <cell r="H1099" t="str">
            <v/>
          </cell>
          <cell r="I1099" t="str">
            <v/>
          </cell>
          <cell r="J1099" t="str">
            <v/>
          </cell>
          <cell r="K1099" t="str">
            <v/>
          </cell>
        </row>
      </sheetData>
      <sheetData sheetId="7"/>
      <sheetData sheetId="8"/>
      <sheetData sheetId="9"/>
      <sheetData sheetId="10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31" sqref="M31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ZALOI: 59302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256" t="str">
        <f>Poor!Z1</f>
        <v>Apr-Jun</v>
      </c>
      <c r="AA1" s="257"/>
      <c r="AB1" s="256" t="str">
        <f>Poor!AB1</f>
        <v>Jul-Sep</v>
      </c>
      <c r="AC1" s="257"/>
      <c r="AD1" s="256" t="str">
        <f>Poor!AD1</f>
        <v>Oct-Dec</v>
      </c>
      <c r="AE1" s="257"/>
      <c r="AF1" s="256" t="str">
        <f>Poor!AF1</f>
        <v>Jan-Mar</v>
      </c>
      <c r="AG1" s="257"/>
      <c r="AH1" s="117"/>
      <c r="AI1" s="110"/>
      <c r="AJ1" s="195" t="str">
        <f>LEFT(Z1,4) &amp; MID(AB1,5,3)</f>
        <v>Apr-Sep</v>
      </c>
      <c r="AK1" s="196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8" t="str">
        <f>Poor!Z2</f>
        <v>Q1</v>
      </c>
      <c r="AA2" s="259"/>
      <c r="AB2" s="258" t="str">
        <f>Poor!AB2</f>
        <v>Q2</v>
      </c>
      <c r="AC2" s="259"/>
      <c r="AD2" s="258" t="str">
        <f>Poor!AD2</f>
        <v>Q3</v>
      </c>
      <c r="AE2" s="259"/>
      <c r="AF2" s="258" t="str">
        <f>Poor!AF2</f>
        <v>Q4</v>
      </c>
      <c r="AG2" s="259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52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215">
        <f>IF([1]Summ!C1044="",0,[1]Summ!C1044)</f>
        <v>0</v>
      </c>
      <c r="C6" s="215">
        <f>IF([1]Summ!D1044="",0,[1]Summ!D1044)</f>
        <v>0</v>
      </c>
      <c r="D6" s="24">
        <f t="shared" ref="D6:D28" si="0">(B6+C6)</f>
        <v>0</v>
      </c>
      <c r="E6" s="75">
        <f>Poor!E6</f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0</v>
      </c>
      <c r="J6" s="24">
        <f t="shared" ref="J6:J13" si="3">IF(I$32&lt;=1+I$131,I6,B6*H6+J$33*(I6-B6*H6))</f>
        <v>0</v>
      </c>
      <c r="K6" s="22">
        <f t="shared" ref="K6:K31" si="4">B6</f>
        <v>0</v>
      </c>
      <c r="L6" s="22">
        <f t="shared" ref="L6:L29" si="5">IF(K6="","",K6*H6)</f>
        <v>0</v>
      </c>
      <c r="M6" s="177">
        <f t="shared" ref="M6:M31" si="6">J6</f>
        <v>0</v>
      </c>
      <c r="N6" s="228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</v>
      </c>
      <c r="Z6" s="156">
        <f>Poor!Z6</f>
        <v>0.17</v>
      </c>
      <c r="AA6" s="121">
        <f>$M6*Z6*4</f>
        <v>0</v>
      </c>
      <c r="AB6" s="156">
        <f>Poor!AB6</f>
        <v>0.17</v>
      </c>
      <c r="AC6" s="121">
        <f t="shared" ref="AC6:AC29" si="7">$M6*AB6*4</f>
        <v>0</v>
      </c>
      <c r="AD6" s="156">
        <f>Poor!AD6</f>
        <v>0.33</v>
      </c>
      <c r="AE6" s="121">
        <f t="shared" ref="AE6:AE29" si="8">$M6*AD6*4</f>
        <v>0</v>
      </c>
      <c r="AF6" s="122">
        <f>1-SUM(Z6,AB6,AD6)</f>
        <v>0.32999999999999996</v>
      </c>
      <c r="AG6" s="121">
        <f>$M6*AF6*4</f>
        <v>0</v>
      </c>
      <c r="AH6" s="123">
        <f>SUM(Z6,AB6,AD6,AF6)</f>
        <v>1</v>
      </c>
      <c r="AI6" s="183">
        <f>SUM(AA6,AC6,AE6,AG6)/4</f>
        <v>0</v>
      </c>
      <c r="AJ6" s="120">
        <f>(AA6+AC6)/2</f>
        <v>0</v>
      </c>
      <c r="AK6" s="119">
        <f>(AE6+AG6)/2</f>
        <v>0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Cows' milk - season 2</v>
      </c>
      <c r="B7" s="215">
        <f>IF([1]Summ!C1045="",0,[1]Summ!C1045)</f>
        <v>0</v>
      </c>
      <c r="C7" s="215">
        <f>IF([1]Summ!D1045="",0,[1]Summ!D1045)</f>
        <v>0</v>
      </c>
      <c r="D7" s="24">
        <f t="shared" si="0"/>
        <v>0</v>
      </c>
      <c r="E7" s="75">
        <f>Poor!E7</f>
        <v>0.5</v>
      </c>
      <c r="F7" s="27">
        <v>8800</v>
      </c>
      <c r="H7" s="24">
        <f t="shared" si="1"/>
        <v>0.5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177">
        <f t="shared" si="6"/>
        <v>0</v>
      </c>
      <c r="N7" s="228">
        <v>3</v>
      </c>
      <c r="O7" s="2"/>
      <c r="P7" s="22"/>
      <c r="Q7" s="59" t="s">
        <v>71</v>
      </c>
      <c r="R7" s="221">
        <f>IF($B$81=0,0,(SUMIF($N$6:$N$28,$U7,K$6:K$28)+SUMIF($N$91:$N$118,$U7,K$91:K$118))*$B$83*$H$84*Poor!$B$81/$B$81)</f>
        <v>2273.0022575656412</v>
      </c>
      <c r="S7" s="221">
        <f>IF($B$81=0,0,(SUMIF($N$6:$N$28,$U7,L$6:L$28)+SUMIF($N$91:$N$118,$U7,L$91:L$118))*$I$83*Poor!$B$81/$B$81)</f>
        <v>2682.7487908894295</v>
      </c>
      <c r="T7" s="221">
        <f>IF($B$81=0,0,(SUMIF($N$6:$N$28,$U7,M$6:M$28)+SUMIF($N$91:$N$118,$U7,M$91:M$118))*$I$83*Poor!$B$81/$B$81)</f>
        <v>3343.563195889893</v>
      </c>
      <c r="U7" s="222">
        <v>1</v>
      </c>
      <c r="V7" s="56"/>
      <c r="W7" s="115"/>
      <c r="X7" s="118">
        <f>Poor!X7</f>
        <v>4</v>
      </c>
      <c r="Y7" s="183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3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Own meat</v>
      </c>
      <c r="B8" s="215">
        <f>IF([1]Summ!C1046="",0,[1]Summ!C1046)</f>
        <v>0</v>
      </c>
      <c r="C8" s="215">
        <f>IF([1]Summ!D1046="",0,[1]Summ!D1046)</f>
        <v>0</v>
      </c>
      <c r="D8" s="24">
        <f t="shared" si="0"/>
        <v>0</v>
      </c>
      <c r="E8" s="75">
        <f>Poor!E8</f>
        <v>0.5</v>
      </c>
      <c r="F8" s="22" t="s">
        <v>23</v>
      </c>
      <c r="H8" s="24">
        <f t="shared" si="1"/>
        <v>0.5</v>
      </c>
      <c r="I8" s="22">
        <f t="shared" si="2"/>
        <v>0</v>
      </c>
      <c r="J8" s="24">
        <f t="shared" si="3"/>
        <v>0</v>
      </c>
      <c r="K8" s="22">
        <f t="shared" si="4"/>
        <v>0</v>
      </c>
      <c r="L8" s="22">
        <f t="shared" si="5"/>
        <v>0</v>
      </c>
      <c r="M8" s="223">
        <f t="shared" si="6"/>
        <v>0</v>
      </c>
      <c r="N8" s="228">
        <v>3</v>
      </c>
      <c r="O8" s="2"/>
      <c r="P8" s="22"/>
      <c r="Q8" s="59" t="s">
        <v>72</v>
      </c>
      <c r="R8" s="221">
        <f>IF($B$81=0,0,(SUMIF($N$6:$N$28,$U8,K$6:K$28)+SUMIF($N$91:$N$118,$U8,K$91:K$118))*$B$83*$H$84*Poor!$B$81/$B$81)</f>
        <v>1656.5539794384563</v>
      </c>
      <c r="S8" s="221">
        <f>IF($B$81=0,0,(SUMIF($N$6:$N$28,$U8,L$6:L$28)+SUMIF($N$91:$N$118,$U8,L$91:L$118))*$I$83*Poor!$B$81/$B$81)</f>
        <v>1593.1999999999998</v>
      </c>
      <c r="T8" s="221">
        <f>IF($B$81=0,0,(SUMIF($N$6:$N$28,$U8,M$6:M$28)+SUMIF($N$91:$N$118,$U8,M$91:M$118))*$I$83*Poor!$B$81/$B$81)</f>
        <v>0</v>
      </c>
      <c r="U8" s="222">
        <v>2</v>
      </c>
      <c r="V8" s="56"/>
      <c r="W8" s="115"/>
      <c r="X8" s="118">
        <f>Poor!X8</f>
        <v>1</v>
      </c>
      <c r="Y8" s="183">
        <f t="shared" si="9"/>
        <v>0</v>
      </c>
      <c r="Z8" s="125">
        <f>IF($Y8=0,0,AA8/$Y8)</f>
        <v>0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1</v>
      </c>
      <c r="AG8" s="121">
        <f t="shared" si="11"/>
        <v>0</v>
      </c>
      <c r="AH8" s="123">
        <f t="shared" si="12"/>
        <v>1</v>
      </c>
      <c r="AI8" s="183">
        <f t="shared" si="13"/>
        <v>0</v>
      </c>
      <c r="AJ8" s="120">
        <f t="shared" si="14"/>
        <v>0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Green cons - Season 1: no of months</v>
      </c>
      <c r="B9" s="215">
        <f>IF([1]Summ!C1047="",0,[1]Summ!C1047)</f>
        <v>8.3333333333333329E-2</v>
      </c>
      <c r="C9" s="215">
        <f>IF([1]Summ!D1047="",0,[1]Summ!D1047)</f>
        <v>0</v>
      </c>
      <c r="D9" s="24">
        <f t="shared" si="0"/>
        <v>8.3333333333333329E-2</v>
      </c>
      <c r="E9" s="75">
        <f>Poor!E9</f>
        <v>1</v>
      </c>
      <c r="F9" s="76">
        <f>Poor!F9</f>
        <v>8800</v>
      </c>
      <c r="H9" s="24">
        <f t="shared" si="1"/>
        <v>1</v>
      </c>
      <c r="I9" s="22">
        <f t="shared" si="2"/>
        <v>8.3333333333333329E-2</v>
      </c>
      <c r="J9" s="24">
        <f t="shared" si="3"/>
        <v>8.3333333333333329E-2</v>
      </c>
      <c r="K9" s="22">
        <f t="shared" si="4"/>
        <v>8.3333333333333329E-2</v>
      </c>
      <c r="L9" s="22">
        <f t="shared" si="5"/>
        <v>8.3333333333333329E-2</v>
      </c>
      <c r="M9" s="223">
        <f t="shared" si="6"/>
        <v>8.3333333333333329E-2</v>
      </c>
      <c r="N9" s="228">
        <v>1</v>
      </c>
      <c r="O9" s="2"/>
      <c r="P9" s="22"/>
      <c r="Q9" s="59" t="s">
        <v>73</v>
      </c>
      <c r="R9" s="221">
        <f>IF($B$81=0,0,(SUMIF($N$6:$N$28,$U9,K$6:K$28)+SUMIF($N$91:$N$118,$U9,K$91:K$118))*$B$83*$H$84*Poor!$B$81/$B$81)</f>
        <v>0</v>
      </c>
      <c r="S9" s="221">
        <f>IF($B$81=0,0,(SUMIF($N$6:$N$28,$U9,L$6:L$28)+SUMIF($N$91:$N$118,$U9,L$91:L$118))*$I$83*Poor!$B$81/$B$81)</f>
        <v>0</v>
      </c>
      <c r="T9" s="221">
        <f>IF($B$81=0,0,(SUMIF($N$6:$N$28,$U9,M$6:M$28)+SUMIF($N$91:$N$118,$U9,M$91:M$118))*$I$83*Poor!$B$81/$B$81)</f>
        <v>0</v>
      </c>
      <c r="U9" s="222">
        <v>3</v>
      </c>
      <c r="V9" s="56"/>
      <c r="W9" s="115"/>
      <c r="X9" s="118">
        <f>Poor!X9</f>
        <v>1</v>
      </c>
      <c r="Y9" s="183">
        <f t="shared" si="9"/>
        <v>0.33333333333333331</v>
      </c>
      <c r="Z9" s="125">
        <f>IF($Y9=0,0,AA9/$Y9)</f>
        <v>0.8404495940870107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0.28014986469567021</v>
      </c>
      <c r="AB9" s="125">
        <f>IF($Y9=0,0,AC9/$Y9)</f>
        <v>0.1595504059129893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5.3183468637663101E-2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8.3333333333333329E-2</v>
      </c>
      <c r="AJ9" s="120">
        <f t="shared" si="14"/>
        <v>0.16666666666666666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Maize: kg produced</v>
      </c>
      <c r="B10" s="215">
        <f>IF([1]Summ!C1048="",0,[1]Summ!C1048)</f>
        <v>9.2267321917808204E-2</v>
      </c>
      <c r="C10" s="215">
        <f>IF([1]Summ!D1048="",0,[1]Summ!D1048)</f>
        <v>0</v>
      </c>
      <c r="D10" s="24">
        <f t="shared" si="0"/>
        <v>9.2267321917808204E-2</v>
      </c>
      <c r="E10" s="75">
        <f>Poor!E10</f>
        <v>1.0900000000000001</v>
      </c>
      <c r="H10" s="24">
        <f t="shared" si="1"/>
        <v>1.0900000000000001</v>
      </c>
      <c r="I10" s="22">
        <f t="shared" si="2"/>
        <v>0.10057138089041096</v>
      </c>
      <c r="J10" s="24">
        <f t="shared" si="3"/>
        <v>0.10057138089041096</v>
      </c>
      <c r="K10" s="22">
        <f t="shared" si="4"/>
        <v>9.2267321917808204E-2</v>
      </c>
      <c r="L10" s="22">
        <f t="shared" si="5"/>
        <v>0.10057138089041096</v>
      </c>
      <c r="M10" s="223">
        <f t="shared" si="6"/>
        <v>0.10057138089041096</v>
      </c>
      <c r="N10" s="228">
        <v>1</v>
      </c>
      <c r="O10" s="2"/>
      <c r="P10" s="22"/>
      <c r="Q10" s="59" t="s">
        <v>74</v>
      </c>
      <c r="R10" s="221">
        <f>IF($B$81=0,0,(SUMIF($N$6:$N$28,$U10,K$6:K$28)+SUMIF($N$91:$N$118,$U10,K$91:K$118))*$B$83*$H$84*Poor!$B$81/$B$81)</f>
        <v>0</v>
      </c>
      <c r="S10" s="221">
        <f>IF($B$81=0,0,(SUMIF($N$6:$N$28,$U10,L$6:L$28)+SUMIF($N$91:$N$118,$U10,L$91:L$118))*$I$83*Poor!$B$81/$B$81)</f>
        <v>0</v>
      </c>
      <c r="T10" s="221">
        <f>IF($B$81=0,0,(SUMIF($N$6:$N$28,$U10,M$6:M$28)+SUMIF($N$91:$N$118,$U10,M$91:M$118))*$I$83*Poor!$B$81/$B$81)</f>
        <v>0</v>
      </c>
      <c r="U10" s="222">
        <v>4</v>
      </c>
      <c r="V10" s="56"/>
      <c r="W10" s="115"/>
      <c r="X10" s="118">
        <f>Poor!X10</f>
        <v>1</v>
      </c>
      <c r="Y10" s="183">
        <f t="shared" si="9"/>
        <v>0.40228552356164382</v>
      </c>
      <c r="Z10" s="125">
        <f>IF($Y10=0,0,AA10/$Y10)</f>
        <v>0.84044959408701059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0.3381007049844641</v>
      </c>
      <c r="AB10" s="125">
        <f>IF($Y10=0,0,AC10/$Y10)</f>
        <v>0.15955040591298938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6.4184818577179725E-2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0.10057138089041096</v>
      </c>
      <c r="AJ10" s="120">
        <f t="shared" si="14"/>
        <v>0.20114276178082191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Maize (irrigated): kg produced</v>
      </c>
      <c r="B11" s="215">
        <f>IF([1]Summ!C1049="",0,[1]Summ!C1049)</f>
        <v>0</v>
      </c>
      <c r="C11" s="215">
        <f>IF([1]Summ!D1049="",0,[1]Summ!D1049)</f>
        <v>0</v>
      </c>
      <c r="D11" s="24">
        <f t="shared" si="0"/>
        <v>0</v>
      </c>
      <c r="E11" s="75">
        <f>Poor!E11</f>
        <v>1.0900000000000001</v>
      </c>
      <c r="H11" s="24">
        <f t="shared" si="1"/>
        <v>1.0900000000000001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3">
        <f t="shared" si="6"/>
        <v>0</v>
      </c>
      <c r="N11" s="228">
        <v>1</v>
      </c>
      <c r="O11" s="2"/>
      <c r="P11" s="22"/>
      <c r="Q11" s="59" t="s">
        <v>75</v>
      </c>
      <c r="R11" s="221">
        <f>IF($B$81=0,0,(SUMIF($N$6:$N$28,$U11,K$6:K$28)+SUMIF($N$91:$N$118,$U11,K$91:K$118))*$B$83*$H$84*Poor!$B$81/$B$81)</f>
        <v>0</v>
      </c>
      <c r="S11" s="221">
        <f>IF($B$81=0,0,(SUMIF($N$6:$N$28,$U11,L$6:L$28)+SUMIF($N$91:$N$118,$U11,L$91:L$118))*$I$83*Poor!$B$81/$B$81)</f>
        <v>0</v>
      </c>
      <c r="T11" s="221">
        <f>IF($B$81=0,0,(SUMIF($N$6:$N$28,$U11,M$6:M$28)+SUMIF($N$91:$N$118,$U11,M$91:M$118))*$I$83*Poor!$B$81/$B$81)</f>
        <v>0</v>
      </c>
      <c r="U11" s="222">
        <v>5</v>
      </c>
      <c r="V11" s="56"/>
      <c r="W11" s="115"/>
      <c r="X11" s="118">
        <f>Poor!X11</f>
        <v>1</v>
      </c>
      <c r="Y11" s="183">
        <f t="shared" si="9"/>
        <v>0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>
        <f t="shared" si="13"/>
        <v>0</v>
      </c>
      <c r="AJ11" s="120">
        <f t="shared" si="14"/>
        <v>0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Cowpeas: kg produced</v>
      </c>
      <c r="B12" s="215">
        <f>IF([1]Summ!C1050="",0,[1]Summ!C1050)</f>
        <v>1.6619458281444583E-3</v>
      </c>
      <c r="C12" s="215">
        <f>IF([1]Summ!D1050="",0,[1]Summ!D1050)</f>
        <v>0</v>
      </c>
      <c r="D12" s="24">
        <f t="shared" si="0"/>
        <v>1.6619458281444583E-3</v>
      </c>
      <c r="E12" s="75">
        <f>Poor!E12</f>
        <v>1</v>
      </c>
      <c r="H12" s="24">
        <f t="shared" si="1"/>
        <v>1</v>
      </c>
      <c r="I12" s="22">
        <f t="shared" si="2"/>
        <v>1.6619458281444583E-3</v>
      </c>
      <c r="J12" s="24">
        <f t="shared" si="3"/>
        <v>1.6619458281444583E-3</v>
      </c>
      <c r="K12" s="22">
        <f t="shared" si="4"/>
        <v>1.6619458281444583E-3</v>
      </c>
      <c r="L12" s="22">
        <f t="shared" si="5"/>
        <v>1.6619458281444583E-3</v>
      </c>
      <c r="M12" s="223">
        <f t="shared" si="6"/>
        <v>1.6619458281444583E-3</v>
      </c>
      <c r="N12" s="228">
        <v>1</v>
      </c>
      <c r="O12" s="2"/>
      <c r="P12" s="22"/>
      <c r="Q12" s="126" t="s">
        <v>124</v>
      </c>
      <c r="R12" s="221">
        <f>IF($B$81=0,0,(SUMIF($N$6:$N$28,$U12,K$6:K$28)+SUMIF($N$91:$N$118,$U12,K$91:K$118))*$B$83*$H$84*Poor!$B$81/$B$81)</f>
        <v>2081.5291403487377</v>
      </c>
      <c r="S12" s="221">
        <f>IF($B$81=0,0,(SUMIF($N$6:$N$28,$U12,L$6:L$28)+SUMIF($N$91:$N$118,$U12,L$91:L$118))*$I$83*Poor!$B$81/$B$81)</f>
        <v>1729.6083352223357</v>
      </c>
      <c r="T12" s="221">
        <f>IF($B$81=0,0,(SUMIF($N$6:$N$28,$U12,M$6:M$28)+SUMIF($N$91:$N$118,$U12,M$91:M$118))*$I$83*Poor!$B$81/$B$81)</f>
        <v>2566.5</v>
      </c>
      <c r="U12" s="222">
        <v>6</v>
      </c>
      <c r="V12" s="56"/>
      <c r="W12" s="117"/>
      <c r="X12" s="118">
        <v>1</v>
      </c>
      <c r="Y12" s="183">
        <f t="shared" si="9"/>
        <v>6.6477833125778334E-3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4.4540148194271486E-3</v>
      </c>
      <c r="AF12" s="122">
        <f>1-SUM(Z12,AB12,AD12)</f>
        <v>0.32999999999999996</v>
      </c>
      <c r="AG12" s="121">
        <f>$M12*AF12*4</f>
        <v>2.1937684931506848E-3</v>
      </c>
      <c r="AH12" s="123">
        <f t="shared" si="12"/>
        <v>1</v>
      </c>
      <c r="AI12" s="183">
        <f t="shared" si="13"/>
        <v>1.6619458281444583E-3</v>
      </c>
      <c r="AJ12" s="120">
        <f t="shared" si="14"/>
        <v>0</v>
      </c>
      <c r="AK12" s="119">
        <f t="shared" si="15"/>
        <v>3.3238916562889167E-3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Beans season 2: kg produced</v>
      </c>
      <c r="B13" s="215">
        <f>IF([1]Summ!C1051="",0,[1]Summ!C1051)</f>
        <v>4.4188206724782072E-3</v>
      </c>
      <c r="C13" s="215">
        <f>IF([1]Summ!D1051="",0,[1]Summ!D1051)</f>
        <v>0</v>
      </c>
      <c r="D13" s="24">
        <f t="shared" si="0"/>
        <v>4.4188206724782072E-3</v>
      </c>
      <c r="E13" s="75">
        <f>Poor!E13</f>
        <v>1</v>
      </c>
      <c r="H13" s="24">
        <f t="shared" si="1"/>
        <v>1</v>
      </c>
      <c r="I13" s="22">
        <f t="shared" si="2"/>
        <v>4.4188206724782072E-3</v>
      </c>
      <c r="J13" s="24">
        <f t="shared" si="3"/>
        <v>4.4188206724782072E-3</v>
      </c>
      <c r="K13" s="22">
        <f t="shared" si="4"/>
        <v>4.4188206724782072E-3</v>
      </c>
      <c r="L13" s="22">
        <f t="shared" si="5"/>
        <v>4.4188206724782072E-3</v>
      </c>
      <c r="M13" s="224">
        <f t="shared" si="6"/>
        <v>4.4188206724782072E-3</v>
      </c>
      <c r="N13" s="228">
        <v>1</v>
      </c>
      <c r="O13" s="2"/>
      <c r="P13" s="22"/>
      <c r="Q13" s="59" t="s">
        <v>76</v>
      </c>
      <c r="R13" s="221">
        <f>IF($B$81=0,0,(SUMIF($N$6:$N$28,$U13,K$6:K$28)+SUMIF($N$91:$N$118,$U13,K$91:K$118))*$B$83*$H$84*Poor!$B$81/$B$81)</f>
        <v>12130.269869815804</v>
      </c>
      <c r="S13" s="221">
        <f>IF($B$81=0,0,(SUMIF($N$6:$N$28,$U13,L$6:L$28)+SUMIF($N$91:$N$118,$U13,L$91:L$118))*$I$83*Poor!$B$81/$B$81)</f>
        <v>9894.0320779562808</v>
      </c>
      <c r="T13" s="221">
        <f>IF($B$81=0,0,(SUMIF($N$6:$N$28,$U13,M$6:M$28)+SUMIF($N$91:$N$118,$U13,M$91:M$118))*$I$83*Poor!$B$81/$B$81)</f>
        <v>9894.0320779562808</v>
      </c>
      <c r="U13" s="222">
        <v>7</v>
      </c>
      <c r="V13" s="56"/>
      <c r="W13" s="110"/>
      <c r="X13" s="118"/>
      <c r="Y13" s="183">
        <f t="shared" si="9"/>
        <v>1.7675282689912829E-2</v>
      </c>
      <c r="Z13" s="156">
        <f>Poor!Z13</f>
        <v>1</v>
      </c>
      <c r="AA13" s="121">
        <f>$M13*Z13*4</f>
        <v>1.7675282689912829E-2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4.4188206724782072E-3</v>
      </c>
      <c r="AJ13" s="120">
        <f t="shared" si="14"/>
        <v>8.8376413449564144E-3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Water melon: no. local meas</v>
      </c>
      <c r="B14" s="215">
        <f>IF([1]Summ!C1052="",0,[1]Summ!C1052)</f>
        <v>1.1168041718555417E-2</v>
      </c>
      <c r="C14" s="215">
        <f>IF([1]Summ!D1052="",0,[1]Summ!D1052)</f>
        <v>0</v>
      </c>
      <c r="D14" s="24">
        <f t="shared" si="0"/>
        <v>1.1168041718555417E-2</v>
      </c>
      <c r="E14" s="75">
        <f>Poor!E14</f>
        <v>1</v>
      </c>
      <c r="F14" s="22"/>
      <c r="H14" s="24">
        <f t="shared" si="1"/>
        <v>1</v>
      </c>
      <c r="I14" s="22">
        <f t="shared" si="2"/>
        <v>1.1168041718555417E-2</v>
      </c>
      <c r="J14" s="24">
        <f>IF(I$32&lt;=1+I131,I14,B14*H14+J$33*(I14-B14*H14))</f>
        <v>1.1168041718555417E-2</v>
      </c>
      <c r="K14" s="22">
        <f t="shared" si="4"/>
        <v>1.1168041718555417E-2</v>
      </c>
      <c r="L14" s="22">
        <f t="shared" si="5"/>
        <v>1.1168041718555417E-2</v>
      </c>
      <c r="M14" s="224">
        <f t="shared" si="6"/>
        <v>1.1168041718555417E-2</v>
      </c>
      <c r="N14" s="228">
        <v>1</v>
      </c>
      <c r="O14" s="2"/>
      <c r="P14" s="22"/>
      <c r="Q14" s="126" t="s">
        <v>77</v>
      </c>
      <c r="R14" s="221">
        <f>IF($B$81=0,0,(SUMIF($N$6:$N$28,$U14,K$6:K$28)+SUMIF($N$91:$N$118,$U14,K$91:K$118))*$B$83*$H$84*Poor!$B$81/$B$81)</f>
        <v>0</v>
      </c>
      <c r="S14" s="221">
        <f>IF($B$81=0,0,(SUMIF($N$6:$N$28,$U14,L$6:L$28)+SUMIF($N$91:$N$118,$U14,L$91:L$118))*$I$83*Poor!$B$81/$B$81)</f>
        <v>0</v>
      </c>
      <c r="T14" s="221">
        <f>IF($B$81=0,0,(SUMIF($N$6:$N$28,$U14,M$6:M$28)+SUMIF($N$91:$N$118,$U14,M$91:M$118))*$I$83*Poor!$B$81/$B$81)</f>
        <v>0</v>
      </c>
      <c r="U14" s="222">
        <v>8</v>
      </c>
      <c r="V14" s="56"/>
      <c r="W14" s="110"/>
      <c r="X14" s="118"/>
      <c r="Y14" s="183">
        <f>M14*4</f>
        <v>4.4672166874221667E-2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4.4672166874221667E-2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1.1168041718555417E-2</v>
      </c>
      <c r="AJ14" s="120">
        <f t="shared" si="14"/>
        <v>2.2336083437110833E-2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Other root crops (sweet potato): no. local meas</v>
      </c>
      <c r="B15" s="215">
        <f>IF([1]Summ!C1053="",0,[1]Summ!C1053)</f>
        <v>3.7149377334993777E-3</v>
      </c>
      <c r="C15" s="215">
        <f>IF([1]Summ!D1053="",0,[1]Summ!D1053)</f>
        <v>4.6436721668742215E-2</v>
      </c>
      <c r="D15" s="24">
        <f t="shared" si="0"/>
        <v>5.0151659402241595E-2</v>
      </c>
      <c r="E15" s="75">
        <f>Poor!E15</f>
        <v>1</v>
      </c>
      <c r="F15" s="22"/>
      <c r="H15" s="24">
        <f t="shared" si="1"/>
        <v>1</v>
      </c>
      <c r="I15" s="22">
        <f t="shared" si="2"/>
        <v>5.0151659402241595E-2</v>
      </c>
      <c r="J15" s="24">
        <f t="shared" ref="J15:J25" si="17">IF(I$32&lt;=1+I131,I15,B15*H15+J$33*(I15-B15*H15))</f>
        <v>5.0151659402241595E-2</v>
      </c>
      <c r="K15" s="22">
        <f t="shared" si="4"/>
        <v>3.7149377334993777E-3</v>
      </c>
      <c r="L15" s="22">
        <f t="shared" si="5"/>
        <v>3.7149377334993777E-3</v>
      </c>
      <c r="M15" s="225">
        <f t="shared" si="6"/>
        <v>5.0151659402241595E-2</v>
      </c>
      <c r="N15" s="228">
        <v>1</v>
      </c>
      <c r="O15" s="2"/>
      <c r="P15" s="22"/>
      <c r="Q15" s="59" t="s">
        <v>128</v>
      </c>
      <c r="R15" s="221">
        <f>IF($B$81=0,0,(SUMIF($N$6:$N$28,$U15,K$6:K$28)+SUMIF($N$91:$N$118,$U15,K$91:K$118))*$B$83*$H$84*Poor!$B$81/$B$81)</f>
        <v>0</v>
      </c>
      <c r="S15" s="221">
        <f>IF($B$81=0,0,(SUMIF($N$6:$N$28,$U15,L$6:L$28)+SUMIF($N$91:$N$118,$U15,L$91:L$118))*$I$83*Poor!$B$81/$B$81)</f>
        <v>0</v>
      </c>
      <c r="T15" s="221">
        <f>IF($B$81=0,0,(SUMIF($N$6:$N$28,$U15,M$6:M$28)+SUMIF($N$91:$N$118,$U15,M$91:M$118))*$I$83*Poor!$B$81/$B$81)</f>
        <v>0</v>
      </c>
      <c r="U15" s="222">
        <v>9</v>
      </c>
      <c r="V15" s="56"/>
      <c r="W15" s="110"/>
      <c r="X15" s="118"/>
      <c r="Y15" s="183">
        <f t="shared" si="9"/>
        <v>0.20060663760896638</v>
      </c>
      <c r="Z15" s="156">
        <f>Poor!Z15</f>
        <v>0.25</v>
      </c>
      <c r="AA15" s="121">
        <f t="shared" si="16"/>
        <v>5.0151659402241595E-2</v>
      </c>
      <c r="AB15" s="156">
        <f>Poor!AB15</f>
        <v>0.25</v>
      </c>
      <c r="AC15" s="121">
        <f t="shared" si="7"/>
        <v>5.0151659402241595E-2</v>
      </c>
      <c r="AD15" s="156">
        <f>Poor!AD15</f>
        <v>0.25</v>
      </c>
      <c r="AE15" s="121">
        <f t="shared" si="8"/>
        <v>5.0151659402241595E-2</v>
      </c>
      <c r="AF15" s="122">
        <f t="shared" si="10"/>
        <v>0.25</v>
      </c>
      <c r="AG15" s="121">
        <f t="shared" si="11"/>
        <v>5.0151659402241595E-2</v>
      </c>
      <c r="AH15" s="123">
        <f t="shared" si="12"/>
        <v>1</v>
      </c>
      <c r="AI15" s="183">
        <f t="shared" si="13"/>
        <v>5.0151659402241595E-2</v>
      </c>
      <c r="AJ15" s="120">
        <f t="shared" si="14"/>
        <v>5.0151659402241595E-2</v>
      </c>
      <c r="AK15" s="119">
        <f t="shared" si="15"/>
        <v>5.0151659402241595E-2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Groundnuts (dry): no. local meas</v>
      </c>
      <c r="B16" s="215">
        <f>IF([1]Summ!C1054="",0,[1]Summ!C1054)</f>
        <v>0</v>
      </c>
      <c r="C16" s="215">
        <f>IF([1]Summ!D1054="",0,[1]Summ!D1054)</f>
        <v>5.1825186799501861E-3</v>
      </c>
      <c r="D16" s="24">
        <f t="shared" ref="D16:D25" si="18">(B16+C16)</f>
        <v>5.1825186799501861E-3</v>
      </c>
      <c r="E16" s="75">
        <f>Poor!E16</f>
        <v>1</v>
      </c>
      <c r="F16" s="22"/>
      <c r="H16" s="24">
        <f t="shared" ref="H16:H25" si="19">(E16*F$7/F$9)</f>
        <v>1</v>
      </c>
      <c r="I16" s="22">
        <f t="shared" ref="I16:I25" si="20">(D16*H16)</f>
        <v>5.1825186799501861E-3</v>
      </c>
      <c r="J16" s="24">
        <f t="shared" si="17"/>
        <v>5.1825186799501861E-3</v>
      </c>
      <c r="K16" s="22">
        <f t="shared" ref="K16:K25" si="21">B16</f>
        <v>0</v>
      </c>
      <c r="L16" s="22">
        <f t="shared" ref="L16:L25" si="22">IF(K16="","",K16*H16)</f>
        <v>0</v>
      </c>
      <c r="M16" s="225">
        <f t="shared" ref="M16:M25" si="23">J16</f>
        <v>5.1825186799501861E-3</v>
      </c>
      <c r="N16" s="228">
        <v>1</v>
      </c>
      <c r="O16" s="2"/>
      <c r="P16" s="22"/>
      <c r="Q16" s="126" t="s">
        <v>78</v>
      </c>
      <c r="R16" s="221">
        <f>IF($B$81=0,0,(SUMIF($N$6:$N$28,$U16,K$6:K$28)+SUMIF($N$91:$N$118,$U16,K$91:K$118))*$B$83*$H$84*Poor!$B$81/$B$81)</f>
        <v>0</v>
      </c>
      <c r="S16" s="221">
        <f>IF($B$81=0,0,(SUMIF($N$6:$N$28,$U16,L$6:L$28)+SUMIF($N$91:$N$118,$U16,L$91:L$118))*$I$83*Poor!$B$81/$B$81)</f>
        <v>0</v>
      </c>
      <c r="T16" s="221">
        <f>IF($B$81=0,0,(SUMIF($N$6:$N$28,$U16,M$6:M$28)+SUMIF($N$91:$N$118,$U16,M$91:M$118))*$I$83*Poor!$B$81/$B$81)</f>
        <v>0</v>
      </c>
      <c r="U16" s="222">
        <v>10</v>
      </c>
      <c r="V16" s="56"/>
      <c r="W16" s="110"/>
      <c r="X16" s="118"/>
      <c r="Y16" s="183"/>
      <c r="Z16" s="156"/>
      <c r="AA16" s="121"/>
      <c r="AB16" s="156"/>
      <c r="AC16" s="121"/>
      <c r="AD16" s="156"/>
      <c r="AE16" s="121"/>
      <c r="AF16" s="122"/>
      <c r="AG16" s="121"/>
      <c r="AH16" s="123"/>
      <c r="AI16" s="183"/>
      <c r="AJ16" s="120"/>
      <c r="AK16" s="119"/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>Other crop: Rape</v>
      </c>
      <c r="B17" s="215">
        <f>IF([1]Summ!C1055="",0,[1]Summ!C1055)</f>
        <v>4.693337484433375E-3</v>
      </c>
      <c r="C17" s="215">
        <f>IF([1]Summ!D1055="",0,[1]Summ!D1055)</f>
        <v>0</v>
      </c>
      <c r="D17" s="24">
        <f t="shared" si="18"/>
        <v>4.693337484433375E-3</v>
      </c>
      <c r="E17" s="75">
        <f>Poor!E17</f>
        <v>1</v>
      </c>
      <c r="F17" s="22"/>
      <c r="H17" s="24">
        <f t="shared" si="19"/>
        <v>1</v>
      </c>
      <c r="I17" s="22">
        <f t="shared" si="20"/>
        <v>4.693337484433375E-3</v>
      </c>
      <c r="J17" s="24">
        <f t="shared" si="17"/>
        <v>4.693337484433375E-3</v>
      </c>
      <c r="K17" s="22">
        <f t="shared" si="21"/>
        <v>4.693337484433375E-3</v>
      </c>
      <c r="L17" s="22">
        <f t="shared" si="22"/>
        <v>4.693337484433375E-3</v>
      </c>
      <c r="M17" s="225">
        <f t="shared" si="23"/>
        <v>4.693337484433375E-3</v>
      </c>
      <c r="N17" s="228">
        <v>1</v>
      </c>
      <c r="O17" s="2"/>
      <c r="P17" s="22"/>
      <c r="Q17" s="126" t="s">
        <v>125</v>
      </c>
      <c r="R17" s="221">
        <f>IF($B$81=0,0,(SUMIF($N$6:$N$28,$U17,K$6:K$28)+SUMIF($N$91:$N$118,$U17,K$91:K$118))*$B$83*$H$84*Poor!$B$81/$B$81)</f>
        <v>0</v>
      </c>
      <c r="S17" s="221">
        <f>IF($B$81=0,0,(SUMIF($N$6:$N$28,$U17,L$6:L$28)+SUMIF($N$91:$N$118,$U17,L$91:L$118))*$I$83*Poor!$B$81/$B$81)</f>
        <v>0</v>
      </c>
      <c r="T17" s="221">
        <f>IF($B$81=0,0,(SUMIF($N$6:$N$28,$U17,M$6:M$28)+SUMIF($N$91:$N$118,$U17,M$91:M$118))*$I$83*Poor!$B$81/$B$81)</f>
        <v>0</v>
      </c>
      <c r="U17" s="222">
        <v>11</v>
      </c>
      <c r="V17" s="56"/>
      <c r="W17" s="110"/>
      <c r="X17" s="118"/>
      <c r="Y17" s="183"/>
      <c r="Z17" s="156"/>
      <c r="AA17" s="121"/>
      <c r="AB17" s="156"/>
      <c r="AC17" s="121"/>
      <c r="AD17" s="156"/>
      <c r="AE17" s="121"/>
      <c r="AF17" s="122"/>
      <c r="AG17" s="121"/>
      <c r="AH17" s="123"/>
      <c r="AI17" s="183"/>
      <c r="AJ17" s="120"/>
      <c r="AK17" s="119"/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>WILD FOODS -- see worksheet Data 3</v>
      </c>
      <c r="B18" s="215">
        <f>IF([1]Summ!C1056="",0,[1]Summ!C1056)</f>
        <v>1.159285491905355E-2</v>
      </c>
      <c r="C18" s="215">
        <f>IF([1]Summ!D1056="",0,[1]Summ!D1056)</f>
        <v>-1.159285491905355E-2</v>
      </c>
      <c r="D18" s="24">
        <f t="shared" si="18"/>
        <v>0</v>
      </c>
      <c r="E18" s="75">
        <f>Poor!E18</f>
        <v>1</v>
      </c>
      <c r="F18" s="22"/>
      <c r="H18" s="24">
        <f t="shared" si="19"/>
        <v>1</v>
      </c>
      <c r="I18" s="22">
        <f t="shared" si="20"/>
        <v>0</v>
      </c>
      <c r="J18" s="24">
        <f t="shared" si="17"/>
        <v>0</v>
      </c>
      <c r="K18" s="22">
        <f t="shared" si="21"/>
        <v>1.159285491905355E-2</v>
      </c>
      <c r="L18" s="22">
        <f t="shared" si="22"/>
        <v>1.159285491905355E-2</v>
      </c>
      <c r="M18" s="225">
        <f t="shared" si="23"/>
        <v>0</v>
      </c>
      <c r="N18" s="228">
        <v>6</v>
      </c>
      <c r="O18" s="2"/>
      <c r="P18" s="22"/>
      <c r="Q18" s="59" t="s">
        <v>79</v>
      </c>
      <c r="R18" s="221">
        <f>IF($B$81=0,0,(SUMIF($N$6:$N$28,$U18,K$6:K$28)+SUMIF($N$91:$N$118,$U18,K$91:K$118))*$B$83*$H$84*Poor!$B$81/$B$81)</f>
        <v>1008.3916845262437</v>
      </c>
      <c r="S18" s="221">
        <f>IF($B$81=0,0,(SUMIF($N$6:$N$28,$U18,L$6:L$28)+SUMIF($N$91:$N$118,$U18,L$91:L$118))*$I$83*Poor!$B$81/$B$81)</f>
        <v>1143.0095786415466</v>
      </c>
      <c r="T18" s="221">
        <f>IF($B$81=0,0,(SUMIF($N$6:$N$28,$U18,M$6:M$28)+SUMIF($N$91:$N$118,$U18,M$91:M$118))*$I$83*Poor!$B$81/$B$81)</f>
        <v>1143.0095786415466</v>
      </c>
      <c r="U18" s="222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>Labour: Weeding, ploughing</v>
      </c>
      <c r="B19" s="215">
        <f>IF([1]Summ!C1057="",0,[1]Summ!C1057)</f>
        <v>0.1537788698630137</v>
      </c>
      <c r="C19" s="215">
        <f>IF([1]Summ!D1057="",0,[1]Summ!D1057)</f>
        <v>0</v>
      </c>
      <c r="D19" s="24">
        <f t="shared" si="18"/>
        <v>0.1537788698630137</v>
      </c>
      <c r="E19" s="75">
        <f>Poor!E19</f>
        <v>1</v>
      </c>
      <c r="F19" s="22"/>
      <c r="H19" s="24">
        <f t="shared" si="19"/>
        <v>1</v>
      </c>
      <c r="I19" s="22">
        <f t="shared" si="20"/>
        <v>0.1537788698630137</v>
      </c>
      <c r="J19" s="24">
        <f t="shared" si="17"/>
        <v>0.1537788698630137</v>
      </c>
      <c r="K19" s="22">
        <f t="shared" si="21"/>
        <v>0.1537788698630137</v>
      </c>
      <c r="L19" s="22">
        <f t="shared" si="22"/>
        <v>0.1537788698630137</v>
      </c>
      <c r="M19" s="225">
        <f t="shared" si="23"/>
        <v>0.1537788698630137</v>
      </c>
      <c r="N19" s="228">
        <v>7</v>
      </c>
      <c r="O19" s="2"/>
      <c r="P19" s="22"/>
      <c r="Q19" s="59" t="s">
        <v>80</v>
      </c>
      <c r="R19" s="221">
        <f>IF($B$81=0,0,(SUMIF($N$6:$N$28,$U19,K$6:K$28)+SUMIF($N$91:$N$118,$U19,K$91:K$118))*$B$83*$H$84*Poor!$B$81/$B$81)</f>
        <v>66.615078009330801</v>
      </c>
      <c r="S19" s="221">
        <f>IF($B$81=0,0,(SUMIF($N$6:$N$28,$U19,L$6:L$28)+SUMIF($N$91:$N$118,$U19,L$91:L$118))*$I$83*Poor!$B$81/$B$81)</f>
        <v>75.508032657361071</v>
      </c>
      <c r="T19" s="221">
        <f>IF($B$81=0,0,(SUMIF($N$6:$N$28,$U19,M$6:M$28)+SUMIF($N$91:$N$118,$U19,M$91:M$118))*$I$83*Poor!$B$81/$B$81)</f>
        <v>75.508032657361071</v>
      </c>
      <c r="U19" s="222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>Gifts/remittances: cereal</v>
      </c>
      <c r="B20" s="215">
        <f>IF([1]Summ!C1058="",0,[1]Summ!C1058)</f>
        <v>5.8982783312577841E-3</v>
      </c>
      <c r="C20" s="215">
        <f>IF([1]Summ!D1058="",0,[1]Summ!D1058)</f>
        <v>0</v>
      </c>
      <c r="D20" s="24">
        <f t="shared" si="18"/>
        <v>5.8982783312577841E-3</v>
      </c>
      <c r="E20" s="75">
        <f>Poor!E20</f>
        <v>1</v>
      </c>
      <c r="F20" s="22"/>
      <c r="H20" s="24">
        <f t="shared" si="19"/>
        <v>1</v>
      </c>
      <c r="I20" s="22">
        <f t="shared" si="20"/>
        <v>5.8982783312577841E-3</v>
      </c>
      <c r="J20" s="24">
        <f t="shared" si="17"/>
        <v>5.8982783312577841E-3</v>
      </c>
      <c r="K20" s="22">
        <f t="shared" si="21"/>
        <v>5.8982783312577841E-3</v>
      </c>
      <c r="L20" s="22">
        <f t="shared" si="22"/>
        <v>5.8982783312577841E-3</v>
      </c>
      <c r="M20" s="225">
        <f t="shared" si="23"/>
        <v>5.8982783312577841E-3</v>
      </c>
      <c r="N20" s="228">
        <v>13</v>
      </c>
      <c r="O20" s="2"/>
      <c r="P20" s="22"/>
      <c r="Q20" s="59" t="s">
        <v>81</v>
      </c>
      <c r="R20" s="221">
        <f>IF($B$81=0,0,(SUMIF($N$6:$N$28,$U20,K$6:K$28)+SUMIF($N$91:$N$118,$U20,K$91:K$118))*$B$83*$H$84*Poor!$B$81/$B$81)</f>
        <v>29433.674397403858</v>
      </c>
      <c r="S20" s="221">
        <f>IF($B$81=0,0,(SUMIF($N$6:$N$28,$U20,L$6:L$28)+SUMIF($N$91:$N$118,$U20,L$91:L$118))*$I$83*Poor!$B$81/$B$81)</f>
        <v>0</v>
      </c>
      <c r="T20" s="221">
        <f>IF($B$81=0,0,(SUMIF($N$6:$N$28,$U20,M$6:M$28)+SUMIF($N$91:$N$118,$U20,M$91:M$118))*$I$83*Poor!$B$81/$B$81)</f>
        <v>0</v>
      </c>
      <c r="U20" s="222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215">
        <f>IF([1]Summ!C1059="",0,[1]Summ!C1059)</f>
        <v>0</v>
      </c>
      <c r="C21" s="215">
        <f>IF([1]Summ!D1059="",0,[1]Summ!D1059)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5">
        <f t="shared" si="23"/>
        <v>0</v>
      </c>
      <c r="N21" s="228"/>
      <c r="O21" s="2"/>
      <c r="P21" s="22"/>
      <c r="Q21" s="59" t="s">
        <v>82</v>
      </c>
      <c r="R21" s="221">
        <f>IF($B$81=0,0,(SUMIF($N$6:$N$28,$U21,K$6:K$28)+SUMIF($N$91:$N$118,$U21,K$91:K$118))*$B$83*$H$84*Poor!$B$81/$B$81)</f>
        <v>0</v>
      </c>
      <c r="S21" s="221">
        <f>IF($B$81=0,0,(SUMIF($N$6:$N$28,$U21,L$6:L$28)+SUMIF($N$91:$N$118,$U21,L$91:L$118))*$I$83*Poor!$B$81/$B$81)</f>
        <v>0</v>
      </c>
      <c r="T21" s="221">
        <f>IF($B$81=0,0,(SUMIF($N$6:$N$28,$U21,M$6:M$28)+SUMIF($N$91:$N$118,$U21,M$91:M$118))*$I$83*Poor!$B$81/$B$81)</f>
        <v>0</v>
      </c>
      <c r="U21" s="222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215">
        <f>IF([1]Summ!C1060="",0,[1]Summ!C1060)</f>
        <v>0</v>
      </c>
      <c r="C22" s="215">
        <f>IF([1]Summ!D1060="",0,[1]Summ!D1060)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5">
        <f t="shared" si="23"/>
        <v>0</v>
      </c>
      <c r="N22" s="228"/>
      <c r="O22" s="2"/>
      <c r="P22" s="22"/>
      <c r="Q22" s="59" t="s">
        <v>83</v>
      </c>
      <c r="R22" s="221">
        <f>IF($B$81=0,0,(SUMIF($N$6:$N$28,$U22,K$6:K$28)+SUMIF($N$91:$N$118,$U22,K$91:K$118))*$B$83*$H$84*Poor!$B$81/$B$81)</f>
        <v>0</v>
      </c>
      <c r="S22" s="221">
        <f>IF($B$81=0,0,(SUMIF($N$6:$N$28,$U22,L$6:L$28)+SUMIF($N$91:$N$118,$U22,L$91:L$118))*$I$83*Poor!$B$81/$B$81)</f>
        <v>0</v>
      </c>
      <c r="T22" s="221">
        <f>IF($B$81=0,0,(SUMIF($N$6:$N$28,$U22,M$6:M$28)+SUMIF($N$91:$N$118,$U22,M$91:M$118))*$I$83*Poor!$B$81/$B$81)</f>
        <v>0</v>
      </c>
      <c r="U22" s="222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215">
        <f>IF([1]Summ!C1061="",0,[1]Summ!C1061)</f>
        <v>0</v>
      </c>
      <c r="C23" s="215">
        <f>IF([1]Summ!D1061="",0,[1]Summ!D1061)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5">
        <f t="shared" si="23"/>
        <v>0</v>
      </c>
      <c r="N23" s="228"/>
      <c r="O23" s="2"/>
      <c r="P23" s="22"/>
      <c r="Q23" s="171" t="s">
        <v>100</v>
      </c>
      <c r="R23" s="179">
        <f>SUM(R7:R22)</f>
        <v>48650.036407108069</v>
      </c>
      <c r="S23" s="179">
        <f>SUM(S7:S22)</f>
        <v>17118.106815366955</v>
      </c>
      <c r="T23" s="179">
        <f>SUM(T7:T22)</f>
        <v>17022.612885145085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215">
        <f>IF([1]Summ!C1062="",0,[1]Summ!C1062)</f>
        <v>0</v>
      </c>
      <c r="C24" s="215">
        <f>IF([1]Summ!D1062="",0,[1]Summ!D1062)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5">
        <f t="shared" si="23"/>
        <v>0</v>
      </c>
      <c r="N24" s="228"/>
      <c r="O24" s="2"/>
      <c r="P24" s="22"/>
      <c r="Q24" s="59" t="s">
        <v>137</v>
      </c>
      <c r="R24" s="41">
        <f>IF($B$81=0,0,(SUM(($B$70*$H$70))+((1-$D$29)*$I$83))*Poor!$B$81/$B$81)</f>
        <v>39324.286292052799</v>
      </c>
      <c r="S24" s="41">
        <f>IF($B$81=0,0,(SUM(($B$70*$H$70))+((1-$D$29)*$I$83))*Poor!$B$81/$B$81)</f>
        <v>39324.286292052799</v>
      </c>
      <c r="T24" s="41">
        <f>IF($B$81=0,0,(SUM(($B$70*$H$70))+((1-$D$29)*$I$83))*Poor!$B$81/$B$81)</f>
        <v>39324.286292052799</v>
      </c>
      <c r="U24" s="56"/>
      <c r="V24" s="56"/>
      <c r="W24" s="110"/>
      <c r="X24" s="118"/>
      <c r="Y24" s="183">
        <f t="shared" si="9"/>
        <v>0</v>
      </c>
      <c r="Z24" s="156">
        <f>Poor!Z16</f>
        <v>0</v>
      </c>
      <c r="AA24" s="121">
        <f t="shared" si="16"/>
        <v>0</v>
      </c>
      <c r="AB24" s="156">
        <f>Poor!AB16</f>
        <v>0</v>
      </c>
      <c r="AC24" s="121">
        <f t="shared" si="7"/>
        <v>0</v>
      </c>
      <c r="AD24" s="156">
        <f>Poor!AD16</f>
        <v>0</v>
      </c>
      <c r="AE24" s="121">
        <f t="shared" si="8"/>
        <v>0</v>
      </c>
      <c r="AF24" s="122">
        <f t="shared" si="10"/>
        <v>1</v>
      </c>
      <c r="AG24" s="121">
        <f t="shared" si="11"/>
        <v>0</v>
      </c>
      <c r="AH24" s="123">
        <f t="shared" si="12"/>
        <v>1</v>
      </c>
      <c r="AI24" s="183">
        <f t="shared" si="13"/>
        <v>0</v>
      </c>
      <c r="AJ24" s="120">
        <f t="shared" si="14"/>
        <v>0</v>
      </c>
      <c r="AK24" s="119">
        <f t="shared" si="15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215">
        <f>IF([1]Summ!C1063="",0,[1]Summ!C1063)</f>
        <v>0</v>
      </c>
      <c r="C25" s="215">
        <f>IF([1]Summ!D1063="",0,[1]Summ!D1063)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5">
        <f t="shared" si="23"/>
        <v>0</v>
      </c>
      <c r="N25" s="228"/>
      <c r="O25" s="2"/>
      <c r="P25" s="22"/>
      <c r="Q25" s="142" t="s">
        <v>138</v>
      </c>
      <c r="R25" s="41">
        <f>IF($B$81=0,0,(SUM(($B$70*$H$70),($B$71*$H$71))+((1-$D$29)*$I$83))*Poor!$B$81/$B$81)</f>
        <v>59595.112958719466</v>
      </c>
      <c r="S25" s="41">
        <f>IF($B$81=0,0,(SUM(($B$70*$H$70),($B$71*$H$71))+((1-$D$29)*$I$83))*Poor!$B$81/$B$81)</f>
        <v>59595.112958719466</v>
      </c>
      <c r="T25" s="41">
        <f>IF($B$81=0,0,(SUM(($B$70*$H$70),($B$71*$H$71))+((1-$D$29)*$I$83))*Poor!$B$81/$B$81)</f>
        <v>59595.112958719466</v>
      </c>
      <c r="U25" s="56"/>
      <c r="V25" s="56"/>
      <c r="W25" s="110"/>
      <c r="X25" s="118"/>
      <c r="Y25" s="183">
        <f t="shared" si="9"/>
        <v>0</v>
      </c>
      <c r="Z25" s="156">
        <f>Poor!Z17</f>
        <v>0.29409999999999997</v>
      </c>
      <c r="AA25" s="121">
        <f t="shared" si="16"/>
        <v>0</v>
      </c>
      <c r="AB25" s="156">
        <f>Poor!AB17</f>
        <v>0.17649999999999999</v>
      </c>
      <c r="AC25" s="121">
        <f t="shared" si="7"/>
        <v>0</v>
      </c>
      <c r="AD25" s="156">
        <f>Poor!AD17</f>
        <v>0.23530000000000001</v>
      </c>
      <c r="AE25" s="121">
        <f t="shared" si="8"/>
        <v>0</v>
      </c>
      <c r="AF25" s="122">
        <f t="shared" si="10"/>
        <v>0.29410000000000003</v>
      </c>
      <c r="AG25" s="121">
        <f t="shared" si="11"/>
        <v>0</v>
      </c>
      <c r="AH25" s="123">
        <f t="shared" si="12"/>
        <v>1</v>
      </c>
      <c r="AI25" s="183">
        <f t="shared" si="13"/>
        <v>0</v>
      </c>
      <c r="AJ25" s="120">
        <f t="shared" si="14"/>
        <v>0</v>
      </c>
      <c r="AK25" s="119">
        <f t="shared" si="15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215">
        <f>IF([1]Summ!C1064="",0,[1]Summ!C1064)</f>
        <v>8.9285714285714288E-2</v>
      </c>
      <c r="C26" s="215">
        <f>IF([1]Summ!D1064="",0,[1]Summ!D1064)</f>
        <v>0</v>
      </c>
      <c r="D26" s="24">
        <f t="shared" si="0"/>
        <v>8.9285714285714288E-2</v>
      </c>
      <c r="E26" s="75">
        <f>Poor!E26</f>
        <v>1</v>
      </c>
      <c r="F26" s="22"/>
      <c r="H26" s="24">
        <f t="shared" si="1"/>
        <v>1</v>
      </c>
      <c r="I26" s="22">
        <f t="shared" si="2"/>
        <v>8.9285714285714288E-2</v>
      </c>
      <c r="J26" s="24">
        <f>IF(I$32&lt;=1+I131,I26,B26*H26+J$33*(I26-B26*H26))</f>
        <v>8.9285714285714288E-2</v>
      </c>
      <c r="K26" s="22">
        <f t="shared" si="4"/>
        <v>8.9285714285714288E-2</v>
      </c>
      <c r="L26" s="22">
        <f t="shared" si="5"/>
        <v>8.9285714285714288E-2</v>
      </c>
      <c r="M26" s="223">
        <f t="shared" si="6"/>
        <v>8.9285714285714288E-2</v>
      </c>
      <c r="N26" s="228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92333.032958719472</v>
      </c>
      <c r="S26" s="41">
        <f>IF($B$81=0,0,(SUM(($B$70*$H$70),($B$71*$H$71),($B$72*$H$72))+((1-$D$29)*$I$83))*Poor!$B$81/$B$81)</f>
        <v>92333.032958719472</v>
      </c>
      <c r="T26" s="41">
        <f>IF($B$81=0,0,(SUM(($B$70*$H$70),($B$71*$H$71),($B$72*$H$72))+((1-$D$29)*$I$83))*Poor!$B$81/$B$81)</f>
        <v>92333.032958719472</v>
      </c>
      <c r="U26" s="56"/>
      <c r="V26" s="56"/>
      <c r="W26" s="110"/>
      <c r="X26" s="118"/>
      <c r="Y26" s="183">
        <f t="shared" si="9"/>
        <v>0.35714285714285715</v>
      </c>
      <c r="Z26" s="156">
        <f>Poor!Z26</f>
        <v>0.25</v>
      </c>
      <c r="AA26" s="121">
        <f t="shared" si="16"/>
        <v>8.9285714285714288E-2</v>
      </c>
      <c r="AB26" s="156">
        <f>Poor!AB26</f>
        <v>0.25</v>
      </c>
      <c r="AC26" s="121">
        <f t="shared" si="7"/>
        <v>8.9285714285714288E-2</v>
      </c>
      <c r="AD26" s="156">
        <f>Poor!AD26</f>
        <v>0.25</v>
      </c>
      <c r="AE26" s="121">
        <f t="shared" si="8"/>
        <v>8.9285714285714288E-2</v>
      </c>
      <c r="AF26" s="122">
        <f t="shared" si="10"/>
        <v>0.25</v>
      </c>
      <c r="AG26" s="121">
        <f t="shared" si="11"/>
        <v>8.9285714285714288E-2</v>
      </c>
      <c r="AH26" s="123">
        <f t="shared" si="12"/>
        <v>1</v>
      </c>
      <c r="AI26" s="183">
        <f t="shared" si="13"/>
        <v>8.9285714285714288E-2</v>
      </c>
      <c r="AJ26" s="120">
        <f t="shared" si="14"/>
        <v>8.9285714285714288E-2</v>
      </c>
      <c r="AK26" s="119">
        <f t="shared" si="15"/>
        <v>8.9285714285714288E-2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215">
        <f>IF([1]Summ!C1065="",0,[1]Summ!C1065)</f>
        <v>2.5214781444582817E-2</v>
      </c>
      <c r="C27" s="215">
        <f>IF([1]Summ!D1065="",0,[1]Summ!D1065)</f>
        <v>-2.5214781444582817E-2</v>
      </c>
      <c r="D27" s="24">
        <f t="shared" si="0"/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2.5214781444582817E-2</v>
      </c>
      <c r="L27" s="22">
        <f t="shared" si="5"/>
        <v>2.5214781444582817E-2</v>
      </c>
      <c r="M27" s="225">
        <f t="shared" si="6"/>
        <v>0</v>
      </c>
      <c r="N27" s="228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 t="shared" si="7"/>
        <v>0</v>
      </c>
      <c r="AD27" s="156">
        <f>Poor!AD27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215">
        <f>IF([1]Summ!C1066="",0,[1]Summ!C1066)</f>
        <v>1.2904520547945206E-2</v>
      </c>
      <c r="C28" s="215">
        <f>IF([1]Summ!D1066="",0,[1]Summ!D1066)</f>
        <v>-1.2904520547945206E-2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1.2904520547945206E-2</v>
      </c>
      <c r="L28" s="22">
        <f t="shared" si="5"/>
        <v>1.2904520547945206E-2</v>
      </c>
      <c r="M28" s="223">
        <f t="shared" si="6"/>
        <v>0</v>
      </c>
      <c r="N28" s="228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215">
        <f>IF([1]Summ!C1067="",0,[1]Summ!C1067)</f>
        <v>7.519653128891654E-2</v>
      </c>
      <c r="C29" s="215">
        <f>IF([1]Summ!D1067="",0,[1]Summ!D1067)</f>
        <v>0.14944024265308051</v>
      </c>
      <c r="D29" s="24">
        <f>(B29+C29)</f>
        <v>0.22463677394199705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0.22463677394199705</v>
      </c>
      <c r="J29" s="24">
        <f>IF(I$32&lt;=1+I131,I29,B29*H29+J$33*(I29-B29*H29))</f>
        <v>0.22463677394199705</v>
      </c>
      <c r="K29" s="22">
        <f t="shared" si="4"/>
        <v>7.519653128891654E-2</v>
      </c>
      <c r="L29" s="22">
        <f t="shared" si="5"/>
        <v>7.519653128891654E-2</v>
      </c>
      <c r="M29" s="223">
        <f t="shared" si="6"/>
        <v>0.22463677394199705</v>
      </c>
      <c r="N29" s="228"/>
      <c r="P29" s="22"/>
      <c r="V29" s="56"/>
      <c r="W29" s="110"/>
      <c r="X29" s="118"/>
      <c r="Y29" s="183">
        <f t="shared" si="9"/>
        <v>0.89854709576798819</v>
      </c>
      <c r="Z29" s="156">
        <f>Poor!Z29</f>
        <v>0.25</v>
      </c>
      <c r="AA29" s="121">
        <f t="shared" si="16"/>
        <v>0.22463677394199705</v>
      </c>
      <c r="AB29" s="156">
        <f>Poor!AB29</f>
        <v>0.25</v>
      </c>
      <c r="AC29" s="121">
        <f t="shared" si="7"/>
        <v>0.22463677394199705</v>
      </c>
      <c r="AD29" s="156">
        <f>Poor!AD29</f>
        <v>0.25</v>
      </c>
      <c r="AE29" s="121">
        <f t="shared" si="8"/>
        <v>0.22463677394199705</v>
      </c>
      <c r="AF29" s="122">
        <f t="shared" si="10"/>
        <v>0.25</v>
      </c>
      <c r="AG29" s="121">
        <f t="shared" si="11"/>
        <v>0.22463677394199705</v>
      </c>
      <c r="AH29" s="123">
        <f t="shared" si="12"/>
        <v>1</v>
      </c>
      <c r="AI29" s="183">
        <f t="shared" si="13"/>
        <v>0.22463677394199705</v>
      </c>
      <c r="AJ29" s="120">
        <f t="shared" si="14"/>
        <v>0.22463677394199705</v>
      </c>
      <c r="AK29" s="119">
        <f t="shared" si="15"/>
        <v>0.22463677394199705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215">
        <f>IF([1]Summ!C1068="",0,[1]Summ!C1068)</f>
        <v>0.56623471980074724</v>
      </c>
      <c r="C30" s="103"/>
      <c r="D30" s="24">
        <f>(D119-B124)</f>
        <v>1.1002234048317345</v>
      </c>
      <c r="E30" s="75">
        <f>Poor!E30</f>
        <v>1</v>
      </c>
      <c r="H30" s="96">
        <f>(E30*F$7/F$9)</f>
        <v>1</v>
      </c>
      <c r="I30" s="29">
        <f>IF(E30&gt;=1,I119-I124,MIN(I119-I124,B30*H30))</f>
        <v>0</v>
      </c>
      <c r="J30" s="230">
        <f>IF(I$32&lt;=1,I30,1-SUM(J6:J29))</f>
        <v>0</v>
      </c>
      <c r="K30" s="22">
        <f t="shared" si="4"/>
        <v>0.56623471980074724</v>
      </c>
      <c r="L30" s="22">
        <f>IF(L124=L119,0,IF(K30="",0,(L119-L124)/(B119-B124)*K30))</f>
        <v>0</v>
      </c>
      <c r="M30" s="175">
        <f t="shared" si="6"/>
        <v>0</v>
      </c>
      <c r="N30" s="166" t="s">
        <v>86</v>
      </c>
      <c r="O30" s="2"/>
      <c r="P30" s="22"/>
      <c r="Q30" s="233" t="s">
        <v>141</v>
      </c>
      <c r="R30" s="233">
        <f t="shared" ref="R30:T32" si="24">IF(R24&gt;R$23,R24-R$23,0)</f>
        <v>0</v>
      </c>
      <c r="S30" s="233">
        <f t="shared" si="24"/>
        <v>22206.179476685844</v>
      </c>
      <c r="T30" s="233">
        <f t="shared" si="24"/>
        <v>22301.673406907714</v>
      </c>
      <c r="V30" s="56"/>
      <c r="W30" s="110"/>
      <c r="X30" s="118"/>
      <c r="Y30" s="183">
        <f>M30*4</f>
        <v>0</v>
      </c>
      <c r="Z30" s="122">
        <f>IF($Y30=0,0,AA30/($Y$30))</f>
        <v>0</v>
      </c>
      <c r="AA30" s="187">
        <f>IF(AA79*4/$I$83+SUM(AA6:AA29)&lt;1,AA79*4/$I$83,1-SUM(AA6:AA29))</f>
        <v>-2.2204460492503131E-16</v>
      </c>
      <c r="AB30" s="122">
        <f>IF($Y30=0,0,AC30/($Y$30))</f>
        <v>0</v>
      </c>
      <c r="AC30" s="187">
        <f>IF(AC79*4/$I$83+SUM(AC6:AC29)&lt;1,AC79*4/$I$83,1-SUM(AC6:AC29))</f>
        <v>0</v>
      </c>
      <c r="AD30" s="122">
        <f>IF($Y30=0,0,AE30/($Y$30))</f>
        <v>0</v>
      </c>
      <c r="AE30" s="187">
        <f>IF(AE79*4/$I$83+SUM(AE6:AE29)&lt;1,AE79*4/$I$83,1-SUM(AE6:AE29))</f>
        <v>0</v>
      </c>
      <c r="AF30" s="122">
        <f>IF($Y30=0,0,AG30/($Y$30))</f>
        <v>0</v>
      </c>
      <c r="AG30" s="187">
        <f>IF(AG79*4/$I$83+SUM(AG6:AG29)&lt;1,AG79*4/$I$83,1-SUM(AG6:AG29))</f>
        <v>0</v>
      </c>
      <c r="AH30" s="123">
        <f t="shared" si="12"/>
        <v>0</v>
      </c>
      <c r="AI30" s="183">
        <f t="shared" si="13"/>
        <v>-5.5511151231257827E-17</v>
      </c>
      <c r="AJ30" s="120">
        <f t="shared" si="14"/>
        <v>-1.1102230246251565E-16</v>
      </c>
      <c r="AK30" s="119">
        <f t="shared" si="15"/>
        <v>0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215" t="str">
        <f>IF(1-$B$32&gt;0,1-$B$32,"")</f>
        <v/>
      </c>
      <c r="C31" s="77"/>
      <c r="D31" s="24"/>
      <c r="E31" s="22"/>
      <c r="F31" s="22"/>
      <c r="H31" s="24"/>
      <c r="I31" s="22"/>
      <c r="J31" s="231">
        <f>(1-SUM(J6:J30))</f>
        <v>0.26521932556846961</v>
      </c>
      <c r="K31" s="22" t="str">
        <f t="shared" si="4"/>
        <v/>
      </c>
      <c r="L31" s="22">
        <f>(1-SUM(L6:L30))</f>
        <v>0.41656665165866102</v>
      </c>
      <c r="M31" s="240">
        <f t="shared" si="6"/>
        <v>0.26521932556846961</v>
      </c>
      <c r="N31" s="167">
        <f>M31*I83</f>
        <v>3395.2601711348502</v>
      </c>
      <c r="P31" s="22"/>
      <c r="Q31" s="237" t="s">
        <v>142</v>
      </c>
      <c r="R31" s="233">
        <f t="shared" si="24"/>
        <v>10945.076551611397</v>
      </c>
      <c r="S31" s="233">
        <f t="shared" si="24"/>
        <v>42477.006143352512</v>
      </c>
      <c r="T31" s="233">
        <f>IF(T25&gt;T$23,T25-T$23,0)</f>
        <v>42572.500073574382</v>
      </c>
      <c r="V31" s="56"/>
      <c r="W31" s="129" t="s">
        <v>84</v>
      </c>
      <c r="X31" s="130"/>
      <c r="Y31" s="121">
        <f>M31*4</f>
        <v>1.0608773022738784</v>
      </c>
      <c r="Z31" s="131"/>
      <c r="AA31" s="132">
        <f>1-AA32+IF($Y32&lt;0,$Y32/4,0)</f>
        <v>0</v>
      </c>
      <c r="AB31" s="131"/>
      <c r="AC31" s="133">
        <f>1-AC32+IF($Y32&lt;0,$Y32/4,0)</f>
        <v>0.47388539828098253</v>
      </c>
      <c r="AD31" s="134"/>
      <c r="AE31" s="133">
        <f>1-AE32+IF($Y32&lt;0,$Y32/4,0)</f>
        <v>0.63147183755061986</v>
      </c>
      <c r="AF31" s="134"/>
      <c r="AG31" s="133">
        <f>1-AG32+IF($Y32&lt;0,$Y32/4,0)</f>
        <v>0.63373208387689639</v>
      </c>
      <c r="AH31" s="123"/>
      <c r="AI31" s="182">
        <f>SUM(AA31,AC31,AE31,AG31)/4</f>
        <v>0.43477232992712467</v>
      </c>
      <c r="AJ31" s="135">
        <f t="shared" si="14"/>
        <v>0.23694269914049126</v>
      </c>
      <c r="AK31" s="136">
        <f t="shared" si="15"/>
        <v>0.63260196071375807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1.1413640091694837</v>
      </c>
      <c r="C32" s="77">
        <f>SUM(C6:C31)</f>
        <v>0.15134732609019133</v>
      </c>
      <c r="D32" s="24">
        <f>SUM(D6:D30)</f>
        <v>1.826700020290662</v>
      </c>
      <c r="E32" s="2"/>
      <c r="F32" s="2"/>
      <c r="H32" s="17"/>
      <c r="I32" s="22">
        <f>SUM(I6:I30)</f>
        <v>0.73478067443153039</v>
      </c>
      <c r="J32" s="17"/>
      <c r="L32" s="22">
        <f>SUM(L6:L30)</f>
        <v>0.58343334834133898</v>
      </c>
      <c r="M32" s="23"/>
      <c r="N32" s="56"/>
      <c r="O32" s="2"/>
      <c r="P32" s="22"/>
      <c r="Q32" s="233" t="s">
        <v>143</v>
      </c>
      <c r="R32" s="233">
        <f t="shared" si="24"/>
        <v>43682.996551611403</v>
      </c>
      <c r="S32" s="233">
        <f t="shared" si="24"/>
        <v>75214.926143352524</v>
      </c>
      <c r="T32" s="233">
        <f t="shared" si="24"/>
        <v>75310.42007357438</v>
      </c>
      <c r="V32" s="56"/>
      <c r="W32" s="110"/>
      <c r="X32" s="118"/>
      <c r="Y32" s="115">
        <f>SUM(Y6:Y31)</f>
        <v>3.3217879825653798</v>
      </c>
      <c r="Z32" s="137"/>
      <c r="AA32" s="138">
        <f>SUM(AA6:AA30)</f>
        <v>1</v>
      </c>
      <c r="AB32" s="137"/>
      <c r="AC32" s="139">
        <f>SUM(AC6:AC30)</f>
        <v>0.52611460171901747</v>
      </c>
      <c r="AD32" s="137"/>
      <c r="AE32" s="139">
        <f>SUM(AE6:AE30)</f>
        <v>0.36852816244938008</v>
      </c>
      <c r="AF32" s="137"/>
      <c r="AG32" s="139">
        <f>SUM(AG6:AG30)</f>
        <v>0.36626791612310361</v>
      </c>
      <c r="AH32" s="127"/>
      <c r="AI32" s="110"/>
      <c r="AJ32" s="140">
        <f>SUM(AJ6:AJ31)</f>
        <v>0.99999999999999989</v>
      </c>
      <c r="AK32" s="141">
        <f>SUM(AK6:AK31)</f>
        <v>0.99999999999999989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3.8334185115668404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53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39177.239902439534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6" t="str">
        <f>IF(Poor!A37=0,"",Poor!A37)</f>
        <v>Pig sales: no sold</v>
      </c>
      <c r="B37" s="216">
        <f>IF([1]Summ!C1072="",0,[1]Summ!C1072)</f>
        <v>0</v>
      </c>
      <c r="C37" s="216">
        <f>IF([1]Summ!D1072="",0,[1]Summ!D1072)</f>
        <v>0</v>
      </c>
      <c r="D37" s="38">
        <f t="shared" ref="D37:D64" si="25">B37+C37</f>
        <v>0</v>
      </c>
      <c r="E37" s="75">
        <f>Poor!E37</f>
        <v>0.8</v>
      </c>
      <c r="F37" s="75">
        <f>Poor!F37</f>
        <v>1.18</v>
      </c>
      <c r="G37" s="75">
        <f>Poor!G37</f>
        <v>1.65</v>
      </c>
      <c r="H37" s="24">
        <f t="shared" ref="H37" si="26">(E37*F37)</f>
        <v>0.94399999999999995</v>
      </c>
      <c r="I37" s="39">
        <f t="shared" ref="I37" si="27">D37*H37</f>
        <v>0</v>
      </c>
      <c r="J37" s="38">
        <f>J91*I$83</f>
        <v>0</v>
      </c>
      <c r="K37" s="40">
        <f>(B37/B$65)</f>
        <v>0</v>
      </c>
      <c r="L37" s="22">
        <f t="shared" ref="L37" si="28">(K37*H37)</f>
        <v>0</v>
      </c>
      <c r="M37" s="24">
        <f>J37/B$65</f>
        <v>0</v>
      </c>
      <c r="N37" s="2"/>
      <c r="O37" s="2"/>
      <c r="P37" s="2"/>
      <c r="Q37" s="59"/>
      <c r="R37" s="251"/>
      <c r="S37" s="251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0</v>
      </c>
      <c r="AH37" s="123">
        <f>SUM(Z37,AB37,AD37,AF37)</f>
        <v>1</v>
      </c>
      <c r="AI37" s="112">
        <f>SUM(AA37,AC37,AE37,AG37)</f>
        <v>0</v>
      </c>
      <c r="AJ37" s="148">
        <f>(AA37+AC37)</f>
        <v>0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6" t="str">
        <f>IF(Poor!A38=0,"",Poor!A38)</f>
        <v>Cattle sales - local: no. sold</v>
      </c>
      <c r="B38" s="216">
        <f>IF([1]Summ!C1073="",0,[1]Summ!C1073)</f>
        <v>0</v>
      </c>
      <c r="C38" s="216">
        <f>IF([1]Summ!D1073="",0,[1]Summ!D1073)</f>
        <v>0</v>
      </c>
      <c r="D38" s="38">
        <f t="shared" si="25"/>
        <v>0</v>
      </c>
      <c r="E38" s="75">
        <f>Poor!E38</f>
        <v>0.8</v>
      </c>
      <c r="F38" s="75">
        <f>Poor!F38</f>
        <v>1.18</v>
      </c>
      <c r="G38" s="75">
        <f>Poor!G38</f>
        <v>1.65</v>
      </c>
      <c r="H38" s="24">
        <f t="shared" ref="H38:H64" si="30">(E38*F38)</f>
        <v>0.94399999999999995</v>
      </c>
      <c r="I38" s="39">
        <f t="shared" ref="I38:I64" si="31">D38*H38</f>
        <v>0</v>
      </c>
      <c r="J38" s="38">
        <f t="shared" ref="J38:J64" si="32">J92*I$83</f>
        <v>0</v>
      </c>
      <c r="K38" s="40">
        <f t="shared" ref="K38:K64" si="33">(B38/B$65)</f>
        <v>0</v>
      </c>
      <c r="L38" s="22">
        <f t="shared" ref="L38:L64" si="34">(K38*H38)</f>
        <v>0</v>
      </c>
      <c r="M38" s="24">
        <f t="shared" ref="M38:M64" si="35">J38/B$65</f>
        <v>0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0</v>
      </c>
      <c r="AH38" s="123">
        <f t="shared" ref="AH38:AI58" si="37">SUM(Z38,AB38,AD38,AF38)</f>
        <v>1</v>
      </c>
      <c r="AI38" s="112">
        <f t="shared" si="37"/>
        <v>0</v>
      </c>
      <c r="AJ38" s="148">
        <f t="shared" ref="AJ38:AJ64" si="38">(AA38+AC38)</f>
        <v>0</v>
      </c>
      <c r="AK38" s="147">
        <f t="shared" ref="AK38:AK64" si="39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6" t="str">
        <f>IF(Poor!A39=0,"",Poor!A39)</f>
        <v>Goat sales - local: no. sold</v>
      </c>
      <c r="B39" s="216">
        <f>IF([1]Summ!C1074="",0,[1]Summ!C1074)</f>
        <v>0</v>
      </c>
      <c r="C39" s="216">
        <f>IF([1]Summ!D1074="",0,[1]Summ!D1074)</f>
        <v>0</v>
      </c>
      <c r="D39" s="38">
        <f t="shared" si="25"/>
        <v>0</v>
      </c>
      <c r="E39" s="75">
        <f>Poor!E39</f>
        <v>0.8</v>
      </c>
      <c r="F39" s="75">
        <f>Poor!F39</f>
        <v>1.18</v>
      </c>
      <c r="G39" s="75">
        <f>Poor!G39</f>
        <v>1.65</v>
      </c>
      <c r="H39" s="24">
        <f t="shared" si="30"/>
        <v>0.94399999999999995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18"/>
      <c r="Y39" s="110"/>
      <c r="Z39" s="122">
        <f>Z8</f>
        <v>0</v>
      </c>
      <c r="AA39" s="147">
        <f t="shared" ref="AA39:AA64" si="40">$J39*Z39</f>
        <v>0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1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6" t="str">
        <f>IF(Poor!A40=0,"",Poor!A40)</f>
        <v>Maize: kg produced</v>
      </c>
      <c r="B40" s="216">
        <f>IF([1]Summ!C1075="",0,[1]Summ!C1075)</f>
        <v>0</v>
      </c>
      <c r="C40" s="216">
        <f>IF([1]Summ!D1075="",0,[1]Summ!D1075)</f>
        <v>0</v>
      </c>
      <c r="D40" s="38">
        <f t="shared" si="25"/>
        <v>0</v>
      </c>
      <c r="E40" s="75">
        <f>Poor!E40</f>
        <v>1.0900000000000001</v>
      </c>
      <c r="F40" s="75">
        <f>Poor!F40</f>
        <v>1.4</v>
      </c>
      <c r="G40" s="75">
        <f>Poor!G40</f>
        <v>1.65</v>
      </c>
      <c r="H40" s="24">
        <f t="shared" si="30"/>
        <v>1.526</v>
      </c>
      <c r="I40" s="39">
        <f t="shared" si="31"/>
        <v>0</v>
      </c>
      <c r="J40" s="38">
        <f t="shared" si="32"/>
        <v>0</v>
      </c>
      <c r="K40" s="40">
        <f t="shared" si="33"/>
        <v>0</v>
      </c>
      <c r="L40" s="22">
        <f t="shared" si="34"/>
        <v>0</v>
      </c>
      <c r="M40" s="24">
        <f t="shared" si="35"/>
        <v>0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18">
        <f>X9</f>
        <v>1</v>
      </c>
      <c r="Y40" s="110"/>
      <c r="Z40" s="122">
        <f>Z9</f>
        <v>0.8404495940870107</v>
      </c>
      <c r="AA40" s="147">
        <f t="shared" si="40"/>
        <v>0</v>
      </c>
      <c r="AB40" s="122">
        <f>AB9</f>
        <v>0.1595504059129893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0</v>
      </c>
      <c r="AJ40" s="148">
        <f t="shared" si="38"/>
        <v>0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6" t="str">
        <f>IF(Poor!A41=0,"",Poor!A41)</f>
        <v>Maize (irrigated): kg produced</v>
      </c>
      <c r="B41" s="216">
        <f>IF([1]Summ!C1076="",0,[1]Summ!C1076)</f>
        <v>0</v>
      </c>
      <c r="C41" s="216">
        <f>IF([1]Summ!D1076="",0,[1]Summ!D1076)</f>
        <v>0</v>
      </c>
      <c r="D41" s="38">
        <f t="shared" si="25"/>
        <v>0</v>
      </c>
      <c r="E41" s="75">
        <f>Poor!E41</f>
        <v>1.0900000000000001</v>
      </c>
      <c r="F41" s="75">
        <f>Poor!F41</f>
        <v>1.4</v>
      </c>
      <c r="G41" s="75">
        <f>Poor!G41</f>
        <v>1.65</v>
      </c>
      <c r="H41" s="24">
        <f t="shared" si="30"/>
        <v>1.526</v>
      </c>
      <c r="I41" s="39">
        <f t="shared" si="31"/>
        <v>0</v>
      </c>
      <c r="J41" s="38">
        <f t="shared" si="32"/>
        <v>0</v>
      </c>
      <c r="K41" s="40">
        <f t="shared" si="33"/>
        <v>0</v>
      </c>
      <c r="L41" s="22">
        <f t="shared" si="34"/>
        <v>0</v>
      </c>
      <c r="M41" s="24">
        <f t="shared" si="35"/>
        <v>0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18">
        <f>X11</f>
        <v>1</v>
      </c>
      <c r="Y41" s="110"/>
      <c r="Z41" s="122">
        <f>Z11</f>
        <v>0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1</v>
      </c>
      <c r="AG41" s="147">
        <f t="shared" si="36"/>
        <v>0</v>
      </c>
      <c r="AH41" s="123">
        <f t="shared" si="37"/>
        <v>1</v>
      </c>
      <c r="AI41" s="112">
        <f t="shared" si="37"/>
        <v>0</v>
      </c>
      <c r="AJ41" s="148">
        <f t="shared" si="38"/>
        <v>0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6" t="str">
        <f>IF(Poor!A42=0,"",Poor!A42)</f>
        <v>Beans season 2: kg produced</v>
      </c>
      <c r="B42" s="216">
        <f>IF([1]Summ!C1077="",0,[1]Summ!C1077)</f>
        <v>0</v>
      </c>
      <c r="C42" s="216">
        <f>IF([1]Summ!D1077="",0,[1]Summ!D1077)</f>
        <v>0</v>
      </c>
      <c r="D42" s="38">
        <f t="shared" si="25"/>
        <v>0</v>
      </c>
      <c r="E42" s="75">
        <f>Poor!E42</f>
        <v>1</v>
      </c>
      <c r="F42" s="75">
        <f>Poor!F42</f>
        <v>1.4</v>
      </c>
      <c r="G42" s="75">
        <f>Poor!G42</f>
        <v>1.65</v>
      </c>
      <c r="H42" s="24">
        <f t="shared" si="30"/>
        <v>1.4</v>
      </c>
      <c r="I42" s="39">
        <f t="shared" si="31"/>
        <v>0</v>
      </c>
      <c r="J42" s="38">
        <f t="shared" si="32"/>
        <v>0</v>
      </c>
      <c r="K42" s="40">
        <f t="shared" si="33"/>
        <v>0</v>
      </c>
      <c r="L42" s="22">
        <f t="shared" si="34"/>
        <v>0</v>
      </c>
      <c r="M42" s="24">
        <f t="shared" si="35"/>
        <v>0</v>
      </c>
      <c r="N42" s="2"/>
      <c r="O42" s="2"/>
      <c r="P42" s="176"/>
      <c r="Q42" s="41"/>
      <c r="R42" s="41"/>
      <c r="S42" s="253"/>
      <c r="T42" s="253"/>
      <c r="U42" s="56"/>
      <c r="V42" s="56"/>
      <c r="W42" s="115"/>
      <c r="X42" s="118">
        <v>1</v>
      </c>
      <c r="Y42" s="110"/>
      <c r="Z42" s="156">
        <f>Poor!Z42</f>
        <v>0.25</v>
      </c>
      <c r="AA42" s="147">
        <f t="shared" si="40"/>
        <v>0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6" t="str">
        <f>IF(Poor!A43=0,"",Poor!A43)</f>
        <v>Other root crops (sweet potato): no. local meas</v>
      </c>
      <c r="B43" s="216">
        <f>IF([1]Summ!C1078="",0,[1]Summ!C1078)</f>
        <v>1000</v>
      </c>
      <c r="C43" s="216">
        <f>IF([1]Summ!D1078="",0,[1]Summ!D1078)</f>
        <v>-1000</v>
      </c>
      <c r="D43" s="38">
        <f t="shared" si="25"/>
        <v>0</v>
      </c>
      <c r="E43" s="75">
        <f>Poor!E43</f>
        <v>1</v>
      </c>
      <c r="F43" s="75">
        <f>Poor!F43</f>
        <v>1.4</v>
      </c>
      <c r="G43" s="75">
        <f>Poor!G43</f>
        <v>1.65</v>
      </c>
      <c r="H43" s="24">
        <f t="shared" si="30"/>
        <v>1.4</v>
      </c>
      <c r="I43" s="39">
        <f t="shared" si="31"/>
        <v>0</v>
      </c>
      <c r="J43" s="38">
        <f t="shared" si="32"/>
        <v>0</v>
      </c>
      <c r="K43" s="40">
        <f t="shared" si="33"/>
        <v>3.3514310610630739E-2</v>
      </c>
      <c r="L43" s="22">
        <f t="shared" si="34"/>
        <v>4.6920034854883032E-2</v>
      </c>
      <c r="M43" s="24">
        <f t="shared" si="35"/>
        <v>0</v>
      </c>
      <c r="N43" s="2"/>
      <c r="O43" s="2"/>
      <c r="P43" s="176"/>
      <c r="Q43" s="41"/>
      <c r="R43" s="41"/>
      <c r="S43" s="220"/>
      <c r="T43" s="220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0</v>
      </c>
      <c r="AB43" s="156">
        <f>Poor!AB43</f>
        <v>0.25</v>
      </c>
      <c r="AC43" s="147">
        <f t="shared" si="41"/>
        <v>0</v>
      </c>
      <c r="AD43" s="156">
        <f>Poor!AD43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6" t="str">
        <f>IF(Poor!A44=0,"",Poor!A44)</f>
        <v>Groundnuts (dry): no. local meas</v>
      </c>
      <c r="B44" s="216">
        <f>IF([1]Summ!C1079="",0,[1]Summ!C1079)</f>
        <v>138</v>
      </c>
      <c r="C44" s="216">
        <f>IF([1]Summ!D1079="",0,[1]Summ!D1079)</f>
        <v>-138</v>
      </c>
      <c r="D44" s="38">
        <f t="shared" si="25"/>
        <v>0</v>
      </c>
      <c r="E44" s="75">
        <f>Poor!E44</f>
        <v>1</v>
      </c>
      <c r="F44" s="75">
        <f>Poor!F44</f>
        <v>1.4</v>
      </c>
      <c r="G44" s="75">
        <f>Poor!G44</f>
        <v>1.65</v>
      </c>
      <c r="H44" s="24">
        <f t="shared" si="30"/>
        <v>1.4</v>
      </c>
      <c r="I44" s="39">
        <f t="shared" si="31"/>
        <v>0</v>
      </c>
      <c r="J44" s="38">
        <f t="shared" si="32"/>
        <v>0</v>
      </c>
      <c r="K44" s="40">
        <f t="shared" si="33"/>
        <v>4.6249748642670421E-3</v>
      </c>
      <c r="L44" s="22">
        <f t="shared" si="34"/>
        <v>6.4749648099738585E-3</v>
      </c>
      <c r="M44" s="24">
        <f t="shared" si="35"/>
        <v>0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0</v>
      </c>
      <c r="AB44" s="156">
        <f>Poor!AB44</f>
        <v>0.25</v>
      </c>
      <c r="AC44" s="147">
        <f t="shared" si="41"/>
        <v>0</v>
      </c>
      <c r="AD44" s="156">
        <f>Poor!AD44</f>
        <v>0.25</v>
      </c>
      <c r="AE44" s="147">
        <f t="shared" si="42"/>
        <v>0</v>
      </c>
      <c r="AF44" s="122">
        <f t="shared" si="29"/>
        <v>0.25</v>
      </c>
      <c r="AG44" s="147">
        <f t="shared" si="36"/>
        <v>0</v>
      </c>
      <c r="AH44" s="123">
        <f t="shared" si="37"/>
        <v>1</v>
      </c>
      <c r="AI44" s="112">
        <f t="shared" si="37"/>
        <v>0</v>
      </c>
      <c r="AJ44" s="148">
        <f t="shared" si="38"/>
        <v>0</v>
      </c>
      <c r="AK44" s="147">
        <f t="shared" si="3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6" t="str">
        <f>IF(Poor!A45=0,"",Poor!A45)</f>
        <v>Other crop: Rape</v>
      </c>
      <c r="B45" s="216">
        <f>IF([1]Summ!C1080="",0,[1]Summ!C1080)</f>
        <v>0</v>
      </c>
      <c r="C45" s="216">
        <f>IF([1]Summ!D1080="",0,[1]Summ!D1080)</f>
        <v>0</v>
      </c>
      <c r="D45" s="38">
        <f t="shared" si="25"/>
        <v>0</v>
      </c>
      <c r="E45" s="75">
        <f>Poor!E45</f>
        <v>1</v>
      </c>
      <c r="F45" s="75">
        <f>Poor!F45</f>
        <v>1.4</v>
      </c>
      <c r="G45" s="75">
        <f>Poor!G45</f>
        <v>1.65</v>
      </c>
      <c r="H45" s="24">
        <f t="shared" si="30"/>
        <v>1.4</v>
      </c>
      <c r="I45" s="39">
        <f t="shared" si="31"/>
        <v>0</v>
      </c>
      <c r="J45" s="38">
        <f t="shared" si="32"/>
        <v>0</v>
      </c>
      <c r="K45" s="40">
        <f t="shared" si="33"/>
        <v>0</v>
      </c>
      <c r="L45" s="22">
        <f t="shared" si="34"/>
        <v>0</v>
      </c>
      <c r="M45" s="24">
        <f t="shared" si="35"/>
        <v>0</v>
      </c>
      <c r="N45" s="2"/>
      <c r="O45" s="2"/>
      <c r="P45" s="2"/>
      <c r="Q45" s="254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0</v>
      </c>
      <c r="AB45" s="156">
        <f>Poor!AB45</f>
        <v>0.25</v>
      </c>
      <c r="AC45" s="147">
        <f t="shared" si="41"/>
        <v>0</v>
      </c>
      <c r="AD45" s="156">
        <f>Poor!AD45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6" t="str">
        <f>IF(Poor!A46=0,"",Poor!A46)</f>
        <v>Other cashcrop (cabbage): kg produced</v>
      </c>
      <c r="B46" s="216">
        <f>IF([1]Summ!C1081="",0,[1]Summ!C1081)</f>
        <v>0</v>
      </c>
      <c r="C46" s="216">
        <f>IF([1]Summ!D1081="",0,[1]Summ!D1081)</f>
        <v>0</v>
      </c>
      <c r="D46" s="38">
        <f t="shared" si="25"/>
        <v>0</v>
      </c>
      <c r="E46" s="75">
        <f>Poor!E46</f>
        <v>1</v>
      </c>
      <c r="F46" s="75">
        <f>Poor!F46</f>
        <v>1.4</v>
      </c>
      <c r="G46" s="75">
        <f>Poor!G46</f>
        <v>1.65</v>
      </c>
      <c r="H46" s="24">
        <f t="shared" si="30"/>
        <v>1.4</v>
      </c>
      <c r="I46" s="39">
        <f t="shared" si="31"/>
        <v>0</v>
      </c>
      <c r="J46" s="38">
        <f t="shared" si="32"/>
        <v>0</v>
      </c>
      <c r="K46" s="40">
        <f t="shared" si="33"/>
        <v>0</v>
      </c>
      <c r="L46" s="22">
        <f t="shared" si="34"/>
        <v>0</v>
      </c>
      <c r="M46" s="24">
        <f t="shared" si="35"/>
        <v>0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0</v>
      </c>
      <c r="AB46" s="156">
        <f>Poor!AB46</f>
        <v>0.25</v>
      </c>
      <c r="AC46" s="147">
        <f t="shared" si="41"/>
        <v>0</v>
      </c>
      <c r="AD46" s="156">
        <f>Poor!AD46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6" t="str">
        <f>IF(Poor!A47=0,"",Poor!A47)</f>
        <v>FISHING -- see worksheet Data 3</v>
      </c>
      <c r="B47" s="216">
        <f>IF([1]Summ!C1082="",0,[1]Summ!C1082)</f>
        <v>0</v>
      </c>
      <c r="C47" s="216">
        <f>IF([1]Summ!D1082="",0,[1]Summ!D1082)</f>
        <v>0</v>
      </c>
      <c r="D47" s="38">
        <f t="shared" si="25"/>
        <v>0</v>
      </c>
      <c r="E47" s="75">
        <f>Poor!E47</f>
        <v>1</v>
      </c>
      <c r="F47" s="75">
        <f>Poor!F47</f>
        <v>1.18</v>
      </c>
      <c r="G47" s="75">
        <f>Poor!G47</f>
        <v>1.65</v>
      </c>
      <c r="H47" s="24">
        <f t="shared" si="30"/>
        <v>1.18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R47" s="242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6" t="str">
        <f>IF(Poor!A48=0,"",Poor!A48)</f>
        <v>WILD FOODS -- see worksheet Data 3</v>
      </c>
      <c r="B48" s="216">
        <f>IF([1]Summ!C1083="",0,[1]Summ!C1083)</f>
        <v>1340</v>
      </c>
      <c r="C48" s="216">
        <f>IF([1]Summ!D1083="",0,[1]Summ!D1083)</f>
        <v>835</v>
      </c>
      <c r="D48" s="38">
        <f t="shared" si="25"/>
        <v>2175</v>
      </c>
      <c r="E48" s="75">
        <f>Poor!E48</f>
        <v>1</v>
      </c>
      <c r="F48" s="75">
        <f>Poor!F48</f>
        <v>1.18</v>
      </c>
      <c r="G48" s="75">
        <f>Poor!G48</f>
        <v>1.65</v>
      </c>
      <c r="H48" s="24">
        <f t="shared" si="30"/>
        <v>1.18</v>
      </c>
      <c r="I48" s="39">
        <f t="shared" si="31"/>
        <v>2566.5</v>
      </c>
      <c r="J48" s="38">
        <f t="shared" si="32"/>
        <v>2566.5</v>
      </c>
      <c r="K48" s="40">
        <f t="shared" si="33"/>
        <v>4.4909176218245188E-2</v>
      </c>
      <c r="L48" s="22">
        <f t="shared" si="34"/>
        <v>5.2992827937529317E-2</v>
      </c>
      <c r="M48" s="24">
        <f t="shared" si="35"/>
        <v>8.6014478182183787E-2</v>
      </c>
      <c r="N48" s="2"/>
      <c r="O48" s="2"/>
      <c r="P48" s="2"/>
      <c r="Q48" s="254"/>
      <c r="R48" s="251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641.625</v>
      </c>
      <c r="AB48" s="156">
        <f>Poor!AB48</f>
        <v>0.25</v>
      </c>
      <c r="AC48" s="147">
        <f t="shared" si="41"/>
        <v>641.625</v>
      </c>
      <c r="AD48" s="156">
        <f>Poor!AD48</f>
        <v>0.25</v>
      </c>
      <c r="AE48" s="147">
        <f t="shared" si="42"/>
        <v>641.625</v>
      </c>
      <c r="AF48" s="122">
        <f t="shared" si="29"/>
        <v>0.25</v>
      </c>
      <c r="AG48" s="147">
        <f t="shared" si="36"/>
        <v>641.625</v>
      </c>
      <c r="AH48" s="123">
        <f t="shared" si="37"/>
        <v>1</v>
      </c>
      <c r="AI48" s="112">
        <f t="shared" si="37"/>
        <v>2566.5</v>
      </c>
      <c r="AJ48" s="148">
        <f t="shared" si="38"/>
        <v>1283.25</v>
      </c>
      <c r="AK48" s="147">
        <f t="shared" si="39"/>
        <v>1283.25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6" t="str">
        <f>IF(Poor!A49=0,"",Poor!A49)</f>
        <v>Agricultural casual work -- see Data2</v>
      </c>
      <c r="B49" s="216">
        <f>IF([1]Summ!C1084="",0,[1]Summ!C1084)</f>
        <v>900</v>
      </c>
      <c r="C49" s="216">
        <f>IF([1]Summ!D1084="",0,[1]Summ!D1084)</f>
        <v>0</v>
      </c>
      <c r="D49" s="38">
        <f t="shared" si="25"/>
        <v>900</v>
      </c>
      <c r="E49" s="75">
        <f>Poor!E49</f>
        <v>1</v>
      </c>
      <c r="F49" s="75">
        <f>Poor!F49</f>
        <v>1.1100000000000001</v>
      </c>
      <c r="G49" s="75">
        <f>Poor!G49</f>
        <v>1.65</v>
      </c>
      <c r="H49" s="24">
        <f t="shared" si="30"/>
        <v>1.1100000000000001</v>
      </c>
      <c r="I49" s="39">
        <f t="shared" si="31"/>
        <v>999.00000000000011</v>
      </c>
      <c r="J49" s="38">
        <f t="shared" si="32"/>
        <v>999</v>
      </c>
      <c r="K49" s="40">
        <f t="shared" si="33"/>
        <v>3.0162879549567666E-2</v>
      </c>
      <c r="L49" s="22">
        <f t="shared" si="34"/>
        <v>3.3480796300020113E-2</v>
      </c>
      <c r="M49" s="24">
        <f t="shared" si="35"/>
        <v>3.3480796300020106E-2</v>
      </c>
      <c r="N49" s="2"/>
      <c r="O49" s="2"/>
      <c r="P49" s="2"/>
      <c r="Q49" s="254"/>
      <c r="R49" s="251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40"/>
        <v>249.75</v>
      </c>
      <c r="AB49" s="156">
        <f>Poor!AB49</f>
        <v>0.25</v>
      </c>
      <c r="AC49" s="147">
        <f t="shared" si="41"/>
        <v>249.75</v>
      </c>
      <c r="AD49" s="156">
        <f>Poor!AD49</f>
        <v>0.25</v>
      </c>
      <c r="AE49" s="147">
        <f t="shared" si="42"/>
        <v>249.75</v>
      </c>
      <c r="AF49" s="122">
        <f t="shared" si="29"/>
        <v>0.25</v>
      </c>
      <c r="AG49" s="147">
        <f t="shared" si="36"/>
        <v>249.75</v>
      </c>
      <c r="AH49" s="123">
        <f t="shared" si="37"/>
        <v>1</v>
      </c>
      <c r="AI49" s="112">
        <f t="shared" si="37"/>
        <v>999</v>
      </c>
      <c r="AJ49" s="148">
        <f t="shared" si="38"/>
        <v>499.5</v>
      </c>
      <c r="AK49" s="147">
        <f t="shared" si="39"/>
        <v>499.5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6" t="str">
        <f>IF(Poor!A50=0,"",Poor!A50)</f>
        <v>Construction casual work -- see Data2</v>
      </c>
      <c r="B50" s="216">
        <f>IF([1]Summ!C1085="",0,[1]Summ!C1085)</f>
        <v>1440</v>
      </c>
      <c r="C50" s="216">
        <f>IF([1]Summ!D1085="",0,[1]Summ!D1085)</f>
        <v>0</v>
      </c>
      <c r="D50" s="38">
        <f t="shared" si="25"/>
        <v>1440</v>
      </c>
      <c r="E50" s="75">
        <f>Poor!E50</f>
        <v>1</v>
      </c>
      <c r="F50" s="75">
        <f>Poor!F50</f>
        <v>1.1100000000000001</v>
      </c>
      <c r="G50" s="75">
        <f>Poor!G50</f>
        <v>1.65</v>
      </c>
      <c r="H50" s="24">
        <f t="shared" si="30"/>
        <v>1.1100000000000001</v>
      </c>
      <c r="I50" s="39">
        <f t="shared" si="31"/>
        <v>1598.4</v>
      </c>
      <c r="J50" s="38">
        <f t="shared" si="32"/>
        <v>1598.4</v>
      </c>
      <c r="K50" s="40">
        <f t="shared" si="33"/>
        <v>4.8260607279308268E-2</v>
      </c>
      <c r="L50" s="22">
        <f t="shared" si="34"/>
        <v>5.3569274080032182E-2</v>
      </c>
      <c r="M50" s="24">
        <f t="shared" si="35"/>
        <v>5.3569274080032175E-2</v>
      </c>
      <c r="N50" s="2"/>
      <c r="O50" s="2"/>
      <c r="P50" s="2"/>
      <c r="Q50" s="254"/>
      <c r="R50" s="251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40"/>
        <v>399.6</v>
      </c>
      <c r="AB50" s="156">
        <f>Poor!AB55</f>
        <v>0.25</v>
      </c>
      <c r="AC50" s="147">
        <f t="shared" si="41"/>
        <v>399.6</v>
      </c>
      <c r="AD50" s="156">
        <f>Poor!AD55</f>
        <v>0.25</v>
      </c>
      <c r="AE50" s="147">
        <f t="shared" si="42"/>
        <v>399.6</v>
      </c>
      <c r="AF50" s="122">
        <f t="shared" si="29"/>
        <v>0.25</v>
      </c>
      <c r="AG50" s="147">
        <f t="shared" si="36"/>
        <v>399.6</v>
      </c>
      <c r="AH50" s="123">
        <f t="shared" si="37"/>
        <v>1</v>
      </c>
      <c r="AI50" s="112">
        <f t="shared" si="37"/>
        <v>1598.4</v>
      </c>
      <c r="AJ50" s="148">
        <f t="shared" si="38"/>
        <v>799.2</v>
      </c>
      <c r="AK50" s="147">
        <f t="shared" si="39"/>
        <v>799.2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6" t="str">
        <f>IF(Poor!A51=0,"",Poor!A51)</f>
        <v>Domestic casual work -- see Data2</v>
      </c>
      <c r="B51" s="216">
        <f>IF([1]Summ!C1086="",0,[1]Summ!C1086)</f>
        <v>4800</v>
      </c>
      <c r="C51" s="216">
        <f>IF([1]Summ!D1086="",0,[1]Summ!D1086)</f>
        <v>0</v>
      </c>
      <c r="D51" s="38">
        <f t="shared" si="25"/>
        <v>4800</v>
      </c>
      <c r="E51" s="75">
        <f>Poor!E51</f>
        <v>1</v>
      </c>
      <c r="F51" s="75">
        <f>Poor!F51</f>
        <v>1.1100000000000001</v>
      </c>
      <c r="G51" s="75">
        <f>Poor!G51</f>
        <v>1.65</v>
      </c>
      <c r="H51" s="24">
        <f t="shared" si="30"/>
        <v>1.1100000000000001</v>
      </c>
      <c r="I51" s="39">
        <f t="shared" si="31"/>
        <v>5328.0000000000009</v>
      </c>
      <c r="J51" s="38">
        <f t="shared" si="32"/>
        <v>5327.9999999999991</v>
      </c>
      <c r="K51" s="40">
        <f t="shared" si="33"/>
        <v>0.16086869093102754</v>
      </c>
      <c r="L51" s="22">
        <f t="shared" si="34"/>
        <v>0.17856424693344058</v>
      </c>
      <c r="M51" s="24">
        <f t="shared" si="35"/>
        <v>0.17856424693344056</v>
      </c>
      <c r="N51" s="2"/>
      <c r="O51" s="2"/>
      <c r="P51" s="2"/>
      <c r="Q51" s="254"/>
      <c r="R51" s="251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40"/>
        <v>1331.9999999999998</v>
      </c>
      <c r="AB51" s="156">
        <f>Poor!AB56</f>
        <v>0.25</v>
      </c>
      <c r="AC51" s="147">
        <f t="shared" si="41"/>
        <v>1331.9999999999998</v>
      </c>
      <c r="AD51" s="156">
        <f>Poor!AD56</f>
        <v>0.25</v>
      </c>
      <c r="AE51" s="147">
        <f t="shared" si="42"/>
        <v>1331.9999999999998</v>
      </c>
      <c r="AF51" s="122">
        <f t="shared" si="29"/>
        <v>0.25</v>
      </c>
      <c r="AG51" s="147">
        <f t="shared" si="36"/>
        <v>1331.9999999999998</v>
      </c>
      <c r="AH51" s="123">
        <f t="shared" si="37"/>
        <v>1</v>
      </c>
      <c r="AI51" s="112">
        <f t="shared" si="37"/>
        <v>5327.9999999999991</v>
      </c>
      <c r="AJ51" s="148">
        <f t="shared" si="38"/>
        <v>2663.9999999999995</v>
      </c>
      <c r="AK51" s="147">
        <f t="shared" si="39"/>
        <v>2663.9999999999995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6" t="str">
        <f>IF(Poor!A52=0,"",Poor!A52)</f>
        <v>Labour migration: no. people per HH</v>
      </c>
      <c r="B52" s="216">
        <f>IF([1]Summ!C1087="",0,[1]Summ!C1087)</f>
        <v>0</v>
      </c>
      <c r="C52" s="216">
        <f>IF([1]Summ!D1087="",0,[1]Summ!D1087)</f>
        <v>0</v>
      </c>
      <c r="D52" s="38">
        <f t="shared" si="25"/>
        <v>0</v>
      </c>
      <c r="E52" s="75">
        <f>Poor!E52</f>
        <v>0.8</v>
      </c>
      <c r="F52" s="75">
        <f>Poor!F52</f>
        <v>1.18</v>
      </c>
      <c r="G52" s="75">
        <f>Poor!G52</f>
        <v>1.65</v>
      </c>
      <c r="H52" s="24">
        <f t="shared" si="30"/>
        <v>0.94399999999999995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41"/>
      <c r="R52" s="241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0</v>
      </c>
      <c r="AB52" s="156">
        <f>Poor!AB57</f>
        <v>0.25</v>
      </c>
      <c r="AC52" s="147">
        <f t="shared" si="41"/>
        <v>0</v>
      </c>
      <c r="AD52" s="156">
        <f>Poor!AD57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6" t="str">
        <f>IF(Poor!A53=0,"",Poor!A53)</f>
        <v>Formal Employment (e.g. teachers, salaried staff, etc.)</v>
      </c>
      <c r="B53" s="216">
        <f>IF([1]Summ!C1088="",0,[1]Summ!C1088)</f>
        <v>0</v>
      </c>
      <c r="C53" s="216">
        <f>IF([1]Summ!D1088="",0,[1]Summ!D1088)</f>
        <v>0</v>
      </c>
      <c r="D53" s="38">
        <f t="shared" si="25"/>
        <v>0</v>
      </c>
      <c r="E53" s="75">
        <f>Poor!E53</f>
        <v>0.8</v>
      </c>
      <c r="F53" s="75">
        <f>Poor!F53</f>
        <v>1.18</v>
      </c>
      <c r="G53" s="75">
        <f>Poor!G53</f>
        <v>1.65</v>
      </c>
      <c r="H53" s="24">
        <f t="shared" si="30"/>
        <v>0.94399999999999995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6" t="str">
        <f>IF(Poor!A54=0,"",Poor!A54)</f>
        <v>Self-employment -- see Data2</v>
      </c>
      <c r="B54" s="216">
        <f>IF([1]Summ!C1089="",0,[1]Summ!C1089)</f>
        <v>0</v>
      </c>
      <c r="C54" s="216">
        <f>IF([1]Summ!D1089="",0,[1]Summ!D1089)</f>
        <v>0</v>
      </c>
      <c r="D54" s="38">
        <f t="shared" si="25"/>
        <v>0</v>
      </c>
      <c r="E54" s="75">
        <f>Poor!E54</f>
        <v>0.8</v>
      </c>
      <c r="F54" s="75">
        <f>Poor!F54</f>
        <v>1</v>
      </c>
      <c r="G54" s="75">
        <f>Poor!G54</f>
        <v>1.65</v>
      </c>
      <c r="H54" s="24">
        <f t="shared" si="30"/>
        <v>0.8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2"/>
      <c r="R54" s="2"/>
      <c r="S54" s="2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6" t="str">
        <f>IF(Poor!A55=0,"",Poor!A55)</f>
        <v>Small business -- see Data2</v>
      </c>
      <c r="B55" s="216">
        <f>IF([1]Summ!C1090="",0,[1]Summ!C1090)</f>
        <v>0</v>
      </c>
      <c r="C55" s="216">
        <f>IF([1]Summ!D1090="",0,[1]Summ!D1090)</f>
        <v>0</v>
      </c>
      <c r="D55" s="38">
        <f t="shared" si="25"/>
        <v>0</v>
      </c>
      <c r="E55" s="75">
        <f>Poor!E55</f>
        <v>0.8</v>
      </c>
      <c r="F55" s="75">
        <f>Poor!F55</f>
        <v>1.18</v>
      </c>
      <c r="G55" s="75">
        <f>Poor!G55</f>
        <v>1.65</v>
      </c>
      <c r="H55" s="24">
        <f t="shared" si="30"/>
        <v>0.94399999999999995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2"/>
      <c r="R55" s="2"/>
      <c r="S55" s="2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6" t="str">
        <f>IF(Poor!A56=0,"",Poor!A56)</f>
        <v>Social Cash Transfers -- see Data2</v>
      </c>
      <c r="B56" s="216">
        <f>IF([1]Summ!C1091="",0,[1]Summ!C1091)</f>
        <v>20220</v>
      </c>
      <c r="C56" s="216">
        <f>IF([1]Summ!D1091="",0,[1]Summ!D1091)</f>
        <v>0</v>
      </c>
      <c r="D56" s="38">
        <f t="shared" si="25"/>
        <v>20220</v>
      </c>
      <c r="E56" s="75">
        <f>Poor!E56</f>
        <v>0</v>
      </c>
      <c r="F56" s="75">
        <f>Poor!F56</f>
        <v>1.18</v>
      </c>
      <c r="G56" s="75">
        <f>Poor!G56</f>
        <v>1.65</v>
      </c>
      <c r="H56" s="24">
        <f t="shared" si="30"/>
        <v>0</v>
      </c>
      <c r="I56" s="39">
        <f t="shared" si="31"/>
        <v>0</v>
      </c>
      <c r="J56" s="38">
        <f t="shared" si="32"/>
        <v>0</v>
      </c>
      <c r="K56" s="40">
        <f t="shared" si="33"/>
        <v>0.67765936054695353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2"/>
      <c r="R56" s="2"/>
      <c r="S56" s="2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6" t="str">
        <f>IF(Poor!A57=0,"",Poor!A57)</f>
        <v>Remittances: no. times per year</v>
      </c>
      <c r="B57" s="216">
        <f>IF([1]Summ!C1092="",0,[1]Summ!C1092)</f>
        <v>0</v>
      </c>
      <c r="C57" s="216">
        <f>IF([1]Summ!D1092="",0,[1]Summ!D1092)</f>
        <v>0</v>
      </c>
      <c r="D57" s="38">
        <f t="shared" si="25"/>
        <v>0</v>
      </c>
      <c r="E57" s="75">
        <f>Poor!E57</f>
        <v>1</v>
      </c>
      <c r="F57" s="75">
        <f>Poor!F57</f>
        <v>1.1100000000000001</v>
      </c>
      <c r="G57" s="75">
        <f>Poor!G57</f>
        <v>1.65</v>
      </c>
      <c r="H57" s="24">
        <f t="shared" si="30"/>
        <v>1.1100000000000001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2"/>
      <c r="R57" s="2"/>
      <c r="S57" s="2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6" t="str">
        <f>IF(Poor!A58=0,"",Poor!A58)</f>
        <v/>
      </c>
      <c r="B58" s="216">
        <f>IF([1]Summ!C1093="",0,[1]Summ!C1093)</f>
        <v>0</v>
      </c>
      <c r="C58" s="216">
        <f>IF([1]Summ!D1093="",0,[1]Summ!D1093)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"/>
      <c r="S58" s="2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6" t="str">
        <f>IF(Poor!A59=0,"",Poor!A59)</f>
        <v/>
      </c>
      <c r="B59" s="216">
        <f>IF([1]Summ!C1094="",0,[1]Summ!C1094)</f>
        <v>0</v>
      </c>
      <c r="C59" s="216">
        <f>IF([1]Summ!D1094="",0,[1]Summ!D1094)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6" t="str">
        <f>IF(Poor!A60=0,"",Poor!A60)</f>
        <v/>
      </c>
      <c r="B60" s="216">
        <f>IF([1]Summ!C1095="",0,[1]Summ!C1095)</f>
        <v>0</v>
      </c>
      <c r="C60" s="216">
        <f>IF([1]Summ!D1095="",0,[1]Summ!D1095)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6" t="str">
        <f>IF(Poor!A61=0,"",Poor!A61)</f>
        <v/>
      </c>
      <c r="B61" s="216">
        <f>IF([1]Summ!C1096="",0,[1]Summ!C1096)</f>
        <v>0</v>
      </c>
      <c r="C61" s="216">
        <f>IF([1]Summ!D1096="",0,[1]Summ!D1096)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176"/>
      <c r="S61" s="68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6" t="str">
        <f>IF(Poor!A62=0,"",Poor!A62)</f>
        <v/>
      </c>
      <c r="B62" s="216">
        <f>IF([1]Summ!C1097="",0,[1]Summ!C1097)</f>
        <v>0</v>
      </c>
      <c r="C62" s="216">
        <f>IF([1]Summ!D1097="",0,[1]Summ!D1097)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19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6" t="str">
        <f>IF(Poor!A63=0,"",Poor!A63)</f>
        <v/>
      </c>
      <c r="B63" s="216">
        <f>IF([1]Summ!C1098="",0,[1]Summ!C1098)</f>
        <v>0</v>
      </c>
      <c r="C63" s="216">
        <f>IF([1]Summ!D1098="",0,[1]Summ!D1098)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6" t="str">
        <f>IF(Poor!A64=0,"",Poor!A64)</f>
        <v/>
      </c>
      <c r="B64" s="216">
        <f>IF([1]Summ!C1099="",0,[1]Summ!C1099)</f>
        <v>0</v>
      </c>
      <c r="C64" s="216">
        <f>IF([1]Summ!D1099="",0,[1]Summ!D1099)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29838</v>
      </c>
      <c r="C65" s="39">
        <f>SUM(C37:C64)</f>
        <v>-303</v>
      </c>
      <c r="D65" s="42">
        <f>SUM(D37:D64)</f>
        <v>29535</v>
      </c>
      <c r="E65" s="32"/>
      <c r="F65" s="32"/>
      <c r="G65" s="32"/>
      <c r="H65" s="31"/>
      <c r="I65" s="39">
        <f>SUM(I37:I64)</f>
        <v>10491.900000000001</v>
      </c>
      <c r="J65" s="39">
        <f>SUM(J37:J64)</f>
        <v>10491.899999999998</v>
      </c>
      <c r="K65" s="40">
        <f>SUM(K37:K64)</f>
        <v>1</v>
      </c>
      <c r="L65" s="22">
        <f>SUM(L37:L64)</f>
        <v>0.37200214491587913</v>
      </c>
      <c r="M65" s="24">
        <f>SUM(M37:M64)</f>
        <v>0.3516287954956766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2622.9749999999995</v>
      </c>
      <c r="AB65" s="137"/>
      <c r="AC65" s="153">
        <f>SUM(AC37:AC64)</f>
        <v>2622.9749999999995</v>
      </c>
      <c r="AD65" s="137"/>
      <c r="AE65" s="153">
        <f>SUM(AE37:AE64)</f>
        <v>2622.9749999999995</v>
      </c>
      <c r="AF65" s="137"/>
      <c r="AG65" s="153">
        <f>SUM(AG37:AG64)</f>
        <v>2622.9749999999995</v>
      </c>
      <c r="AH65" s="137"/>
      <c r="AI65" s="153">
        <f>SUM(AI37:AI64)</f>
        <v>10491.899999999998</v>
      </c>
      <c r="AJ65" s="153">
        <f>SUM(AJ37:AJ64)</f>
        <v>5245.9499999999989</v>
      </c>
      <c r="AK65" s="153">
        <f>SUM(AK37:AK64)</f>
        <v>5245.9499999999989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54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SUM([1]Summ!C1031)</f>
        <v>20998.795168409193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10491.9</v>
      </c>
      <c r="J70" s="51">
        <f t="shared" ref="J70:J77" si="44">J124*I$83</f>
        <v>10491.9</v>
      </c>
      <c r="K70" s="40">
        <f>B70/B$76</f>
        <v>0.70376014372307771</v>
      </c>
      <c r="L70" s="22">
        <f t="shared" ref="L70:L74" si="45">(L124*G$37*F$9/F$7)/B$130</f>
        <v>0.37200214491587902</v>
      </c>
      <c r="M70" s="24">
        <f>J70/B$76</f>
        <v>0.35162879549567666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2622.9749999999999</v>
      </c>
      <c r="AB70" s="156">
        <f>Poor!AB70</f>
        <v>0.25</v>
      </c>
      <c r="AC70" s="147">
        <f>$J70*AB70</f>
        <v>2622.9749999999999</v>
      </c>
      <c r="AD70" s="156">
        <f>Poor!AD70</f>
        <v>0.25</v>
      </c>
      <c r="AE70" s="147">
        <f>$J70*AD70</f>
        <v>2622.9749999999999</v>
      </c>
      <c r="AF70" s="156">
        <f>Poor!AF70</f>
        <v>0.25</v>
      </c>
      <c r="AG70" s="147">
        <f>$J70*AF70</f>
        <v>2622.9749999999999</v>
      </c>
      <c r="AH70" s="155">
        <f>SUM(Z70,AB70,AD70,AF70)</f>
        <v>1</v>
      </c>
      <c r="AI70" s="147">
        <f>SUM(AA70,AC70,AE70,AG70)</f>
        <v>10491.9</v>
      </c>
      <c r="AJ70" s="148">
        <f>(AA70+AC70)</f>
        <v>5245.95</v>
      </c>
      <c r="AK70" s="147">
        <f>(AE70+AG70)</f>
        <v>5245.95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SUM([1]Summ!C1032)</f>
        <v>17178.666666666668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0</v>
      </c>
      <c r="J71" s="51">
        <f t="shared" si="44"/>
        <v>0</v>
      </c>
      <c r="K71" s="40">
        <f t="shared" ref="K71:K72" si="47">B71/B$76</f>
        <v>0.57573117054315526</v>
      </c>
      <c r="L71" s="22">
        <f t="shared" si="45"/>
        <v>0</v>
      </c>
      <c r="M71" s="24">
        <f t="shared" ref="M71:M72" si="48">J71/B$76</f>
        <v>0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SUM([1]Summ!C1033)</f>
        <v>27744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0</v>
      </c>
      <c r="K72" s="40">
        <f t="shared" si="47"/>
        <v>0.92982103358133927</v>
      </c>
      <c r="L72" s="22">
        <f t="shared" si="45"/>
        <v>0</v>
      </c>
      <c r="M72" s="24">
        <f t="shared" si="48"/>
        <v>0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SUM([1]Summ!C1034)</f>
        <v>1775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5.948790133386956E-2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188.505</v>
      </c>
      <c r="AB73" s="156">
        <f>Poor!AB73</f>
        <v>0.09</v>
      </c>
      <c r="AC73" s="147">
        <f>$H$73*$B$73*AB73</f>
        <v>188.505</v>
      </c>
      <c r="AD73" s="156">
        <f>Poor!AD73</f>
        <v>0.23</v>
      </c>
      <c r="AE73" s="147">
        <f>$H$73*$B$73*AD73</f>
        <v>481.73500000000001</v>
      </c>
      <c r="AF73" s="156">
        <f>Poor!AF73</f>
        <v>0.59</v>
      </c>
      <c r="AG73" s="147">
        <f>$H$73*$B$73*AF73</f>
        <v>1235.7549999999999</v>
      </c>
      <c r="AH73" s="155">
        <f>SUM(Z73,AB73,AD73,AF73)</f>
        <v>1</v>
      </c>
      <c r="AI73" s="147">
        <f>SUM(AA73,AC73,AE73,AG73)</f>
        <v>2094.5</v>
      </c>
      <c r="AJ73" s="148">
        <f>(AA73+AC73)</f>
        <v>377.01</v>
      </c>
      <c r="AK73" s="147">
        <f>(AE73+AG73)</f>
        <v>1717.4899999999998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4393.1946273373715</v>
      </c>
      <c r="C74" s="39"/>
      <c r="D74" s="38"/>
      <c r="E74" s="32"/>
      <c r="F74" s="32"/>
      <c r="G74" s="32"/>
      <c r="H74" s="31"/>
      <c r="I74" s="39">
        <f>I128*I$83</f>
        <v>0</v>
      </c>
      <c r="J74" s="51">
        <f t="shared" si="44"/>
        <v>0</v>
      </c>
      <c r="K74" s="40">
        <f>B74/B$76</f>
        <v>0.14723488931353881</v>
      </c>
      <c r="L74" s="22">
        <f t="shared" si="45"/>
        <v>0</v>
      </c>
      <c r="M74" s="24">
        <f>J74/B$76</f>
        <v>0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-7.1063750888196841E-13</v>
      </c>
      <c r="AB74" s="156"/>
      <c r="AC74" s="147">
        <f>AC30*$I$83/4</f>
        <v>0</v>
      </c>
      <c r="AD74" s="156"/>
      <c r="AE74" s="147">
        <f>AE30*$I$83/4</f>
        <v>0</v>
      </c>
      <c r="AF74" s="156"/>
      <c r="AG74" s="147">
        <f>AG30*$I$83/4</f>
        <v>0</v>
      </c>
      <c r="AH74" s="155"/>
      <c r="AI74" s="147">
        <f>SUM(AA74,AC74,AE74,AG74)</f>
        <v>-7.1063750888196841E-13</v>
      </c>
      <c r="AJ74" s="148">
        <f>(AA74+AC74)</f>
        <v>-7.1063750888196841E-13</v>
      </c>
      <c r="AK74" s="147">
        <f>(AE74+AG74)</f>
        <v>0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>(L129*G$37*F$9/F$7)/B$130</f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2.5589015799550429E-13</v>
      </c>
      <c r="AB75" s="158"/>
      <c r="AC75" s="149">
        <f>AA75+AC65-SUM(AC70,AC74)</f>
        <v>0</v>
      </c>
      <c r="AD75" s="158"/>
      <c r="AE75" s="149">
        <f>AC75+AE65-SUM(AE70,AE74)</f>
        <v>0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0</v>
      </c>
      <c r="AJ75" s="151">
        <f>AJ76-SUM(AJ70,AJ74)</f>
        <v>0</v>
      </c>
      <c r="AK75" s="149">
        <f>AJ75+AK76-SUM(AK70,AK74)</f>
        <v>0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29838</v>
      </c>
      <c r="C76" s="39"/>
      <c r="D76" s="38"/>
      <c r="E76" s="32"/>
      <c r="F76" s="32"/>
      <c r="G76" s="32"/>
      <c r="H76" s="31"/>
      <c r="I76" s="39">
        <f>I130*I$83</f>
        <v>10491.9</v>
      </c>
      <c r="J76" s="51">
        <f t="shared" si="44"/>
        <v>10491.9</v>
      </c>
      <c r="K76" s="40">
        <f>SUM(K70:K75)</f>
        <v>2.4160351384949807</v>
      </c>
      <c r="L76" s="22">
        <f>SUM(L70:L75)</f>
        <v>0.37200214491587902</v>
      </c>
      <c r="M76" s="24">
        <f>SUM(M70:M75)</f>
        <v>0.35162879549567666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2622.9749999999995</v>
      </c>
      <c r="AB76" s="137"/>
      <c r="AC76" s="153">
        <f>AC65</f>
        <v>2622.9749999999995</v>
      </c>
      <c r="AD76" s="137"/>
      <c r="AE76" s="153">
        <f>AE65</f>
        <v>2622.9749999999995</v>
      </c>
      <c r="AF76" s="137"/>
      <c r="AG76" s="153">
        <f>AG65</f>
        <v>2622.9749999999995</v>
      </c>
      <c r="AH76" s="137"/>
      <c r="AI76" s="153">
        <f>SUM(AA76,AC76,AE76,AG76)</f>
        <v>10491.899999999998</v>
      </c>
      <c r="AJ76" s="154">
        <f>SUM(AA76,AC76)</f>
        <v>5245.9499999999989</v>
      </c>
      <c r="AK76" s="154">
        <f>SUM(AE76,AG76)</f>
        <v>5245.9499999999989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39177.239902439534</v>
      </c>
      <c r="J77" s="100">
        <f t="shared" si="44"/>
        <v>39177.239902439534</v>
      </c>
      <c r="K77" s="40"/>
      <c r="L77" s="22">
        <f>-(L131*G$37*F$9/F$7)/B$130</f>
        <v>-1.3129981869575551</v>
      </c>
      <c r="M77" s="24">
        <f>-J77/B$76</f>
        <v>-1.3129981869575553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1516.6355383578766</v>
      </c>
      <c r="AD77" s="112"/>
      <c r="AE77" s="111">
        <f>AE31*$I$83/4</f>
        <v>2020.9794050956641</v>
      </c>
      <c r="AF77" s="112"/>
      <c r="AG77" s="111">
        <f>AG31*$I$83/4</f>
        <v>2028.2131580585296</v>
      </c>
      <c r="AH77" s="110"/>
      <c r="AI77" s="154">
        <f>SUM(AA77,AC77,AE77,AG77)</f>
        <v>5565.8281015120701</v>
      </c>
      <c r="AJ77" s="153">
        <f>SUM(AA77,AC77)</f>
        <v>1516.6355383578766</v>
      </c>
      <c r="AK77" s="160">
        <f>SUM(AE77,AG77)</f>
        <v>4049.1925631541935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2.5589015799550429E-13</v>
      </c>
      <c r="AD78" s="112"/>
      <c r="AE78" s="112">
        <f>AC75</f>
        <v>0</v>
      </c>
      <c r="AF78" s="112"/>
      <c r="AG78" s="112">
        <f>AE75</f>
        <v>0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29" t="str">
        <f>[1]Summ!C1037</f>
        <v>maize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-4.5474735088646412E-13</v>
      </c>
      <c r="AB79" s="112"/>
      <c r="AC79" s="112">
        <f>AA79-AA74+AC65-AC70</f>
        <v>0</v>
      </c>
      <c r="AD79" s="112"/>
      <c r="AE79" s="112">
        <f>AC79-AC74+AE65-AE70</f>
        <v>0</v>
      </c>
      <c r="AF79" s="112"/>
      <c r="AG79" s="112">
        <f>AE79-AE74+AG65-AG70</f>
        <v>0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[1]Summ!C1038</f>
        <v>0.58123152089493346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9">
        <f>[1]Summ!C1039</f>
        <v>8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[1]Summ!C1040</f>
        <v>4.5714285714285712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7758.6104732032263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12801.707280785322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3200.4268201963305</v>
      </c>
      <c r="AB83" s="112"/>
      <c r="AC83" s="165">
        <f>$I$83*AB82/4</f>
        <v>3200.4268201963305</v>
      </c>
      <c r="AD83" s="112"/>
      <c r="AE83" s="165">
        <f>$I$83*AD82/4</f>
        <v>3200.4268201963305</v>
      </c>
      <c r="AF83" s="112"/>
      <c r="AG83" s="165">
        <f>$I$83*AF82/4</f>
        <v>3200.4268201963305</v>
      </c>
      <c r="AH83" s="165">
        <f>SUM(AA83,AC83,AE83,AG83)</f>
        <v>12801.707280785322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3">
        <f>B70+((1-D29)*B83)</f>
        <v>27014.536414639457</v>
      </c>
      <c r="C84" s="46"/>
      <c r="D84" s="234"/>
      <c r="E84" s="64"/>
      <c r="F84" s="64"/>
      <c r="G84" s="64"/>
      <c r="H84" s="235">
        <f>IF(B84=0,0,I84/B84)</f>
        <v>1.455671335183178</v>
      </c>
      <c r="I84" s="233">
        <f>(B70*H70)+((1-(D29*H29))*I83)</f>
        <v>39324.286292052799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56"/>
      <c r="Z86" s="56"/>
      <c r="AA86" s="41"/>
      <c r="AB86" s="56"/>
      <c r="AC86" s="41"/>
      <c r="AD86" s="56"/>
      <c r="AE86" s="41"/>
      <c r="AF86" s="56"/>
      <c r="AG86" s="41"/>
      <c r="AH86" s="67"/>
      <c r="AI86" s="67"/>
      <c r="AJ86" s="67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[1]Summ!$H$892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59"/>
      <c r="Z87" s="56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Very Poor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 t="shared" ref="A91:A106" si="50">IF(A37="","",A37)</f>
        <v>Pig sales: no sold</v>
      </c>
      <c r="B91" s="75">
        <f t="shared" ref="B91:C118" si="51">(B37/$B$83)</f>
        <v>0</v>
      </c>
      <c r="C91" s="75">
        <f t="shared" si="51"/>
        <v>0</v>
      </c>
      <c r="D91" s="24">
        <f t="shared" ref="D91:D106" si="52">(B91+C91)</f>
        <v>0</v>
      </c>
      <c r="H91" s="24">
        <f t="shared" ref="H91:H106" si="53">(E37*F37/G37*F$7/F$9)</f>
        <v>0.57212121212121214</v>
      </c>
      <c r="I91" s="22">
        <f t="shared" ref="I91:I106" si="54">(D91*H91)</f>
        <v>0</v>
      </c>
      <c r="J91" s="24">
        <f t="shared" ref="J91:J99" si="55">IF(I$32&lt;=1+I$131,I91,L91+J$33*(I91-L91))</f>
        <v>0</v>
      </c>
      <c r="K91" s="22">
        <f t="shared" ref="K91:K106" si="56">(B91)</f>
        <v>0</v>
      </c>
      <c r="L91" s="22">
        <f t="shared" ref="L91:L106" si="57">(K91*H91)</f>
        <v>0</v>
      </c>
      <c r="M91" s="226">
        <f t="shared" si="49"/>
        <v>0</v>
      </c>
      <c r="N91" s="228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si="50"/>
        <v>Cattle sales - local: no. sold</v>
      </c>
      <c r="B92" s="75">
        <f t="shared" si="51"/>
        <v>0</v>
      </c>
      <c r="C92" s="75">
        <f t="shared" si="51"/>
        <v>0</v>
      </c>
      <c r="D92" s="24">
        <f t="shared" si="52"/>
        <v>0</v>
      </c>
      <c r="H92" s="24">
        <f t="shared" si="53"/>
        <v>0.57212121212121214</v>
      </c>
      <c r="I92" s="22">
        <f t="shared" si="54"/>
        <v>0</v>
      </c>
      <c r="J92" s="24">
        <f t="shared" si="55"/>
        <v>0</v>
      </c>
      <c r="K92" s="22">
        <f t="shared" si="56"/>
        <v>0</v>
      </c>
      <c r="L92" s="22">
        <f t="shared" si="57"/>
        <v>0</v>
      </c>
      <c r="M92" s="226">
        <f t="shared" si="49"/>
        <v>0</v>
      </c>
      <c r="N92" s="228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0"/>
        <v>Goat sales - local: no. sold</v>
      </c>
      <c r="B93" s="75">
        <f t="shared" si="51"/>
        <v>0</v>
      </c>
      <c r="C93" s="75">
        <f t="shared" si="51"/>
        <v>0</v>
      </c>
      <c r="D93" s="24">
        <f t="shared" si="52"/>
        <v>0</v>
      </c>
      <c r="H93" s="24">
        <f t="shared" si="53"/>
        <v>0.57212121212121214</v>
      </c>
      <c r="I93" s="22">
        <f t="shared" si="54"/>
        <v>0</v>
      </c>
      <c r="J93" s="24">
        <f t="shared" si="55"/>
        <v>0</v>
      </c>
      <c r="K93" s="22">
        <f t="shared" si="56"/>
        <v>0</v>
      </c>
      <c r="L93" s="22">
        <f t="shared" si="57"/>
        <v>0</v>
      </c>
      <c r="M93" s="226">
        <f t="shared" si="49"/>
        <v>0</v>
      </c>
      <c r="N93" s="228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0"/>
        <v>Maize: kg produced</v>
      </c>
      <c r="B94" s="75">
        <f t="shared" si="51"/>
        <v>0</v>
      </c>
      <c r="C94" s="75">
        <f t="shared" si="51"/>
        <v>0</v>
      </c>
      <c r="D94" s="24">
        <f t="shared" si="52"/>
        <v>0</v>
      </c>
      <c r="H94" s="24">
        <f t="shared" si="53"/>
        <v>0.92484848484848492</v>
      </c>
      <c r="I94" s="22">
        <f t="shared" si="54"/>
        <v>0</v>
      </c>
      <c r="J94" s="24">
        <f t="shared" si="55"/>
        <v>0</v>
      </c>
      <c r="K94" s="22">
        <f t="shared" si="56"/>
        <v>0</v>
      </c>
      <c r="L94" s="22">
        <f t="shared" si="57"/>
        <v>0</v>
      </c>
      <c r="M94" s="227">
        <f t="shared" si="49"/>
        <v>0</v>
      </c>
      <c r="N94" s="228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0"/>
        <v>Maize (irrigated): kg produced</v>
      </c>
      <c r="B95" s="75">
        <f t="shared" si="51"/>
        <v>0</v>
      </c>
      <c r="C95" s="75">
        <f t="shared" si="51"/>
        <v>0</v>
      </c>
      <c r="D95" s="24">
        <f t="shared" si="52"/>
        <v>0</v>
      </c>
      <c r="H95" s="24">
        <f t="shared" si="53"/>
        <v>0.92484848484848492</v>
      </c>
      <c r="I95" s="22">
        <f t="shared" si="54"/>
        <v>0</v>
      </c>
      <c r="J95" s="24">
        <f t="shared" si="55"/>
        <v>0</v>
      </c>
      <c r="K95" s="22">
        <f t="shared" si="56"/>
        <v>0</v>
      </c>
      <c r="L95" s="22">
        <f t="shared" si="57"/>
        <v>0</v>
      </c>
      <c r="M95" s="227">
        <f t="shared" si="49"/>
        <v>0</v>
      </c>
      <c r="N95" s="228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0"/>
        <v>Beans season 2: kg produced</v>
      </c>
      <c r="B96" s="75">
        <f t="shared" si="51"/>
        <v>0</v>
      </c>
      <c r="C96" s="75">
        <f t="shared" si="51"/>
        <v>0</v>
      </c>
      <c r="D96" s="24">
        <f t="shared" si="52"/>
        <v>0</v>
      </c>
      <c r="H96" s="24">
        <f t="shared" si="53"/>
        <v>0.84848484848484851</v>
      </c>
      <c r="I96" s="22">
        <f t="shared" si="54"/>
        <v>0</v>
      </c>
      <c r="J96" s="24">
        <f t="shared" si="55"/>
        <v>0</v>
      </c>
      <c r="K96" s="22">
        <f t="shared" si="56"/>
        <v>0</v>
      </c>
      <c r="L96" s="22">
        <f t="shared" si="57"/>
        <v>0</v>
      </c>
      <c r="M96" s="227">
        <f t="shared" si="49"/>
        <v>0</v>
      </c>
      <c r="N96" s="228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0"/>
        <v>Other root crops (sweet potato): no. local meas</v>
      </c>
      <c r="B97" s="75">
        <f t="shared" si="51"/>
        <v>0.12888905860834371</v>
      </c>
      <c r="C97" s="75">
        <f t="shared" si="51"/>
        <v>-0.12888905860834371</v>
      </c>
      <c r="D97" s="24">
        <f t="shared" si="52"/>
        <v>0</v>
      </c>
      <c r="H97" s="24">
        <f t="shared" si="53"/>
        <v>0.84848484848484851</v>
      </c>
      <c r="I97" s="22">
        <f t="shared" si="54"/>
        <v>0</v>
      </c>
      <c r="J97" s="24">
        <f t="shared" si="55"/>
        <v>0</v>
      </c>
      <c r="K97" s="22">
        <f t="shared" si="56"/>
        <v>0.12888905860834371</v>
      </c>
      <c r="L97" s="22">
        <f t="shared" si="57"/>
        <v>0.10936041336465527</v>
      </c>
      <c r="M97" s="227">
        <f t="shared" si="49"/>
        <v>0</v>
      </c>
      <c r="N97" s="228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0"/>
        <v>Groundnuts (dry): no. local meas</v>
      </c>
      <c r="B98" s="75">
        <f t="shared" si="51"/>
        <v>1.7786690087951432E-2</v>
      </c>
      <c r="C98" s="75">
        <f t="shared" si="51"/>
        <v>-1.7786690087951432E-2</v>
      </c>
      <c r="D98" s="24">
        <f t="shared" si="52"/>
        <v>0</v>
      </c>
      <c r="H98" s="24">
        <f t="shared" si="53"/>
        <v>0.84848484848484851</v>
      </c>
      <c r="I98" s="22">
        <f t="shared" si="54"/>
        <v>0</v>
      </c>
      <c r="J98" s="24">
        <f t="shared" si="55"/>
        <v>0</v>
      </c>
      <c r="K98" s="22">
        <f t="shared" si="56"/>
        <v>1.7786690087951432E-2</v>
      </c>
      <c r="L98" s="22">
        <f t="shared" si="57"/>
        <v>1.5091737044322427E-2</v>
      </c>
      <c r="M98" s="227">
        <f t="shared" si="49"/>
        <v>0</v>
      </c>
      <c r="N98" s="228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0"/>
        <v>Other crop: Rape</v>
      </c>
      <c r="B99" s="75">
        <f t="shared" si="51"/>
        <v>0</v>
      </c>
      <c r="C99" s="75">
        <f t="shared" si="51"/>
        <v>0</v>
      </c>
      <c r="D99" s="24">
        <f t="shared" si="52"/>
        <v>0</v>
      </c>
      <c r="H99" s="24">
        <f t="shared" si="53"/>
        <v>0.84848484848484851</v>
      </c>
      <c r="I99" s="22">
        <f t="shared" si="54"/>
        <v>0</v>
      </c>
      <c r="J99" s="24">
        <f t="shared" si="55"/>
        <v>0</v>
      </c>
      <c r="K99" s="22">
        <f t="shared" si="56"/>
        <v>0</v>
      </c>
      <c r="L99" s="22">
        <f t="shared" si="57"/>
        <v>0</v>
      </c>
      <c r="M99" s="227">
        <f t="shared" si="49"/>
        <v>0</v>
      </c>
      <c r="N99" s="228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0"/>
        <v>Other cashcrop (cabbage): kg produced</v>
      </c>
      <c r="B100" s="75">
        <f t="shared" si="51"/>
        <v>0</v>
      </c>
      <c r="C100" s="75">
        <f t="shared" si="51"/>
        <v>0</v>
      </c>
      <c r="D100" s="24">
        <f t="shared" si="52"/>
        <v>0</v>
      </c>
      <c r="H100" s="24">
        <f t="shared" si="53"/>
        <v>0.84848484848484851</v>
      </c>
      <c r="I100" s="22">
        <f t="shared" si="54"/>
        <v>0</v>
      </c>
      <c r="J100" s="24">
        <f>IF(I$32&lt;=1+I131,I100,L100+J$33*(I100-L100))</f>
        <v>0</v>
      </c>
      <c r="K100" s="22">
        <f t="shared" si="56"/>
        <v>0</v>
      </c>
      <c r="L100" s="22">
        <f t="shared" si="57"/>
        <v>0</v>
      </c>
      <c r="M100" s="227">
        <f t="shared" si="49"/>
        <v>0</v>
      </c>
      <c r="N100" s="228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0"/>
        <v>FISHING -- see worksheet Data 3</v>
      </c>
      <c r="B101" s="75">
        <f t="shared" si="51"/>
        <v>0</v>
      </c>
      <c r="C101" s="75">
        <f t="shared" si="51"/>
        <v>0</v>
      </c>
      <c r="D101" s="24">
        <f t="shared" si="52"/>
        <v>0</v>
      </c>
      <c r="H101" s="24">
        <f t="shared" si="53"/>
        <v>0.7151515151515152</v>
      </c>
      <c r="I101" s="22">
        <f t="shared" si="54"/>
        <v>0</v>
      </c>
      <c r="J101" s="24">
        <f>IF(I$32&lt;=1+I131,I101,L101+J$33*(I101-L101))</f>
        <v>0</v>
      </c>
      <c r="K101" s="22">
        <f t="shared" si="56"/>
        <v>0</v>
      </c>
      <c r="L101" s="22">
        <f t="shared" si="57"/>
        <v>0</v>
      </c>
      <c r="M101" s="226">
        <f t="shared" si="49"/>
        <v>0</v>
      </c>
      <c r="N101" s="228">
        <v>6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0"/>
        <v>WILD FOODS -- see worksheet Data 3</v>
      </c>
      <c r="B102" s="75">
        <f t="shared" si="51"/>
        <v>0.17271133853518059</v>
      </c>
      <c r="C102" s="75">
        <f t="shared" si="51"/>
        <v>0.10762236393796701</v>
      </c>
      <c r="D102" s="24">
        <f t="shared" si="52"/>
        <v>0.28033370247314759</v>
      </c>
      <c r="H102" s="24">
        <f t="shared" si="53"/>
        <v>0.7151515151515152</v>
      </c>
      <c r="I102" s="22">
        <f t="shared" si="54"/>
        <v>0.20048107207170557</v>
      </c>
      <c r="J102" s="24">
        <f>IF(I$32&lt;=1+I131,I102,L102+J$33*(I102-L102))</f>
        <v>0.20048107207170557</v>
      </c>
      <c r="K102" s="22">
        <f t="shared" si="56"/>
        <v>0.17271133853518059</v>
      </c>
      <c r="L102" s="22">
        <f t="shared" si="57"/>
        <v>0.12351477543728068</v>
      </c>
      <c r="M102" s="227">
        <f t="shared" si="49"/>
        <v>0.20048107207170557</v>
      </c>
      <c r="N102" s="228">
        <v>6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0"/>
        <v>Agricultural casual work -- see Data2</v>
      </c>
      <c r="B103" s="75">
        <f t="shared" si="51"/>
        <v>0.11600015274750934</v>
      </c>
      <c r="C103" s="75">
        <f t="shared" si="51"/>
        <v>0</v>
      </c>
      <c r="D103" s="24">
        <f t="shared" si="52"/>
        <v>0.11600015274750934</v>
      </c>
      <c r="H103" s="24">
        <f t="shared" si="53"/>
        <v>0.67272727272727284</v>
      </c>
      <c r="I103" s="22">
        <f t="shared" si="54"/>
        <v>7.8036466393779022E-2</v>
      </c>
      <c r="J103" s="24">
        <f>IF(I$32&lt;=1+I131,I103,L103+J$33*(I103-L103))</f>
        <v>7.8036466393779022E-2</v>
      </c>
      <c r="K103" s="22">
        <f t="shared" si="56"/>
        <v>0.11600015274750934</v>
      </c>
      <c r="L103" s="22">
        <f t="shared" si="57"/>
        <v>7.8036466393779022E-2</v>
      </c>
      <c r="M103" s="227">
        <f t="shared" si="49"/>
        <v>7.8036466393779022E-2</v>
      </c>
      <c r="N103" s="228">
        <v>7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0"/>
        <v>Construction casual work -- see Data2</v>
      </c>
      <c r="B104" s="75">
        <f t="shared" si="51"/>
        <v>0.18560024439601494</v>
      </c>
      <c r="C104" s="75">
        <f t="shared" si="51"/>
        <v>0</v>
      </c>
      <c r="D104" s="24">
        <f t="shared" si="52"/>
        <v>0.18560024439601494</v>
      </c>
      <c r="H104" s="24">
        <f t="shared" si="53"/>
        <v>0.67272727272727284</v>
      </c>
      <c r="I104" s="22">
        <f t="shared" si="54"/>
        <v>0.12485834623004644</v>
      </c>
      <c r="J104" s="24">
        <f>IF(I$32&lt;=1+I131,I104,L104+J$33*(I104-L104))</f>
        <v>0.12485834623004644</v>
      </c>
      <c r="K104" s="22">
        <f t="shared" si="56"/>
        <v>0.18560024439601494</v>
      </c>
      <c r="L104" s="22">
        <f t="shared" si="57"/>
        <v>0.12485834623004644</v>
      </c>
      <c r="M104" s="227">
        <f t="shared" si="49"/>
        <v>0.12485834623004644</v>
      </c>
      <c r="N104" s="228">
        <v>7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0"/>
        <v>Domestic casual work -- see Data2</v>
      </c>
      <c r="B105" s="75">
        <f t="shared" si="51"/>
        <v>0.61866748132004978</v>
      </c>
      <c r="C105" s="75">
        <f t="shared" si="51"/>
        <v>0</v>
      </c>
      <c r="D105" s="24">
        <f t="shared" si="52"/>
        <v>0.61866748132004978</v>
      </c>
      <c r="H105" s="24">
        <f t="shared" si="53"/>
        <v>0.67272727272727284</v>
      </c>
      <c r="I105" s="22">
        <f t="shared" si="54"/>
        <v>0.41619448743348808</v>
      </c>
      <c r="J105" s="24">
        <f>IF(I$32&lt;=1+I131,I105,L105+J$33*(I105-L105))</f>
        <v>0.41619448743348808</v>
      </c>
      <c r="K105" s="22">
        <f t="shared" si="56"/>
        <v>0.61866748132004978</v>
      </c>
      <c r="L105" s="22">
        <f t="shared" si="57"/>
        <v>0.41619448743348808</v>
      </c>
      <c r="M105" s="227">
        <f t="shared" si="49"/>
        <v>0.41619448743348808</v>
      </c>
      <c r="N105" s="228">
        <v>7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0"/>
        <v>Labour migration: no. people per HH</v>
      </c>
      <c r="B106" s="75">
        <f t="shared" si="51"/>
        <v>0</v>
      </c>
      <c r="C106" s="75">
        <f t="shared" si="51"/>
        <v>0</v>
      </c>
      <c r="D106" s="24">
        <f t="shared" si="52"/>
        <v>0</v>
      </c>
      <c r="H106" s="24">
        <f t="shared" si="53"/>
        <v>0.57212121212121214</v>
      </c>
      <c r="I106" s="22">
        <f t="shared" si="54"/>
        <v>0</v>
      </c>
      <c r="J106" s="24">
        <f>IF(I$32&lt;=1+I132,I106,L106+J$33*(I106-L106))</f>
        <v>0</v>
      </c>
      <c r="K106" s="22">
        <f t="shared" si="56"/>
        <v>0</v>
      </c>
      <c r="L106" s="22">
        <f t="shared" si="57"/>
        <v>0</v>
      </c>
      <c r="M106" s="227">
        <f>(J106)</f>
        <v>0</v>
      </c>
      <c r="N106" s="228">
        <v>8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ref="A107:A118" si="58">IF(A53="","",A53)</f>
        <v>Formal Employment (e.g. teachers, salaried staff, etc.)</v>
      </c>
      <c r="B107" s="75">
        <f t="shared" si="51"/>
        <v>0</v>
      </c>
      <c r="C107" s="75">
        <f t="shared" si="51"/>
        <v>0</v>
      </c>
      <c r="D107" s="24">
        <f t="shared" ref="D107:D118" si="59">(B107+C107)</f>
        <v>0</v>
      </c>
      <c r="H107" s="24">
        <f t="shared" ref="H107:H118" si="60">(E53*F53/G53*F$7/F$9)</f>
        <v>0.57212121212121214</v>
      </c>
      <c r="I107" s="22">
        <f t="shared" ref="I107:I118" si="61">(D107*H107)</f>
        <v>0</v>
      </c>
      <c r="J107" s="24">
        <f t="shared" ref="J107:J118" si="62">IF(I$32&lt;=1+I133,I107,L107+J$33*(I107-L107))</f>
        <v>0</v>
      </c>
      <c r="K107" s="22">
        <f t="shared" ref="K107:K118" si="63">(B107)</f>
        <v>0</v>
      </c>
      <c r="L107" s="22">
        <f t="shared" ref="L107:L118" si="64">(K107*H107)</f>
        <v>0</v>
      </c>
      <c r="M107" s="227">
        <f t="shared" ref="M107:M118" si="65">(J107)</f>
        <v>0</v>
      </c>
      <c r="N107" s="228">
        <v>8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8"/>
        <v>Self-employment -- see Data2</v>
      </c>
      <c r="B108" s="75">
        <f t="shared" si="51"/>
        <v>0</v>
      </c>
      <c r="C108" s="75">
        <f t="shared" si="51"/>
        <v>0</v>
      </c>
      <c r="D108" s="24">
        <f t="shared" si="59"/>
        <v>0</v>
      </c>
      <c r="H108" s="24">
        <f t="shared" si="60"/>
        <v>0.48484848484848486</v>
      </c>
      <c r="I108" s="22">
        <f t="shared" si="61"/>
        <v>0</v>
      </c>
      <c r="J108" s="24">
        <f t="shared" si="62"/>
        <v>0</v>
      </c>
      <c r="K108" s="22">
        <f t="shared" si="63"/>
        <v>0</v>
      </c>
      <c r="L108" s="22">
        <f t="shared" si="64"/>
        <v>0</v>
      </c>
      <c r="M108" s="227">
        <f t="shared" si="65"/>
        <v>0</v>
      </c>
      <c r="N108" s="228">
        <v>10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8"/>
        <v>Small business -- see Data2</v>
      </c>
      <c r="B109" s="75">
        <f t="shared" si="51"/>
        <v>0</v>
      </c>
      <c r="C109" s="75">
        <f t="shared" si="51"/>
        <v>0</v>
      </c>
      <c r="D109" s="24">
        <f t="shared" si="59"/>
        <v>0</v>
      </c>
      <c r="H109" s="24">
        <f t="shared" si="60"/>
        <v>0.57212121212121214</v>
      </c>
      <c r="I109" s="22">
        <f t="shared" si="61"/>
        <v>0</v>
      </c>
      <c r="J109" s="24">
        <f t="shared" si="62"/>
        <v>0</v>
      </c>
      <c r="K109" s="22">
        <f t="shared" si="63"/>
        <v>0</v>
      </c>
      <c r="L109" s="22">
        <f t="shared" si="64"/>
        <v>0</v>
      </c>
      <c r="M109" s="227">
        <f t="shared" si="65"/>
        <v>0</v>
      </c>
      <c r="N109" s="228">
        <v>11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8"/>
        <v>Social Cash Transfers -- see Data2</v>
      </c>
      <c r="B110" s="75">
        <f t="shared" si="51"/>
        <v>2.6061367650607101</v>
      </c>
      <c r="C110" s="75">
        <f t="shared" si="51"/>
        <v>0</v>
      </c>
      <c r="D110" s="24">
        <f t="shared" si="59"/>
        <v>2.6061367650607101</v>
      </c>
      <c r="H110" s="24">
        <f t="shared" si="60"/>
        <v>0</v>
      </c>
      <c r="I110" s="22">
        <f t="shared" si="61"/>
        <v>0</v>
      </c>
      <c r="J110" s="24">
        <f t="shared" si="62"/>
        <v>0</v>
      </c>
      <c r="K110" s="22">
        <f t="shared" si="63"/>
        <v>2.6061367650607101</v>
      </c>
      <c r="L110" s="22">
        <f t="shared" si="64"/>
        <v>0</v>
      </c>
      <c r="M110" s="227">
        <f t="shared" si="65"/>
        <v>0</v>
      </c>
      <c r="N110" s="228">
        <v>14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8"/>
        <v>Remittances: no. times per year</v>
      </c>
      <c r="B111" s="75">
        <f t="shared" si="51"/>
        <v>0</v>
      </c>
      <c r="C111" s="75">
        <f t="shared" si="51"/>
        <v>0</v>
      </c>
      <c r="D111" s="24">
        <f t="shared" si="59"/>
        <v>0</v>
      </c>
      <c r="H111" s="24">
        <f t="shared" si="60"/>
        <v>0.67272727272727284</v>
      </c>
      <c r="I111" s="22">
        <f t="shared" si="61"/>
        <v>0</v>
      </c>
      <c r="J111" s="24">
        <f t="shared" si="62"/>
        <v>0</v>
      </c>
      <c r="K111" s="22">
        <f t="shared" si="63"/>
        <v>0</v>
      </c>
      <c r="L111" s="22">
        <f t="shared" si="64"/>
        <v>0</v>
      </c>
      <c r="M111" s="227">
        <f t="shared" si="65"/>
        <v>0</v>
      </c>
      <c r="N111" s="228">
        <v>15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8"/>
        <v/>
      </c>
      <c r="B112" s="75">
        <f t="shared" si="51"/>
        <v>0</v>
      </c>
      <c r="C112" s="75">
        <f t="shared" si="51"/>
        <v>0</v>
      </c>
      <c r="D112" s="24">
        <f t="shared" si="59"/>
        <v>0</v>
      </c>
      <c r="H112" s="24">
        <f t="shared" si="60"/>
        <v>0.60606060606060608</v>
      </c>
      <c r="I112" s="22">
        <f t="shared" si="61"/>
        <v>0</v>
      </c>
      <c r="J112" s="24">
        <f t="shared" si="62"/>
        <v>0</v>
      </c>
      <c r="K112" s="22">
        <f t="shared" si="63"/>
        <v>0</v>
      </c>
      <c r="L112" s="22">
        <f t="shared" si="64"/>
        <v>0</v>
      </c>
      <c r="M112" s="227">
        <f t="shared" si="65"/>
        <v>0</v>
      </c>
      <c r="N112" s="228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8"/>
        <v/>
      </c>
      <c r="B113" s="75">
        <f t="shared" si="51"/>
        <v>0</v>
      </c>
      <c r="C113" s="75">
        <f t="shared" si="51"/>
        <v>0</v>
      </c>
      <c r="D113" s="24">
        <f t="shared" si="59"/>
        <v>0</v>
      </c>
      <c r="H113" s="24">
        <f t="shared" si="60"/>
        <v>0.60606060606060608</v>
      </c>
      <c r="I113" s="22">
        <f t="shared" si="61"/>
        <v>0</v>
      </c>
      <c r="J113" s="24">
        <f t="shared" si="62"/>
        <v>0</v>
      </c>
      <c r="K113" s="22">
        <f t="shared" si="63"/>
        <v>0</v>
      </c>
      <c r="L113" s="22">
        <f t="shared" si="64"/>
        <v>0</v>
      </c>
      <c r="M113" s="227">
        <f t="shared" si="65"/>
        <v>0</v>
      </c>
      <c r="N113" s="228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8"/>
        <v/>
      </c>
      <c r="B114" s="75">
        <f t="shared" si="51"/>
        <v>0</v>
      </c>
      <c r="C114" s="75">
        <f t="shared" si="51"/>
        <v>0</v>
      </c>
      <c r="D114" s="24">
        <f t="shared" si="59"/>
        <v>0</v>
      </c>
      <c r="H114" s="24">
        <f t="shared" si="60"/>
        <v>0.60606060606060608</v>
      </c>
      <c r="I114" s="22">
        <f t="shared" si="61"/>
        <v>0</v>
      </c>
      <c r="J114" s="24">
        <f t="shared" si="62"/>
        <v>0</v>
      </c>
      <c r="K114" s="22">
        <f t="shared" si="63"/>
        <v>0</v>
      </c>
      <c r="L114" s="22">
        <f t="shared" si="64"/>
        <v>0</v>
      </c>
      <c r="M114" s="227">
        <f t="shared" si="65"/>
        <v>0</v>
      </c>
      <c r="N114" s="228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8"/>
        <v/>
      </c>
      <c r="B115" s="75">
        <f t="shared" si="51"/>
        <v>0</v>
      </c>
      <c r="C115" s="75">
        <f t="shared" si="51"/>
        <v>0</v>
      </c>
      <c r="D115" s="24">
        <f t="shared" si="59"/>
        <v>0</v>
      </c>
      <c r="H115" s="24">
        <f t="shared" si="60"/>
        <v>0.60606060606060608</v>
      </c>
      <c r="I115" s="22">
        <f t="shared" si="61"/>
        <v>0</v>
      </c>
      <c r="J115" s="24">
        <f t="shared" si="62"/>
        <v>0</v>
      </c>
      <c r="K115" s="22">
        <f t="shared" si="63"/>
        <v>0</v>
      </c>
      <c r="L115" s="22">
        <f t="shared" si="64"/>
        <v>0</v>
      </c>
      <c r="M115" s="227">
        <f t="shared" si="65"/>
        <v>0</v>
      </c>
      <c r="N115" s="228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8"/>
        <v/>
      </c>
      <c r="B116" s="75">
        <f t="shared" si="51"/>
        <v>0</v>
      </c>
      <c r="C116" s="75">
        <f t="shared" si="51"/>
        <v>0</v>
      </c>
      <c r="D116" s="24">
        <f t="shared" si="59"/>
        <v>0</v>
      </c>
      <c r="H116" s="24">
        <f t="shared" si="60"/>
        <v>0.60606060606060608</v>
      </c>
      <c r="I116" s="22">
        <f t="shared" si="61"/>
        <v>0</v>
      </c>
      <c r="J116" s="24">
        <f t="shared" si="62"/>
        <v>0</v>
      </c>
      <c r="K116" s="22">
        <f t="shared" si="63"/>
        <v>0</v>
      </c>
      <c r="L116" s="22">
        <f t="shared" si="64"/>
        <v>0</v>
      </c>
      <c r="M116" s="227">
        <f t="shared" si="65"/>
        <v>0</v>
      </c>
      <c r="N116" s="2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8"/>
        <v/>
      </c>
      <c r="B117" s="75">
        <f t="shared" si="51"/>
        <v>0</v>
      </c>
      <c r="C117" s="75">
        <f t="shared" si="51"/>
        <v>0</v>
      </c>
      <c r="D117" s="24">
        <f t="shared" si="59"/>
        <v>0</v>
      </c>
      <c r="H117" s="24">
        <f t="shared" si="60"/>
        <v>0.60606060606060608</v>
      </c>
      <c r="I117" s="22">
        <f t="shared" si="61"/>
        <v>0</v>
      </c>
      <c r="J117" s="24">
        <f t="shared" si="62"/>
        <v>0</v>
      </c>
      <c r="K117" s="22">
        <f t="shared" si="63"/>
        <v>0</v>
      </c>
      <c r="L117" s="22">
        <f t="shared" si="64"/>
        <v>0</v>
      </c>
      <c r="M117" s="227">
        <f t="shared" si="65"/>
        <v>0</v>
      </c>
      <c r="N117" s="2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8"/>
        <v/>
      </c>
      <c r="B118" s="75">
        <f t="shared" si="51"/>
        <v>0</v>
      </c>
      <c r="C118" s="75">
        <f t="shared" si="51"/>
        <v>0</v>
      </c>
      <c r="D118" s="24">
        <f t="shared" si="59"/>
        <v>0</v>
      </c>
      <c r="H118" s="24">
        <f t="shared" si="60"/>
        <v>0.60606060606060608</v>
      </c>
      <c r="I118" s="22">
        <f t="shared" si="61"/>
        <v>0</v>
      </c>
      <c r="J118" s="24">
        <f t="shared" si="62"/>
        <v>0</v>
      </c>
      <c r="K118" s="22">
        <f t="shared" si="63"/>
        <v>0</v>
      </c>
      <c r="L118" s="22">
        <f t="shared" si="64"/>
        <v>0</v>
      </c>
      <c r="M118" s="227">
        <f t="shared" si="65"/>
        <v>0</v>
      </c>
      <c r="N118" s="2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3.8457917307557601</v>
      </c>
      <c r="C119" s="22">
        <f>SUM(C91:C118)</f>
        <v>-3.9053384758328119E-2</v>
      </c>
      <c r="D119" s="24">
        <f>SUM(D91:D118)</f>
        <v>3.8067383459974318</v>
      </c>
      <c r="E119" s="22"/>
      <c r="F119" s="2"/>
      <c r="G119" s="2"/>
      <c r="H119" s="31"/>
      <c r="I119" s="22">
        <f>SUM(I91:I118)</f>
        <v>0.81957037212901906</v>
      </c>
      <c r="J119" s="24">
        <f>SUM(J91:J118)</f>
        <v>0.81957037212901906</v>
      </c>
      <c r="K119" s="22">
        <f>SUM(K91:K118)</f>
        <v>3.8457917307557601</v>
      </c>
      <c r="L119" s="22">
        <f>SUM(L91:L118)</f>
        <v>0.8670562259035719</v>
      </c>
      <c r="M119" s="57">
        <f t="shared" si="49"/>
        <v>0.81957037212901906</v>
      </c>
      <c r="N119" s="22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Very Poor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6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6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2.7065149411656972</v>
      </c>
      <c r="C124" s="2"/>
      <c r="D124" s="24"/>
      <c r="H124" s="96">
        <f>(E70*F70/G$37*F$7/F$9)</f>
        <v>0.84848484848484851</v>
      </c>
      <c r="I124" s="29">
        <f>IF(SUMPRODUCT($B$124:$B124,$H$124:$H124)&lt;I$119,($B124*$H124),I$119)</f>
        <v>0.81957037212901906</v>
      </c>
      <c r="J124" s="236">
        <f>IF(SUMPRODUCT($B$124:$B124,$H$124:$H124)&lt;J$119,($B124*$H124),J$119)</f>
        <v>0.81957037212901906</v>
      </c>
      <c r="K124" s="29">
        <f>(B124)</f>
        <v>2.7065149411656972</v>
      </c>
      <c r="L124" s="29">
        <f>IF(SUMPRODUCT($B$124:$B124,$H$124:$H124)&lt;L$119,($B124*$H124),L$119)</f>
        <v>0.8670562259035719</v>
      </c>
      <c r="M124" s="239">
        <f t="shared" si="66"/>
        <v>0.81957037212901906</v>
      </c>
      <c r="N124" s="58"/>
      <c r="O124" s="174">
        <f>B124*H124</f>
        <v>2.2964369197769554</v>
      </c>
      <c r="P124" s="172"/>
      <c r="Q124" s="173"/>
      <c r="R124" s="69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2.2141421748132006</v>
      </c>
      <c r="C125" s="2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</v>
      </c>
      <c r="J125" s="236">
        <f>IF(SUMPRODUCT($B$124:$B125,$H$124:$H125)&lt;J$119,($B125*$H125),IF(SUMPRODUCT($B$124:$B124,$H$124:$H124)&lt;J$119,J$119-SUMPRODUCT($B$124:$B124,$H$124:$H124),0))</f>
        <v>0</v>
      </c>
      <c r="K125" s="29">
        <f>(B125)</f>
        <v>2.2141421748132006</v>
      </c>
      <c r="L125" s="29">
        <f>IF(SUMPRODUCT($B$124:$B125,$H$124:$H125)&lt;L$119,($B125*$H125),IF(SUMPRODUCT($B$124:$B124,$H$124:$H124)&lt;L$119,L$119-SUMPRODUCT($B$124:$B124,$H$124:$H124),0))</f>
        <v>0</v>
      </c>
      <c r="M125" s="239">
        <f t="shared" si="66"/>
        <v>0</v>
      </c>
      <c r="N125" s="58"/>
      <c r="O125" s="174"/>
      <c r="P125" s="172"/>
      <c r="Q125" s="173"/>
      <c r="R125" s="69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3.575898042029888</v>
      </c>
      <c r="C126" s="2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67">(B126)</f>
        <v>3.575898042029888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39">
        <f t="shared" si="66"/>
        <v>0</v>
      </c>
      <c r="N126" s="58"/>
      <c r="O126" s="174"/>
      <c r="P126" s="172"/>
      <c r="Q126" s="173"/>
      <c r="R126" s="69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0.22877807902981009</v>
      </c>
      <c r="C127" s="2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67"/>
        <v>0.22877807902981009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39">
        <f t="shared" si="66"/>
        <v>0</v>
      </c>
      <c r="N127" s="58"/>
      <c r="O127" s="174">
        <f>B127*H127</f>
        <v>0.16361098985162179</v>
      </c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0.56623471980074724</v>
      </c>
      <c r="C128" s="2"/>
      <c r="D128" s="31"/>
      <c r="E128" s="2"/>
      <c r="F128" s="2"/>
      <c r="G128" s="2"/>
      <c r="H128" s="24"/>
      <c r="I128" s="29">
        <f>(I30)</f>
        <v>0</v>
      </c>
      <c r="J128" s="227">
        <f>(J30)</f>
        <v>0</v>
      </c>
      <c r="K128" s="29">
        <f>(B128)</f>
        <v>0.56623471980074724</v>
      </c>
      <c r="L128" s="29">
        <f>IF(L124=L119,0,(L119-L124)/(B119-B124)*K128)</f>
        <v>0</v>
      </c>
      <c r="M128" s="239">
        <f t="shared" si="66"/>
        <v>0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7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39">
        <f t="shared" si="66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9">
        <f>(B119)</f>
        <v>3.8457917307557601</v>
      </c>
      <c r="C130" s="2"/>
      <c r="D130" s="31"/>
      <c r="E130" s="2"/>
      <c r="F130" s="2"/>
      <c r="G130" s="2"/>
      <c r="H130" s="24"/>
      <c r="I130" s="29">
        <f>(I119)</f>
        <v>0.81957037212901906</v>
      </c>
      <c r="J130" s="227">
        <f>(J119)</f>
        <v>0.81957037212901906</v>
      </c>
      <c r="K130" s="29">
        <f>(B130)</f>
        <v>3.8457917307557601</v>
      </c>
      <c r="L130" s="29">
        <f>(L119)</f>
        <v>0.8670562259035719</v>
      </c>
      <c r="M130" s="239">
        <f t="shared" si="66"/>
        <v>0.81957037212901906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3.0603136787264678</v>
      </c>
      <c r="J131" s="236">
        <f>IF(SUMPRODUCT($B124:$B125,$H124:$H125)&gt;(J119-J128),SUMPRODUCT($B124:$B125,$H124:$H125)+J128-J119,0)</f>
        <v>3.0603136787264678</v>
      </c>
      <c r="K131" s="29"/>
      <c r="L131" s="29">
        <f>IF(I131&lt;SUM(L126:L127),0,I131-(SUM(L126:L127)))</f>
        <v>3.0603136787264678</v>
      </c>
      <c r="M131" s="236">
        <f>IF(I131&lt;SUM(M126:M127),0,I131-(SUM(M126:M127)))</f>
        <v>3.0603136787264678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AF1:AG1"/>
    <mergeCell ref="AF2:AG2"/>
    <mergeCell ref="Z2:AA2"/>
    <mergeCell ref="AB2:AC2"/>
    <mergeCell ref="Z1:AA1"/>
    <mergeCell ref="AB1:AC1"/>
    <mergeCell ref="AD1:AE1"/>
    <mergeCell ref="AD2:AE2"/>
  </mergeCells>
  <phoneticPr fontId="1" type="noConversion"/>
  <conditionalFormatting sqref="U7:U22">
    <cfRule type="cellIs" dxfId="539" priority="164" operator="equal">
      <formula>16</formula>
    </cfRule>
    <cfRule type="cellIs" dxfId="538" priority="165" operator="equal">
      <formula>15</formula>
    </cfRule>
    <cfRule type="cellIs" dxfId="537" priority="166" operator="equal">
      <formula>14</formula>
    </cfRule>
    <cfRule type="cellIs" dxfId="536" priority="167" operator="equal">
      <formula>13</formula>
    </cfRule>
    <cfRule type="cellIs" dxfId="535" priority="168" operator="equal">
      <formula>12</formula>
    </cfRule>
    <cfRule type="cellIs" dxfId="534" priority="169" operator="equal">
      <formula>11</formula>
    </cfRule>
    <cfRule type="cellIs" dxfId="533" priority="170" operator="equal">
      <formula>10</formula>
    </cfRule>
    <cfRule type="cellIs" dxfId="532" priority="171" operator="equal">
      <formula>9</formula>
    </cfRule>
    <cfRule type="cellIs" dxfId="531" priority="172" operator="equal">
      <formula>8</formula>
    </cfRule>
    <cfRule type="cellIs" dxfId="530" priority="173" operator="equal">
      <formula>7</formula>
    </cfRule>
    <cfRule type="cellIs" dxfId="529" priority="174" operator="equal">
      <formula>6</formula>
    </cfRule>
    <cfRule type="cellIs" dxfId="528" priority="175" operator="equal">
      <formula>5</formula>
    </cfRule>
    <cfRule type="cellIs" dxfId="527" priority="176" operator="equal">
      <formula>4</formula>
    </cfRule>
    <cfRule type="cellIs" dxfId="526" priority="177" operator="equal">
      <formula>3</formula>
    </cfRule>
    <cfRule type="cellIs" dxfId="525" priority="178" operator="equal">
      <formula>2</formula>
    </cfRule>
    <cfRule type="cellIs" dxfId="524" priority="179" operator="equal">
      <formula>1</formula>
    </cfRule>
  </conditionalFormatting>
  <conditionalFormatting sqref="N29">
    <cfRule type="cellIs" dxfId="523" priority="148" operator="equal">
      <formula>16</formula>
    </cfRule>
    <cfRule type="cellIs" dxfId="522" priority="149" operator="equal">
      <formula>15</formula>
    </cfRule>
    <cfRule type="cellIs" dxfId="521" priority="150" operator="equal">
      <formula>14</formula>
    </cfRule>
    <cfRule type="cellIs" dxfId="520" priority="151" operator="equal">
      <formula>13</formula>
    </cfRule>
    <cfRule type="cellIs" dxfId="519" priority="152" operator="equal">
      <formula>12</formula>
    </cfRule>
    <cfRule type="cellIs" dxfId="518" priority="153" operator="equal">
      <formula>11</formula>
    </cfRule>
    <cfRule type="cellIs" dxfId="517" priority="154" operator="equal">
      <formula>10</formula>
    </cfRule>
    <cfRule type="cellIs" dxfId="516" priority="155" operator="equal">
      <formula>9</formula>
    </cfRule>
    <cfRule type="cellIs" dxfId="515" priority="156" operator="equal">
      <formula>8</formula>
    </cfRule>
    <cfRule type="cellIs" dxfId="514" priority="157" operator="equal">
      <formula>7</formula>
    </cfRule>
    <cfRule type="cellIs" dxfId="513" priority="158" operator="equal">
      <formula>6</formula>
    </cfRule>
    <cfRule type="cellIs" dxfId="512" priority="159" operator="equal">
      <formula>5</formula>
    </cfRule>
    <cfRule type="cellIs" dxfId="511" priority="160" operator="equal">
      <formula>4</formula>
    </cfRule>
    <cfRule type="cellIs" dxfId="510" priority="161" operator="equal">
      <formula>3</formula>
    </cfRule>
    <cfRule type="cellIs" dxfId="509" priority="162" operator="equal">
      <formula>2</formula>
    </cfRule>
    <cfRule type="cellIs" dxfId="508" priority="163" operator="equal">
      <formula>1</formula>
    </cfRule>
  </conditionalFormatting>
  <conditionalFormatting sqref="N116:N119">
    <cfRule type="cellIs" dxfId="507" priority="132" operator="equal">
      <formula>16</formula>
    </cfRule>
    <cfRule type="cellIs" dxfId="506" priority="133" operator="equal">
      <formula>15</formula>
    </cfRule>
    <cfRule type="cellIs" dxfId="505" priority="134" operator="equal">
      <formula>14</formula>
    </cfRule>
    <cfRule type="cellIs" dxfId="504" priority="135" operator="equal">
      <formula>13</formula>
    </cfRule>
    <cfRule type="cellIs" dxfId="503" priority="136" operator="equal">
      <formula>12</formula>
    </cfRule>
    <cfRule type="cellIs" dxfId="502" priority="137" operator="equal">
      <formula>11</formula>
    </cfRule>
    <cfRule type="cellIs" dxfId="501" priority="138" operator="equal">
      <formula>10</formula>
    </cfRule>
    <cfRule type="cellIs" dxfId="500" priority="139" operator="equal">
      <formula>9</formula>
    </cfRule>
    <cfRule type="cellIs" dxfId="499" priority="140" operator="equal">
      <formula>8</formula>
    </cfRule>
    <cfRule type="cellIs" dxfId="498" priority="141" operator="equal">
      <formula>7</formula>
    </cfRule>
    <cfRule type="cellIs" dxfId="497" priority="142" operator="equal">
      <formula>6</formula>
    </cfRule>
    <cfRule type="cellIs" dxfId="496" priority="143" operator="equal">
      <formula>5</formula>
    </cfRule>
    <cfRule type="cellIs" dxfId="495" priority="144" operator="equal">
      <formula>4</formula>
    </cfRule>
    <cfRule type="cellIs" dxfId="494" priority="145" operator="equal">
      <formula>3</formula>
    </cfRule>
    <cfRule type="cellIs" dxfId="493" priority="146" operator="equal">
      <formula>2</formula>
    </cfRule>
    <cfRule type="cellIs" dxfId="492" priority="147" operator="equal">
      <formula>1</formula>
    </cfRule>
  </conditionalFormatting>
  <conditionalFormatting sqref="N27:N28">
    <cfRule type="cellIs" dxfId="491" priority="84" operator="equal">
      <formula>16</formula>
    </cfRule>
    <cfRule type="cellIs" dxfId="490" priority="85" operator="equal">
      <formula>15</formula>
    </cfRule>
    <cfRule type="cellIs" dxfId="489" priority="86" operator="equal">
      <formula>14</formula>
    </cfRule>
    <cfRule type="cellIs" dxfId="488" priority="87" operator="equal">
      <formula>13</formula>
    </cfRule>
    <cfRule type="cellIs" dxfId="487" priority="88" operator="equal">
      <formula>12</formula>
    </cfRule>
    <cfRule type="cellIs" dxfId="486" priority="89" operator="equal">
      <formula>11</formula>
    </cfRule>
    <cfRule type="cellIs" dxfId="485" priority="90" operator="equal">
      <formula>10</formula>
    </cfRule>
    <cfRule type="cellIs" dxfId="484" priority="91" operator="equal">
      <formula>9</formula>
    </cfRule>
    <cfRule type="cellIs" dxfId="483" priority="92" operator="equal">
      <formula>8</formula>
    </cfRule>
    <cfRule type="cellIs" dxfId="482" priority="93" operator="equal">
      <formula>7</formula>
    </cfRule>
    <cfRule type="cellIs" dxfId="481" priority="94" operator="equal">
      <formula>6</formula>
    </cfRule>
    <cfRule type="cellIs" dxfId="480" priority="95" operator="equal">
      <formula>5</formula>
    </cfRule>
    <cfRule type="cellIs" dxfId="479" priority="96" operator="equal">
      <formula>4</formula>
    </cfRule>
    <cfRule type="cellIs" dxfId="478" priority="97" operator="equal">
      <formula>3</formula>
    </cfRule>
    <cfRule type="cellIs" dxfId="477" priority="98" operator="equal">
      <formula>2</formula>
    </cfRule>
    <cfRule type="cellIs" dxfId="476" priority="99" operator="equal">
      <formula>1</formula>
    </cfRule>
  </conditionalFormatting>
  <conditionalFormatting sqref="N6:N26">
    <cfRule type="cellIs" dxfId="475" priority="68" operator="equal">
      <formula>16</formula>
    </cfRule>
    <cfRule type="cellIs" dxfId="474" priority="69" operator="equal">
      <formula>15</formula>
    </cfRule>
    <cfRule type="cellIs" dxfId="473" priority="70" operator="equal">
      <formula>14</formula>
    </cfRule>
    <cfRule type="cellIs" dxfId="472" priority="71" operator="equal">
      <formula>13</formula>
    </cfRule>
    <cfRule type="cellIs" dxfId="471" priority="72" operator="equal">
      <formula>12</formula>
    </cfRule>
    <cfRule type="cellIs" dxfId="470" priority="73" operator="equal">
      <formula>11</formula>
    </cfRule>
    <cfRule type="cellIs" dxfId="469" priority="74" operator="equal">
      <formula>10</formula>
    </cfRule>
    <cfRule type="cellIs" dxfId="468" priority="75" operator="equal">
      <formula>9</formula>
    </cfRule>
    <cfRule type="cellIs" dxfId="467" priority="76" operator="equal">
      <formula>8</formula>
    </cfRule>
    <cfRule type="cellIs" dxfId="466" priority="77" operator="equal">
      <formula>7</formula>
    </cfRule>
    <cfRule type="cellIs" dxfId="465" priority="78" operator="equal">
      <formula>6</formula>
    </cfRule>
    <cfRule type="cellIs" dxfId="464" priority="79" operator="equal">
      <formula>5</formula>
    </cfRule>
    <cfRule type="cellIs" dxfId="463" priority="80" operator="equal">
      <formula>4</formula>
    </cfRule>
    <cfRule type="cellIs" dxfId="462" priority="81" operator="equal">
      <formula>3</formula>
    </cfRule>
    <cfRule type="cellIs" dxfId="461" priority="82" operator="equal">
      <formula>2</formula>
    </cfRule>
    <cfRule type="cellIs" dxfId="460" priority="83" operator="equal">
      <formula>1</formula>
    </cfRule>
  </conditionalFormatting>
  <conditionalFormatting sqref="N113:N115">
    <cfRule type="cellIs" dxfId="459" priority="52" operator="equal">
      <formula>16</formula>
    </cfRule>
    <cfRule type="cellIs" dxfId="458" priority="53" operator="equal">
      <formula>15</formula>
    </cfRule>
    <cfRule type="cellIs" dxfId="457" priority="54" operator="equal">
      <formula>14</formula>
    </cfRule>
    <cfRule type="cellIs" dxfId="456" priority="55" operator="equal">
      <formula>13</formula>
    </cfRule>
    <cfRule type="cellIs" dxfId="455" priority="56" operator="equal">
      <formula>12</formula>
    </cfRule>
    <cfRule type="cellIs" dxfId="454" priority="57" operator="equal">
      <formula>11</formula>
    </cfRule>
    <cfRule type="cellIs" dxfId="453" priority="58" operator="equal">
      <formula>10</formula>
    </cfRule>
    <cfRule type="cellIs" dxfId="452" priority="59" operator="equal">
      <formula>9</formula>
    </cfRule>
    <cfRule type="cellIs" dxfId="451" priority="60" operator="equal">
      <formula>8</formula>
    </cfRule>
    <cfRule type="cellIs" dxfId="450" priority="61" operator="equal">
      <formula>7</formula>
    </cfRule>
    <cfRule type="cellIs" dxfId="449" priority="62" operator="equal">
      <formula>6</formula>
    </cfRule>
    <cfRule type="cellIs" dxfId="448" priority="63" operator="equal">
      <formula>5</formula>
    </cfRule>
    <cfRule type="cellIs" dxfId="447" priority="64" operator="equal">
      <formula>4</formula>
    </cfRule>
    <cfRule type="cellIs" dxfId="446" priority="65" operator="equal">
      <formula>3</formula>
    </cfRule>
    <cfRule type="cellIs" dxfId="445" priority="66" operator="equal">
      <formula>2</formula>
    </cfRule>
    <cfRule type="cellIs" dxfId="444" priority="67" operator="equal">
      <formula>1</formula>
    </cfRule>
  </conditionalFormatting>
  <conditionalFormatting sqref="N112">
    <cfRule type="cellIs" dxfId="443" priority="36" operator="equal">
      <formula>16</formula>
    </cfRule>
    <cfRule type="cellIs" dxfId="442" priority="37" operator="equal">
      <formula>15</formula>
    </cfRule>
    <cfRule type="cellIs" dxfId="441" priority="38" operator="equal">
      <formula>14</formula>
    </cfRule>
    <cfRule type="cellIs" dxfId="440" priority="39" operator="equal">
      <formula>13</formula>
    </cfRule>
    <cfRule type="cellIs" dxfId="439" priority="40" operator="equal">
      <formula>12</formula>
    </cfRule>
    <cfRule type="cellIs" dxfId="438" priority="41" operator="equal">
      <formula>11</formula>
    </cfRule>
    <cfRule type="cellIs" dxfId="437" priority="42" operator="equal">
      <formula>10</formula>
    </cfRule>
    <cfRule type="cellIs" dxfId="436" priority="43" operator="equal">
      <formula>9</formula>
    </cfRule>
    <cfRule type="cellIs" dxfId="435" priority="44" operator="equal">
      <formula>8</formula>
    </cfRule>
    <cfRule type="cellIs" dxfId="434" priority="45" operator="equal">
      <formula>7</formula>
    </cfRule>
    <cfRule type="cellIs" dxfId="433" priority="46" operator="equal">
      <formula>6</formula>
    </cfRule>
    <cfRule type="cellIs" dxfId="432" priority="47" operator="equal">
      <formula>5</formula>
    </cfRule>
    <cfRule type="cellIs" dxfId="431" priority="48" operator="equal">
      <formula>4</formula>
    </cfRule>
    <cfRule type="cellIs" dxfId="430" priority="49" operator="equal">
      <formula>3</formula>
    </cfRule>
    <cfRule type="cellIs" dxfId="429" priority="50" operator="equal">
      <formula>2</formula>
    </cfRule>
    <cfRule type="cellIs" dxfId="428" priority="51" operator="equal">
      <formula>1</formula>
    </cfRule>
  </conditionalFormatting>
  <conditionalFormatting sqref="N91:N104">
    <cfRule type="cellIs" dxfId="427" priority="20" operator="equal">
      <formula>16</formula>
    </cfRule>
    <cfRule type="cellIs" dxfId="426" priority="21" operator="equal">
      <formula>15</formula>
    </cfRule>
    <cfRule type="cellIs" dxfId="425" priority="22" operator="equal">
      <formula>14</formula>
    </cfRule>
    <cfRule type="cellIs" dxfId="424" priority="23" operator="equal">
      <formula>13</formula>
    </cfRule>
    <cfRule type="cellIs" dxfId="423" priority="24" operator="equal">
      <formula>12</formula>
    </cfRule>
    <cfRule type="cellIs" dxfId="422" priority="25" operator="equal">
      <formula>11</formula>
    </cfRule>
    <cfRule type="cellIs" dxfId="421" priority="26" operator="equal">
      <formula>10</formula>
    </cfRule>
    <cfRule type="cellIs" dxfId="420" priority="27" operator="equal">
      <formula>9</formula>
    </cfRule>
    <cfRule type="cellIs" dxfId="419" priority="28" operator="equal">
      <formula>8</formula>
    </cfRule>
    <cfRule type="cellIs" dxfId="418" priority="29" operator="equal">
      <formula>7</formula>
    </cfRule>
    <cfRule type="cellIs" dxfId="417" priority="30" operator="equal">
      <formula>6</formula>
    </cfRule>
    <cfRule type="cellIs" dxfId="416" priority="31" operator="equal">
      <formula>5</formula>
    </cfRule>
    <cfRule type="cellIs" dxfId="415" priority="32" operator="equal">
      <formula>4</formula>
    </cfRule>
    <cfRule type="cellIs" dxfId="414" priority="33" operator="equal">
      <formula>3</formula>
    </cfRule>
    <cfRule type="cellIs" dxfId="413" priority="34" operator="equal">
      <formula>2</formula>
    </cfRule>
    <cfRule type="cellIs" dxfId="412" priority="35" operator="equal">
      <formula>1</formula>
    </cfRule>
  </conditionalFormatting>
  <conditionalFormatting sqref="N105:N111">
    <cfRule type="cellIs" dxfId="411" priority="4" operator="equal">
      <formula>16</formula>
    </cfRule>
    <cfRule type="cellIs" dxfId="410" priority="5" operator="equal">
      <formula>15</formula>
    </cfRule>
    <cfRule type="cellIs" dxfId="409" priority="6" operator="equal">
      <formula>14</formula>
    </cfRule>
    <cfRule type="cellIs" dxfId="408" priority="7" operator="equal">
      <formula>13</formula>
    </cfRule>
    <cfRule type="cellIs" dxfId="407" priority="8" operator="equal">
      <formula>12</formula>
    </cfRule>
    <cfRule type="cellIs" dxfId="406" priority="9" operator="equal">
      <formula>11</formula>
    </cfRule>
    <cfRule type="cellIs" dxfId="405" priority="10" operator="equal">
      <formula>10</formula>
    </cfRule>
    <cfRule type="cellIs" dxfId="404" priority="11" operator="equal">
      <formula>9</formula>
    </cfRule>
    <cfRule type="cellIs" dxfId="403" priority="12" operator="equal">
      <formula>8</formula>
    </cfRule>
    <cfRule type="cellIs" dxfId="402" priority="13" operator="equal">
      <formula>7</formula>
    </cfRule>
    <cfRule type="cellIs" dxfId="401" priority="14" operator="equal">
      <formula>6</formula>
    </cfRule>
    <cfRule type="cellIs" dxfId="400" priority="15" operator="equal">
      <formula>5</formula>
    </cfRule>
    <cfRule type="cellIs" dxfId="399" priority="16" operator="equal">
      <formula>4</formula>
    </cfRule>
    <cfRule type="cellIs" dxfId="398" priority="17" operator="equal">
      <formula>3</formula>
    </cfRule>
    <cfRule type="cellIs" dxfId="397" priority="18" operator="equal">
      <formula>2</formula>
    </cfRule>
    <cfRule type="cellIs" dxfId="396" priority="19" operator="equal">
      <formula>1</formula>
    </cfRule>
  </conditionalFormatting>
  <conditionalFormatting sqref="R31:T31">
    <cfRule type="cellIs" dxfId="395" priority="3" operator="greaterThan">
      <formula>0</formula>
    </cfRule>
  </conditionalFormatting>
  <conditionalFormatting sqref="R32:T32">
    <cfRule type="cellIs" dxfId="394" priority="2" operator="greaterThan">
      <formula>0</formula>
    </cfRule>
  </conditionalFormatting>
  <conditionalFormatting sqref="R30:T30">
    <cfRule type="cellIs" dxfId="393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23" activePane="bottomRight" state="frozen"/>
      <selection pane="topRight" activeCell="B1" sqref="B1"/>
      <selection pane="bottomLeft" activeCell="A3" sqref="A3"/>
      <selection pane="bottomRight" activeCell="E57" sqref="E57"/>
    </sheetView>
  </sheetViews>
  <sheetFormatPr baseColWidth="10" defaultColWidth="8" defaultRowHeight="15" x14ac:dyDescent="0"/>
  <cols>
    <col min="1" max="1" width="21.85546875" style="67" customWidth="1"/>
    <col min="2" max="3" width="6.85546875" style="67" customWidth="1"/>
    <col min="4" max="6" width="6.85546875" style="4" customWidth="1"/>
    <col min="7" max="7" width="6.5703125" style="4" customWidth="1"/>
    <col min="8" max="8" width="6.7109375" style="4" customWidth="1"/>
    <col min="9" max="12" width="6.85546875" style="4" customWidth="1"/>
    <col min="13" max="13" width="7.7109375" style="4" customWidth="1"/>
    <col min="14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[1]WB!$B$1 &amp; ": " &amp; [1]WB!$D1</f>
        <v>ZALOI: 59302</v>
      </c>
      <c r="B1" s="243" t="str">
        <f>[1]WB!$A$2</f>
        <v>Lowveld Open Access Irrigated Cropping Livelihood Zone</v>
      </c>
      <c r="C1" s="1"/>
      <c r="D1" s="2"/>
      <c r="E1" s="2"/>
      <c r="F1" s="2"/>
      <c r="G1" s="2"/>
      <c r="H1" s="2" t="s">
        <v>0</v>
      </c>
      <c r="I1" s="2"/>
      <c r="J1" s="3"/>
      <c r="L1" s="2"/>
      <c r="O1" s="2"/>
      <c r="P1" s="2"/>
      <c r="Q1" s="56"/>
      <c r="R1" s="56"/>
      <c r="S1" s="67"/>
      <c r="T1" s="56"/>
      <c r="U1" s="56"/>
      <c r="V1" s="56"/>
      <c r="W1" s="110"/>
      <c r="X1" s="114" t="s">
        <v>67</v>
      </c>
      <c r="Y1" s="115" t="s">
        <v>58</v>
      </c>
      <c r="Z1" s="260" t="s">
        <v>105</v>
      </c>
      <c r="AA1" s="261"/>
      <c r="AB1" s="260" t="s">
        <v>106</v>
      </c>
      <c r="AC1" s="261"/>
      <c r="AD1" s="260" t="s">
        <v>107</v>
      </c>
      <c r="AE1" s="261"/>
      <c r="AF1" s="260" t="s">
        <v>108</v>
      </c>
      <c r="AG1" s="261"/>
      <c r="AH1" s="117"/>
      <c r="AI1" s="110"/>
      <c r="AJ1" s="199" t="str">
        <f>LEFT(Z1,4) &amp; MID(AB1,5,3)</f>
        <v>Apr-Sep</v>
      </c>
      <c r="AK1" s="200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8"/>
      <c r="C2" s="9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56"/>
      <c r="R2" s="56"/>
      <c r="S2" s="67"/>
      <c r="T2" s="56"/>
      <c r="U2" s="56"/>
      <c r="V2" s="56"/>
      <c r="W2" s="110"/>
      <c r="X2" s="118" t="s">
        <v>59</v>
      </c>
      <c r="Y2" s="115" t="s">
        <v>60</v>
      </c>
      <c r="Z2" s="258" t="s">
        <v>109</v>
      </c>
      <c r="AA2" s="262"/>
      <c r="AB2" s="258" t="s">
        <v>110</v>
      </c>
      <c r="AC2" s="262"/>
      <c r="AD2" s="258" t="s">
        <v>111</v>
      </c>
      <c r="AE2" s="262"/>
      <c r="AF2" s="258" t="s">
        <v>112</v>
      </c>
      <c r="AG2" s="262"/>
      <c r="AH2" s="117"/>
      <c r="AI2" s="110"/>
      <c r="AJ2" s="197" t="s">
        <v>113</v>
      </c>
      <c r="AK2" s="198" t="s">
        <v>114</v>
      </c>
      <c r="CM2" s="6"/>
    </row>
    <row r="3" spans="1:91">
      <c r="A3" s="15" t="s">
        <v>5</v>
      </c>
      <c r="B3" s="1"/>
      <c r="C3" s="1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1"/>
      <c r="B4" s="1" t="s">
        <v>7</v>
      </c>
      <c r="C4" s="1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1"/>
      <c r="B5" s="1" t="s">
        <v>16</v>
      </c>
      <c r="C5" s="1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IF([1]Summ!$A1044="","",[1]Summ!$A1044)</f>
        <v>Cows' milk - season 1</v>
      </c>
      <c r="B6" s="215">
        <f>IF([1]Summ!E1044="",0,[1]Summ!E1044)</f>
        <v>1.4077658779576585E-2</v>
      </c>
      <c r="C6" s="215">
        <f>IF([1]Summ!F1044="",0,[1]Summ!F1044)</f>
        <v>0</v>
      </c>
      <c r="D6" s="24">
        <f t="shared" ref="D6:D16" si="0">SUM(B6,C6)</f>
        <v>1.4077658779576585E-2</v>
      </c>
      <c r="E6" s="26"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7.0388293897882927E-3</v>
      </c>
      <c r="J6" s="24">
        <f t="shared" ref="J6:J13" si="3">IF(I$32&lt;=1+I$131,I6,B6*H6+J$33*(I6-B6*H6))</f>
        <v>7.0388293897882927E-3</v>
      </c>
      <c r="K6" s="22">
        <f t="shared" ref="K6:K31" si="4">B6</f>
        <v>1.4077658779576585E-2</v>
      </c>
      <c r="L6" s="22">
        <f t="shared" ref="L6:L29" si="5">IF(K6="","",K6*H6)</f>
        <v>7.0388293897882927E-3</v>
      </c>
      <c r="M6" s="223">
        <f t="shared" ref="M6:M31" si="6">J6</f>
        <v>7.0388293897882927E-3</v>
      </c>
      <c r="N6" s="228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2.8155317559153171E-2</v>
      </c>
      <c r="Z6" s="116">
        <v>0.17</v>
      </c>
      <c r="AA6" s="121">
        <f>$M6*Z6*4</f>
        <v>4.7864039850560392E-3</v>
      </c>
      <c r="AB6" s="116">
        <v>0.17</v>
      </c>
      <c r="AC6" s="121">
        <f t="shared" ref="AC6:AC29" si="7">$M6*AB6*4</f>
        <v>4.7864039850560392E-3</v>
      </c>
      <c r="AD6" s="116">
        <v>0.33</v>
      </c>
      <c r="AE6" s="121">
        <f t="shared" ref="AE6:AE29" si="8">$M6*AD6*4</f>
        <v>9.2912547945205471E-3</v>
      </c>
      <c r="AF6" s="122">
        <f>1-SUM(Z6,AB6,AD6)</f>
        <v>0.32999999999999996</v>
      </c>
      <c r="AG6" s="121">
        <f>$M6*AF6*4</f>
        <v>9.2912547945205454E-3</v>
      </c>
      <c r="AH6" s="123">
        <f>SUM(Z6,AB6,AD6,AF6)</f>
        <v>1</v>
      </c>
      <c r="AI6" s="183">
        <f>SUM(AA6,AC6,AE6,AG6)/4</f>
        <v>7.0388293897882927E-3</v>
      </c>
      <c r="AJ6" s="120">
        <f>(AA6+AC6)/2</f>
        <v>4.7864039850560392E-3</v>
      </c>
      <c r="AK6" s="119">
        <f>(AE6+AG6)/2</f>
        <v>9.2912547945205454E-3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IF([1]Summ!$A1045="","",[1]Summ!$A1045)</f>
        <v>Cows' milk - season 2</v>
      </c>
      <c r="B7" s="215">
        <f>IF([1]Summ!E1045="",0,[1]Summ!E1045)</f>
        <v>9.3851058530510581E-3</v>
      </c>
      <c r="C7" s="215">
        <f>IF([1]Summ!F1045="",0,[1]Summ!F1045)</f>
        <v>0</v>
      </c>
      <c r="D7" s="24">
        <f t="shared" si="0"/>
        <v>9.3851058530510581E-3</v>
      </c>
      <c r="E7" s="26">
        <v>0.5</v>
      </c>
      <c r="F7" s="27">
        <f>[1]Summ!$P$1</f>
        <v>8800</v>
      </c>
      <c r="H7" s="24">
        <f t="shared" si="1"/>
        <v>0.5</v>
      </c>
      <c r="I7" s="22">
        <f t="shared" si="2"/>
        <v>4.6925529265255291E-3</v>
      </c>
      <c r="J7" s="24">
        <f t="shared" si="3"/>
        <v>4.6925529265255291E-3</v>
      </c>
      <c r="K7" s="22">
        <f t="shared" si="4"/>
        <v>9.3851058530510581E-3</v>
      </c>
      <c r="L7" s="22">
        <f t="shared" si="5"/>
        <v>4.6925529265255291E-3</v>
      </c>
      <c r="M7" s="223">
        <f t="shared" si="6"/>
        <v>4.6925529265255291E-3</v>
      </c>
      <c r="N7" s="228">
        <v>3</v>
      </c>
      <c r="O7" s="2"/>
      <c r="P7" s="22"/>
      <c r="Q7" s="59" t="s">
        <v>71</v>
      </c>
      <c r="R7" s="221">
        <f>IF($B$81=0,0,(SUMIF($N$6:$N$28,$U7,K$6:K$28)+SUMIF($N$91:$N$118,$U7,K$91:K$118))*$B$83*$H$84*Poor!$B$81/$B$81)</f>
        <v>4695.3507878055107</v>
      </c>
      <c r="S7" s="221">
        <f>IF($B$81=0,0,(SUMIF($N$6:$N$28,$U7,L$6:L$28)+SUMIF($N$91:$N$118,$U7,L$91:L$118))*$I$83*Poor!$B$81/$B$81)</f>
        <v>5656.0792496829454</v>
      </c>
      <c r="T7" s="221">
        <f>IF($B$81=0,0,(SUMIF($N$6:$N$28,$U7,M$6:M$28)+SUMIF($N$91:$N$118,$U7,M$91:M$118))*$I$83*Poor!$B$81/$B$81)</f>
        <v>8038.7800036428862</v>
      </c>
      <c r="U7" s="222">
        <v>1</v>
      </c>
      <c r="V7" s="56"/>
      <c r="W7" s="115"/>
      <c r="X7" s="124">
        <v>4</v>
      </c>
      <c r="Y7" s="183">
        <f t="shared" ref="Y7:Y29" si="9">M7*4</f>
        <v>1.8770211706102116E-2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1.8770211706102116E-2</v>
      </c>
      <c r="AH7" s="123">
        <f t="shared" ref="AH7:AH30" si="12">SUM(Z7,AB7,AD7,AF7)</f>
        <v>1</v>
      </c>
      <c r="AI7" s="183">
        <f t="shared" ref="AI7:AI30" si="13">SUM(AA7,AC7,AE7,AG7)/4</f>
        <v>4.6925529265255291E-3</v>
      </c>
      <c r="AJ7" s="120">
        <f t="shared" ref="AJ7:AJ31" si="14">(AA7+AC7)/2</f>
        <v>0</v>
      </c>
      <c r="AK7" s="119">
        <f t="shared" ref="AK7:AK31" si="15">(AE7+AG7)/2</f>
        <v>9.3851058530510581E-3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IF([1]Summ!$A1046="","",[1]Summ!$A1046)</f>
        <v>Own meat</v>
      </c>
      <c r="B8" s="215">
        <f>IF([1]Summ!E1046="",0,[1]Summ!E1046)</f>
        <v>0</v>
      </c>
      <c r="C8" s="215">
        <f>IF([1]Summ!F1046="",0,[1]Summ!F1046)</f>
        <v>0</v>
      </c>
      <c r="D8" s="24">
        <f t="shared" si="0"/>
        <v>0</v>
      </c>
      <c r="E8" s="26">
        <v>0.5</v>
      </c>
      <c r="F8" s="22" t="s">
        <v>23</v>
      </c>
      <c r="H8" s="24">
        <f t="shared" si="1"/>
        <v>0.5</v>
      </c>
      <c r="I8" s="22">
        <f t="shared" si="2"/>
        <v>0</v>
      </c>
      <c r="J8" s="24">
        <f t="shared" si="3"/>
        <v>0</v>
      </c>
      <c r="K8" s="22">
        <f t="shared" si="4"/>
        <v>0</v>
      </c>
      <c r="L8" s="22">
        <f t="shared" si="5"/>
        <v>0</v>
      </c>
      <c r="M8" s="223">
        <f t="shared" si="6"/>
        <v>0</v>
      </c>
      <c r="N8" s="228">
        <v>3</v>
      </c>
      <c r="O8" s="2"/>
      <c r="P8" s="22"/>
      <c r="Q8" s="59" t="s">
        <v>72</v>
      </c>
      <c r="R8" s="221">
        <f>IF($B$81=0,0,(SUMIF($N$6:$N$28,$U8,K$6:K$28)+SUMIF($N$91:$N$118,$U8,K$91:K$118))*$B$83*$H$84*Poor!$B$81/$B$81)</f>
        <v>3893.9208216150018</v>
      </c>
      <c r="S8" s="221">
        <f>IF($B$81=0,0,(SUMIF($N$6:$N$28,$U8,L$6:L$28)+SUMIF($N$91:$N$118,$U8,L$91:L$118))*$I$83*Poor!$B$81/$B$81)</f>
        <v>3820.599999999999</v>
      </c>
      <c r="T8" s="221">
        <f>IF($B$81=0,0,(SUMIF($N$6:$N$28,$U8,M$6:M$28)+SUMIF($N$91:$N$118,$U8,M$91:M$118))*$I$83*Poor!$B$81/$B$81)</f>
        <v>0</v>
      </c>
      <c r="U8" s="222">
        <v>2</v>
      </c>
      <c r="V8" s="184"/>
      <c r="W8" s="115"/>
      <c r="X8" s="124">
        <v>1</v>
      </c>
      <c r="Y8" s="183">
        <f t="shared" si="9"/>
        <v>0</v>
      </c>
      <c r="Z8" s="125">
        <f>IF($Y8=0,0,AA8/$Y8)</f>
        <v>0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1</v>
      </c>
      <c r="AG8" s="121">
        <f t="shared" si="11"/>
        <v>0</v>
      </c>
      <c r="AH8" s="123">
        <f t="shared" si="12"/>
        <v>1</v>
      </c>
      <c r="AI8" s="183">
        <f t="shared" si="13"/>
        <v>0</v>
      </c>
      <c r="AJ8" s="120">
        <f t="shared" si="14"/>
        <v>0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IF([1]Summ!$A1047="","",[1]Summ!$A1047)</f>
        <v>Green cons - Season 1: no of months</v>
      </c>
      <c r="B9" s="215">
        <f>IF([1]Summ!E1047="",0,[1]Summ!E1047)</f>
        <v>4.1666666666666664E-2</v>
      </c>
      <c r="C9" s="215">
        <f>IF([1]Summ!F1047="",0,[1]Summ!F1047)</f>
        <v>0</v>
      </c>
      <c r="D9" s="24">
        <f t="shared" si="0"/>
        <v>4.1666666666666664E-2</v>
      </c>
      <c r="E9" s="26">
        <v>1</v>
      </c>
      <c r="F9" s="28">
        <v>8800</v>
      </c>
      <c r="H9" s="24">
        <f t="shared" si="1"/>
        <v>1</v>
      </c>
      <c r="I9" s="22">
        <f t="shared" si="2"/>
        <v>4.1666666666666664E-2</v>
      </c>
      <c r="J9" s="24">
        <f t="shared" si="3"/>
        <v>4.1666666666666664E-2</v>
      </c>
      <c r="K9" s="22">
        <f t="shared" si="4"/>
        <v>4.1666666666666664E-2</v>
      </c>
      <c r="L9" s="22">
        <f t="shared" si="5"/>
        <v>4.1666666666666664E-2</v>
      </c>
      <c r="M9" s="223">
        <f t="shared" si="6"/>
        <v>4.1666666666666664E-2</v>
      </c>
      <c r="N9" s="228">
        <v>1</v>
      </c>
      <c r="O9" s="2"/>
      <c r="P9" s="22"/>
      <c r="Q9" s="59" t="s">
        <v>73</v>
      </c>
      <c r="R9" s="221">
        <f>IF($B$81=0,0,(SUMIF($N$6:$N$28,$U9,K$6:K$28)+SUMIF($N$91:$N$118,$U9,K$91:K$118))*$B$83*$H$84*Poor!$B$81/$B$81)</f>
        <v>264.98815561722739</v>
      </c>
      <c r="S9" s="221">
        <f>IF($B$81=0,0,(SUMIF($N$6:$N$28,$U9,L$6:L$28)+SUMIF($N$91:$N$118,$U9,L$91:L$118))*$I$83*Poor!$B$81/$B$81)</f>
        <v>150.18172241243082</v>
      </c>
      <c r="T9" s="221">
        <f>IF($B$81=0,0,(SUMIF($N$6:$N$28,$U9,M$6:M$28)+SUMIF($N$91:$N$118,$U9,M$91:M$118))*$I$83*Poor!$B$81/$B$81)</f>
        <v>150.18172241243082</v>
      </c>
      <c r="U9" s="222">
        <v>3</v>
      </c>
      <c r="V9" s="56"/>
      <c r="W9" s="115"/>
      <c r="X9" s="124">
        <v>1</v>
      </c>
      <c r="Y9" s="183">
        <f t="shared" si="9"/>
        <v>0.16666666666666666</v>
      </c>
      <c r="Z9" s="125">
        <f>IF($Y9=0,0,AA9/$Y9)</f>
        <v>0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1</v>
      </c>
      <c r="AG9" s="121">
        <f t="shared" si="11"/>
        <v>0.16666666666666666</v>
      </c>
      <c r="AH9" s="123">
        <f t="shared" si="12"/>
        <v>1</v>
      </c>
      <c r="AI9" s="183">
        <f t="shared" si="13"/>
        <v>4.1666666666666664E-2</v>
      </c>
      <c r="AJ9" s="120">
        <f t="shared" si="14"/>
        <v>0</v>
      </c>
      <c r="AK9" s="119">
        <f t="shared" si="15"/>
        <v>8.3333333333333329E-2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IF([1]Summ!$A1048="","",[1]Summ!$A1048)</f>
        <v>Maize: kg produced</v>
      </c>
      <c r="B10" s="215">
        <f>IF([1]Summ!E1048="",0,[1]Summ!E1048)</f>
        <v>0.24545473458904107</v>
      </c>
      <c r="C10" s="215">
        <f>IF([1]Summ!F1048="",0,[1]Summ!F1048)</f>
        <v>4.7316575342465722E-2</v>
      </c>
      <c r="D10" s="24">
        <f t="shared" si="0"/>
        <v>0.2927713099315068</v>
      </c>
      <c r="E10" s="26">
        <v>1.0900000000000001</v>
      </c>
      <c r="H10" s="24">
        <f t="shared" si="1"/>
        <v>1.0900000000000001</v>
      </c>
      <c r="I10" s="22">
        <f t="shared" si="2"/>
        <v>0.31912072782534245</v>
      </c>
      <c r="J10" s="24">
        <f t="shared" si="3"/>
        <v>0.31912072782534245</v>
      </c>
      <c r="K10" s="22">
        <f t="shared" si="4"/>
        <v>0.24545473458904107</v>
      </c>
      <c r="L10" s="22">
        <f t="shared" si="5"/>
        <v>0.26754566070205477</v>
      </c>
      <c r="M10" s="223">
        <f t="shared" si="6"/>
        <v>0.31912072782534245</v>
      </c>
      <c r="N10" s="228">
        <v>1</v>
      </c>
      <c r="O10" s="2"/>
      <c r="P10" s="22"/>
      <c r="Q10" s="59" t="s">
        <v>74</v>
      </c>
      <c r="R10" s="221">
        <f>IF($B$81=0,0,(SUMIF($N$6:$N$28,$U10,K$6:K$28)+SUMIF($N$91:$N$118,$U10,K$91:K$118))*$B$83*$H$84*Poor!$B$81/$B$81)</f>
        <v>0</v>
      </c>
      <c r="S10" s="221">
        <f>IF($B$81=0,0,(SUMIF($N$6:$N$28,$U10,L$6:L$28)+SUMIF($N$91:$N$118,$U10,L$91:L$118))*$I$83*Poor!$B$81/$B$81)</f>
        <v>0</v>
      </c>
      <c r="T10" s="221">
        <f>IF($B$81=0,0,(SUMIF($N$6:$N$28,$U10,M$6:M$28)+SUMIF($N$91:$N$118,$U10,M$91:M$118))*$I$83*Poor!$B$81/$B$81)</f>
        <v>0</v>
      </c>
      <c r="U10" s="222">
        <v>4</v>
      </c>
      <c r="V10" s="56"/>
      <c r="W10" s="115"/>
      <c r="X10" s="124">
        <v>1</v>
      </c>
      <c r="Y10" s="183">
        <f t="shared" si="9"/>
        <v>1.2764829113013698</v>
      </c>
      <c r="Z10" s="125">
        <f>IF($Y10=0,0,AA10/$Y10)</f>
        <v>0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1</v>
      </c>
      <c r="AG10" s="121">
        <f t="shared" si="11"/>
        <v>1.2764829113013698</v>
      </c>
      <c r="AH10" s="123">
        <f t="shared" si="12"/>
        <v>1</v>
      </c>
      <c r="AI10" s="183">
        <f t="shared" si="13"/>
        <v>0.31912072782534245</v>
      </c>
      <c r="AJ10" s="120">
        <f t="shared" si="14"/>
        <v>0</v>
      </c>
      <c r="AK10" s="119">
        <f t="shared" si="15"/>
        <v>0.63824145565068491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IF([1]Summ!$A1049="","",[1]Summ!$A1049)</f>
        <v>Maize (irrigated): kg produced</v>
      </c>
      <c r="B11" s="215">
        <f>IF([1]Summ!E1049="",0,[1]Summ!E1049)</f>
        <v>4.4359289383561637E-2</v>
      </c>
      <c r="C11" s="215">
        <f>IF([1]Summ!F1049="",0,[1]Summ!F1049)</f>
        <v>4.7316575342465764E-2</v>
      </c>
      <c r="D11" s="24">
        <f t="shared" si="0"/>
        <v>9.1675864726027401E-2</v>
      </c>
      <c r="E11" s="26">
        <v>1.0900000000000001</v>
      </c>
      <c r="H11" s="24">
        <f t="shared" si="1"/>
        <v>1.0900000000000001</v>
      </c>
      <c r="I11" s="22">
        <f t="shared" si="2"/>
        <v>9.9926692551369878E-2</v>
      </c>
      <c r="J11" s="24">
        <f t="shared" si="3"/>
        <v>9.9926692551369878E-2</v>
      </c>
      <c r="K11" s="22">
        <f t="shared" si="4"/>
        <v>4.4359289383561637E-2</v>
      </c>
      <c r="L11" s="22">
        <f t="shared" si="5"/>
        <v>4.835162542808219E-2</v>
      </c>
      <c r="M11" s="223">
        <f t="shared" si="6"/>
        <v>9.9926692551369878E-2</v>
      </c>
      <c r="N11" s="228">
        <v>1</v>
      </c>
      <c r="O11" s="2"/>
      <c r="P11" s="22"/>
      <c r="Q11" s="59" t="s">
        <v>75</v>
      </c>
      <c r="R11" s="221">
        <f>IF($B$81=0,0,(SUMIF($N$6:$N$28,$U11,K$6:K$28)+SUMIF($N$91:$N$118,$U11,K$91:K$118))*$B$83*$H$84*Poor!$B$81/$B$81)</f>
        <v>2911.3426703663563</v>
      </c>
      <c r="S11" s="221">
        <f>IF($B$81=0,0,(SUMIF($N$6:$N$28,$U11,L$6:L$28)+SUMIF($N$91:$N$118,$U11,L$91:L$118))*$I$83*Poor!$B$81/$B$81)</f>
        <v>1887.9999999999998</v>
      </c>
      <c r="T11" s="221">
        <f>IF($B$81=0,0,(SUMIF($N$6:$N$28,$U11,M$6:M$28)+SUMIF($N$91:$N$118,$U11,M$91:M$118))*$I$83*Poor!$B$81/$B$81)</f>
        <v>1887.9999999999998</v>
      </c>
      <c r="U11" s="222">
        <v>5</v>
      </c>
      <c r="V11" s="56"/>
      <c r="W11" s="115"/>
      <c r="X11" s="124">
        <v>1</v>
      </c>
      <c r="Y11" s="183">
        <f t="shared" si="9"/>
        <v>0.39970677020547951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0.39970677020547951</v>
      </c>
      <c r="AH11" s="123">
        <f t="shared" si="12"/>
        <v>1</v>
      </c>
      <c r="AI11" s="183">
        <f t="shared" si="13"/>
        <v>9.9926692551369878E-2</v>
      </c>
      <c r="AJ11" s="120">
        <f t="shared" si="14"/>
        <v>0</v>
      </c>
      <c r="AK11" s="119">
        <f t="shared" si="15"/>
        <v>0.19985338510273976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IF([1]Summ!$A1050="","",[1]Summ!$A1050)</f>
        <v>Cowpeas: kg produced</v>
      </c>
      <c r="B12" s="215">
        <f>IF([1]Summ!E1050="",0,[1]Summ!E1050)</f>
        <v>2.2159277708592774E-3</v>
      </c>
      <c r="C12" s="215">
        <f>IF([1]Summ!F1050="",0,[1]Summ!F1050)</f>
        <v>0</v>
      </c>
      <c r="D12" s="24">
        <f t="shared" si="0"/>
        <v>2.2159277708592774E-3</v>
      </c>
      <c r="E12" s="26">
        <v>1</v>
      </c>
      <c r="H12" s="24">
        <f t="shared" si="1"/>
        <v>1</v>
      </c>
      <c r="I12" s="22">
        <f t="shared" si="2"/>
        <v>2.2159277708592774E-3</v>
      </c>
      <c r="J12" s="24">
        <f t="shared" si="3"/>
        <v>2.2159277708592774E-3</v>
      </c>
      <c r="K12" s="22">
        <f t="shared" si="4"/>
        <v>2.2159277708592774E-3</v>
      </c>
      <c r="L12" s="22">
        <f t="shared" si="5"/>
        <v>2.2159277708592774E-3</v>
      </c>
      <c r="M12" s="223">
        <f t="shared" si="6"/>
        <v>2.2159277708592774E-3</v>
      </c>
      <c r="N12" s="228">
        <v>1</v>
      </c>
      <c r="O12" s="2"/>
      <c r="P12" s="22"/>
      <c r="Q12" s="126" t="s">
        <v>124</v>
      </c>
      <c r="R12" s="221">
        <f>IF($B$81=0,0,(SUMIF($N$6:$N$28,$U12,K$6:K$28)+SUMIF($N$91:$N$118,$U12,K$91:K$118))*$B$83*$H$84*Poor!$B$81/$B$81)</f>
        <v>3391.7142109768047</v>
      </c>
      <c r="S12" s="221">
        <f>IF($B$81=0,0,(SUMIF($N$6:$N$28,$U12,L$6:L$28)+SUMIF($N$91:$N$118,$U12,L$91:L$118))*$I$83*Poor!$B$81/$B$81)</f>
        <v>2749.3999999999996</v>
      </c>
      <c r="T12" s="221">
        <f>IF($B$81=0,0,(SUMIF($N$6:$N$28,$U12,M$6:M$28)+SUMIF($N$91:$N$118,$U12,M$91:M$118))*$I$83*Poor!$B$81/$B$81)</f>
        <v>5354.2499999999991</v>
      </c>
      <c r="U12" s="222">
        <v>6</v>
      </c>
      <c r="V12" s="56"/>
      <c r="W12" s="117"/>
      <c r="X12" s="118"/>
      <c r="Y12" s="183">
        <f t="shared" si="9"/>
        <v>8.8637110834371095E-3</v>
      </c>
      <c r="Z12" s="116">
        <v>0</v>
      </c>
      <c r="AA12" s="121">
        <f>$M12*Z12*4</f>
        <v>0</v>
      </c>
      <c r="AB12" s="116">
        <v>0</v>
      </c>
      <c r="AC12" s="121">
        <f>$M12*AB12*4</f>
        <v>0</v>
      </c>
      <c r="AD12" s="116">
        <v>0.67</v>
      </c>
      <c r="AE12" s="121">
        <f>$M12*AD12*4</f>
        <v>5.9386864259028636E-3</v>
      </c>
      <c r="AF12" s="122">
        <f>1-SUM(Z12,AB12,AD12)</f>
        <v>0.32999999999999996</v>
      </c>
      <c r="AG12" s="121">
        <f>$M12*AF12*4</f>
        <v>2.9250246575342458E-3</v>
      </c>
      <c r="AH12" s="123">
        <f t="shared" si="12"/>
        <v>1</v>
      </c>
      <c r="AI12" s="183">
        <f t="shared" si="13"/>
        <v>2.2159277708592774E-3</v>
      </c>
      <c r="AJ12" s="120">
        <f t="shared" si="14"/>
        <v>0</v>
      </c>
      <c r="AK12" s="119">
        <f t="shared" si="15"/>
        <v>4.4318555417185547E-3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IF([1]Summ!$A1051="","",[1]Summ!$A1051)</f>
        <v>Beans season 2: kg produced</v>
      </c>
      <c r="B13" s="215">
        <f>IF([1]Summ!E1051="",0,[1]Summ!E1051)</f>
        <v>7.1805835927770869E-3</v>
      </c>
      <c r="C13" s="215">
        <f>IF([1]Summ!F1051="",0,[1]Summ!F1051)</f>
        <v>0</v>
      </c>
      <c r="D13" s="24">
        <f t="shared" si="0"/>
        <v>7.1805835927770869E-3</v>
      </c>
      <c r="E13" s="26">
        <v>1</v>
      </c>
      <c r="H13" s="24">
        <f t="shared" si="1"/>
        <v>1</v>
      </c>
      <c r="I13" s="22">
        <f t="shared" si="2"/>
        <v>7.1805835927770869E-3</v>
      </c>
      <c r="J13" s="24">
        <f t="shared" si="3"/>
        <v>7.1805835927770869E-3</v>
      </c>
      <c r="K13" s="22">
        <f t="shared" si="4"/>
        <v>7.1805835927770869E-3</v>
      </c>
      <c r="L13" s="22">
        <f t="shared" si="5"/>
        <v>7.1805835927770869E-3</v>
      </c>
      <c r="M13" s="224">
        <f t="shared" si="6"/>
        <v>7.1805835927770869E-3</v>
      </c>
      <c r="N13" s="228">
        <v>1</v>
      </c>
      <c r="O13" s="2"/>
      <c r="P13" s="22"/>
      <c r="Q13" s="59" t="s">
        <v>76</v>
      </c>
      <c r="R13" s="221">
        <f>IF($B$81=0,0,(SUMIF($N$6:$N$28,$U13,K$6:K$28)+SUMIF($N$91:$N$118,$U13,K$91:K$118))*$B$83*$H$84*Poor!$B$81/$B$81)</f>
        <v>21404.918573139941</v>
      </c>
      <c r="S13" s="221">
        <f>IF($B$81=0,0,(SUMIF($N$6:$N$28,$U13,L$6:L$28)+SUMIF($N$91:$N$118,$U13,L$91:L$118))*$I$83*Poor!$B$81/$B$81)</f>
        <v>16656.524348169609</v>
      </c>
      <c r="T13" s="221">
        <f>IF($B$81=0,0,(SUMIF($N$6:$N$28,$U13,M$6:M$28)+SUMIF($N$91:$N$118,$U13,M$91:M$118))*$I$83*Poor!$B$81/$B$81)</f>
        <v>16656.524348169609</v>
      </c>
      <c r="U13" s="222">
        <v>7</v>
      </c>
      <c r="V13" s="56"/>
      <c r="W13" s="110"/>
      <c r="X13" s="118"/>
      <c r="Y13" s="183">
        <f t="shared" si="9"/>
        <v>2.8722334371108348E-2</v>
      </c>
      <c r="Z13" s="116">
        <v>1</v>
      </c>
      <c r="AA13" s="121">
        <f>$M13*Z13*4</f>
        <v>2.8722334371108348E-2</v>
      </c>
      <c r="AB13" s="116">
        <v>0</v>
      </c>
      <c r="AC13" s="121">
        <f>$M13*AB13*4</f>
        <v>0</v>
      </c>
      <c r="AD13" s="116"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7.1805835927770869E-3</v>
      </c>
      <c r="AJ13" s="120">
        <f t="shared" si="14"/>
        <v>1.4361167185554174E-2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IF([1]Summ!$A1052="","",[1]Summ!$A1052)</f>
        <v>Water melon: no. local meas</v>
      </c>
      <c r="B14" s="215">
        <f>IF([1]Summ!E1052="",0,[1]Summ!E1052)</f>
        <v>1.1168041718555417E-2</v>
      </c>
      <c r="C14" s="215">
        <f>IF([1]Summ!F1052="",0,[1]Summ!F1052)</f>
        <v>0</v>
      </c>
      <c r="D14" s="24">
        <f t="shared" si="0"/>
        <v>1.1168041718555417E-2</v>
      </c>
      <c r="E14" s="26">
        <v>1</v>
      </c>
      <c r="F14" s="22"/>
      <c r="H14" s="24">
        <f t="shared" si="1"/>
        <v>1</v>
      </c>
      <c r="I14" s="22">
        <f t="shared" si="2"/>
        <v>1.1168041718555417E-2</v>
      </c>
      <c r="J14" s="24">
        <f>IF(I$32&lt;=1+I131,I14,B14*H14+J$33*(I14-B14*H14))</f>
        <v>1.1168041718555417E-2</v>
      </c>
      <c r="K14" s="22">
        <f t="shared" si="4"/>
        <v>1.1168041718555417E-2</v>
      </c>
      <c r="L14" s="22">
        <f t="shared" si="5"/>
        <v>1.1168041718555417E-2</v>
      </c>
      <c r="M14" s="224">
        <f t="shared" si="6"/>
        <v>1.1168041718555417E-2</v>
      </c>
      <c r="N14" s="228">
        <v>1</v>
      </c>
      <c r="O14" s="2"/>
      <c r="P14" s="22"/>
      <c r="Q14" s="126" t="s">
        <v>77</v>
      </c>
      <c r="R14" s="221">
        <f>IF($B$81=0,0,(SUMIF($N$6:$N$28,$U14,K$6:K$28)+SUMIF($N$91:$N$118,$U14,K$91:K$118))*$B$83*$H$84*Poor!$B$81/$B$81)</f>
        <v>20961.667226637765</v>
      </c>
      <c r="S14" s="221">
        <f>IF($B$81=0,0,(SUMIF($N$6:$N$28,$U14,L$6:L$28)+SUMIF($N$91:$N$118,$U14,L$91:L$118))*$I$83*Poor!$B$81/$B$81)</f>
        <v>13593.599999999999</v>
      </c>
      <c r="T14" s="221">
        <f>IF($B$81=0,0,(SUMIF($N$6:$N$28,$U14,M$6:M$28)+SUMIF($N$91:$N$118,$U14,M$91:M$118))*$I$83*Poor!$B$81/$B$81)</f>
        <v>13593.599999999999</v>
      </c>
      <c r="U14" s="222">
        <v>8</v>
      </c>
      <c r="V14" s="56"/>
      <c r="W14" s="110"/>
      <c r="X14" s="118"/>
      <c r="Y14" s="183">
        <f>M14*4</f>
        <v>4.4672166874221667E-2</v>
      </c>
      <c r="Z14" s="116">
        <v>0</v>
      </c>
      <c r="AA14" s="121">
        <f t="shared" ref="AA14:AA29" si="16">$M14*Z14*4</f>
        <v>0</v>
      </c>
      <c r="AB14" s="116">
        <v>1</v>
      </c>
      <c r="AC14" s="121">
        <f t="shared" si="7"/>
        <v>4.4672166874221667E-2</v>
      </c>
      <c r="AD14" s="116"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1.1168041718555417E-2</v>
      </c>
      <c r="AJ14" s="120">
        <f t="shared" si="14"/>
        <v>2.2336083437110833E-2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IF([1]Summ!$A1053="","",[1]Summ!$A1053)</f>
        <v>Other root crops (sweet potato): no. local meas</v>
      </c>
      <c r="B15" s="215">
        <f>IF([1]Summ!E1053="",0,[1]Summ!E1053)</f>
        <v>2.0432157534246573E-2</v>
      </c>
      <c r="C15" s="215">
        <f>IF([1]Summ!F1053="",0,[1]Summ!F1053)</f>
        <v>4.6436721668742215E-2</v>
      </c>
      <c r="D15" s="24">
        <f t="shared" si="0"/>
        <v>6.6868879202988785E-2</v>
      </c>
      <c r="E15" s="26">
        <v>1</v>
      </c>
      <c r="F15" s="22"/>
      <c r="H15" s="24">
        <f t="shared" si="1"/>
        <v>1</v>
      </c>
      <c r="I15" s="22">
        <f t="shared" si="2"/>
        <v>6.6868879202988785E-2</v>
      </c>
      <c r="J15" s="24">
        <f>IF(I$32&lt;=1+I131,I15,B15*H15+J$33*(I15-B15*H15))</f>
        <v>6.6868879202988785E-2</v>
      </c>
      <c r="K15" s="22">
        <f t="shared" si="4"/>
        <v>2.0432157534246573E-2</v>
      </c>
      <c r="L15" s="22">
        <f t="shared" si="5"/>
        <v>2.0432157534246573E-2</v>
      </c>
      <c r="M15" s="225">
        <f t="shared" si="6"/>
        <v>6.6868879202988785E-2</v>
      </c>
      <c r="N15" s="228">
        <v>1</v>
      </c>
      <c r="O15" s="2"/>
      <c r="P15" s="22"/>
      <c r="Q15" s="59" t="s">
        <v>127</v>
      </c>
      <c r="R15" s="221">
        <f>IF($B$81=0,0,(SUMIF($N$6:$N$28,$U15,K$6:K$28)+SUMIF($N$91:$N$118,$U15,K$91:K$118))*$B$83*$H$84*Poor!$B$81/$B$81)</f>
        <v>0</v>
      </c>
      <c r="S15" s="221">
        <f>IF($B$81=0,0,(SUMIF($N$6:$N$28,$U15,L$6:L$28)+SUMIF($N$91:$N$118,$U15,L$91:L$118))*$I$83*Poor!$B$81/$B$81)</f>
        <v>0</v>
      </c>
      <c r="T15" s="221">
        <f>IF($B$81=0,0,(SUMIF($N$6:$N$28,$U15,M$6:M$28)+SUMIF($N$91:$N$118,$U15,M$91:M$118))*$I$83*Poor!$B$81/$B$81)</f>
        <v>0</v>
      </c>
      <c r="U15" s="222">
        <v>9</v>
      </c>
      <c r="V15" s="56"/>
      <c r="W15" s="110"/>
      <c r="X15" s="118"/>
      <c r="Y15" s="183">
        <f t="shared" si="9"/>
        <v>0.26747551681195514</v>
      </c>
      <c r="Z15" s="116">
        <v>0.25</v>
      </c>
      <c r="AA15" s="121">
        <f t="shared" si="16"/>
        <v>6.6868879202988785E-2</v>
      </c>
      <c r="AB15" s="116">
        <v>0.25</v>
      </c>
      <c r="AC15" s="121">
        <f t="shared" si="7"/>
        <v>6.6868879202988785E-2</v>
      </c>
      <c r="AD15" s="116">
        <v>0.25</v>
      </c>
      <c r="AE15" s="121">
        <f t="shared" si="8"/>
        <v>6.6868879202988785E-2</v>
      </c>
      <c r="AF15" s="122">
        <f t="shared" si="10"/>
        <v>0.25</v>
      </c>
      <c r="AG15" s="121">
        <f t="shared" si="11"/>
        <v>6.6868879202988785E-2</v>
      </c>
      <c r="AH15" s="123">
        <f t="shared" si="12"/>
        <v>1</v>
      </c>
      <c r="AI15" s="183">
        <f t="shared" si="13"/>
        <v>6.6868879202988785E-2</v>
      </c>
      <c r="AJ15" s="120">
        <f t="shared" si="14"/>
        <v>6.6868879202988785E-2</v>
      </c>
      <c r="AK15" s="119">
        <f t="shared" si="15"/>
        <v>6.6868879202988785E-2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IF([1]Summ!$A1054="","",[1]Summ!$A1054)</f>
        <v>Groundnuts (dry): no. local meas</v>
      </c>
      <c r="B16" s="215">
        <f>IF([1]Summ!E1054="",0,[1]Summ!E1054)</f>
        <v>2.2532689912826899E-2</v>
      </c>
      <c r="C16" s="215">
        <f>IF([1]Summ!F1054="",0,[1]Summ!F1054)</f>
        <v>3.3799034869240345E-2</v>
      </c>
      <c r="D16" s="24">
        <f t="shared" si="0"/>
        <v>5.6331724782067244E-2</v>
      </c>
      <c r="E16" s="26">
        <v>1</v>
      </c>
      <c r="F16" s="22"/>
      <c r="H16" s="24">
        <f t="shared" si="1"/>
        <v>1</v>
      </c>
      <c r="I16" s="22">
        <f t="shared" si="2"/>
        <v>5.6331724782067244E-2</v>
      </c>
      <c r="J16" s="24">
        <f>IF(I$32&lt;=1+I131,I16,B16*H16+J$33*(I16-B16*H16))</f>
        <v>5.6331724782067244E-2</v>
      </c>
      <c r="K16" s="22">
        <f t="shared" si="4"/>
        <v>2.2532689912826899E-2</v>
      </c>
      <c r="L16" s="22">
        <f t="shared" si="5"/>
        <v>2.2532689912826899E-2</v>
      </c>
      <c r="M16" s="223">
        <f t="shared" si="6"/>
        <v>5.6331724782067244E-2</v>
      </c>
      <c r="N16" s="228">
        <v>1</v>
      </c>
      <c r="O16" s="2"/>
      <c r="P16" s="22"/>
      <c r="Q16" s="126" t="s">
        <v>78</v>
      </c>
      <c r="R16" s="221">
        <f>IF($B$81=0,0,(SUMIF($N$6:$N$28,$U16,K$6:K$28)+SUMIF($N$91:$N$118,$U16,K$91:K$118))*$B$83*$H$84*Poor!$B$81/$B$81)</f>
        <v>9345.4099718760026</v>
      </c>
      <c r="S16" s="221">
        <f>IF($B$81=0,0,(SUMIF($N$6:$N$28,$U16,L$6:L$28)+SUMIF($N$91:$N$118,$U16,L$91:L$118))*$I$83*Poor!$B$81/$B$81)</f>
        <v>5136</v>
      </c>
      <c r="T16" s="221">
        <f>IF($B$81=0,0,(SUMIF($N$6:$N$28,$U16,M$6:M$28)+SUMIF($N$91:$N$118,$U16,M$91:M$118))*$I$83*Poor!$B$81/$B$81)</f>
        <v>6163.2</v>
      </c>
      <c r="U16" s="222">
        <v>10</v>
      </c>
      <c r="V16" s="56"/>
      <c r="W16" s="110"/>
      <c r="X16" s="118"/>
      <c r="Y16" s="183">
        <f t="shared" si="9"/>
        <v>0.22532689912826898</v>
      </c>
      <c r="Z16" s="116">
        <v>0</v>
      </c>
      <c r="AA16" s="121">
        <f t="shared" si="16"/>
        <v>0</v>
      </c>
      <c r="AB16" s="116">
        <v>0</v>
      </c>
      <c r="AC16" s="121">
        <f t="shared" si="7"/>
        <v>0</v>
      </c>
      <c r="AD16" s="116">
        <v>0</v>
      </c>
      <c r="AE16" s="121">
        <f t="shared" si="8"/>
        <v>0</v>
      </c>
      <c r="AF16" s="122">
        <f t="shared" si="10"/>
        <v>1</v>
      </c>
      <c r="AG16" s="121">
        <f t="shared" si="11"/>
        <v>0.22532689912826898</v>
      </c>
      <c r="AH16" s="123">
        <f t="shared" si="12"/>
        <v>1</v>
      </c>
      <c r="AI16" s="183">
        <f t="shared" si="13"/>
        <v>5.6331724782067244E-2</v>
      </c>
      <c r="AJ16" s="120">
        <f t="shared" si="14"/>
        <v>0</v>
      </c>
      <c r="AK16" s="119">
        <f t="shared" si="15"/>
        <v>0.11266344956413449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IF([1]Summ!$A1055="","",[1]Summ!$A1055)</f>
        <v>Other crop: Rape</v>
      </c>
      <c r="B17" s="215">
        <f>IF([1]Summ!E1055="",0,[1]Summ!E1055)</f>
        <v>2.072890722291407E-2</v>
      </c>
      <c r="C17" s="215">
        <f>IF([1]Summ!F1055="",0,[1]Summ!F1055)</f>
        <v>2.7377801992528039E-3</v>
      </c>
      <c r="D17" s="24">
        <f>SUM(B17,C17)</f>
        <v>2.3466687422166874E-2</v>
      </c>
      <c r="E17" s="26">
        <v>1</v>
      </c>
      <c r="F17" s="22"/>
      <c r="H17" s="24">
        <f t="shared" si="1"/>
        <v>1</v>
      </c>
      <c r="I17" s="22">
        <f t="shared" si="2"/>
        <v>2.3466687422166874E-2</v>
      </c>
      <c r="J17" s="24">
        <f t="shared" ref="J17:J25" si="17">IF(I$32&lt;=1+I131,I17,B17*H17+J$33*(I17-B17*H17))</f>
        <v>2.3466687422166874E-2</v>
      </c>
      <c r="K17" s="22">
        <f t="shared" si="4"/>
        <v>2.072890722291407E-2</v>
      </c>
      <c r="L17" s="22">
        <f t="shared" si="5"/>
        <v>2.072890722291407E-2</v>
      </c>
      <c r="M17" s="224">
        <f t="shared" si="6"/>
        <v>2.3466687422166874E-2</v>
      </c>
      <c r="N17" s="228">
        <v>1</v>
      </c>
      <c r="O17" s="2"/>
      <c r="P17" s="22"/>
      <c r="Q17" s="126" t="s">
        <v>125</v>
      </c>
      <c r="R17" s="221">
        <f>IF($B$81=0,0,(SUMIF($N$6:$N$28,$U17,K$6:K$28)+SUMIF($N$91:$N$118,$U17,K$91:K$118))*$B$83*$H$84*Poor!$B$81/$B$81)</f>
        <v>1397.4444817758508</v>
      </c>
      <c r="S17" s="221">
        <f>IF($B$81=0,0,(SUMIF($N$6:$N$28,$U17,L$6:L$28)+SUMIF($N$91:$N$118,$U17,L$91:L$118))*$I$83*Poor!$B$81/$B$81)</f>
        <v>906.24</v>
      </c>
      <c r="T17" s="221">
        <f>IF($B$81=0,0,(SUMIF($N$6:$N$28,$U17,M$6:M$28)+SUMIF($N$91:$N$118,$U17,M$91:M$118))*$I$83*Poor!$B$81/$B$81)</f>
        <v>906.24</v>
      </c>
      <c r="U17" s="222">
        <v>11</v>
      </c>
      <c r="V17" s="56"/>
      <c r="W17" s="110"/>
      <c r="X17" s="118"/>
      <c r="Y17" s="183">
        <f t="shared" si="9"/>
        <v>9.3866749688667497E-2</v>
      </c>
      <c r="Z17" s="116">
        <v>0.29409999999999997</v>
      </c>
      <c r="AA17" s="121">
        <f t="shared" si="16"/>
        <v>2.760621108343711E-2</v>
      </c>
      <c r="AB17" s="116">
        <v>0.17649999999999999</v>
      </c>
      <c r="AC17" s="121">
        <f t="shared" si="7"/>
        <v>1.6567481320049812E-2</v>
      </c>
      <c r="AD17" s="116">
        <v>0.23530000000000001</v>
      </c>
      <c r="AE17" s="121">
        <f t="shared" si="8"/>
        <v>2.2086846201743462E-2</v>
      </c>
      <c r="AF17" s="122">
        <f t="shared" si="10"/>
        <v>0.29410000000000003</v>
      </c>
      <c r="AG17" s="121">
        <f t="shared" si="11"/>
        <v>2.7606211083437113E-2</v>
      </c>
      <c r="AH17" s="123">
        <f t="shared" si="12"/>
        <v>1</v>
      </c>
      <c r="AI17" s="183">
        <f t="shared" si="13"/>
        <v>2.3466687422166874E-2</v>
      </c>
      <c r="AJ17" s="120">
        <f t="shared" si="14"/>
        <v>2.2086846201743462E-2</v>
      </c>
      <c r="AK17" s="119">
        <f t="shared" si="15"/>
        <v>2.4846528642590286E-2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IF([1]Summ!$A1056="","",[1]Summ!$A1056)</f>
        <v>WILD FOODS -- see worksheet Data 3</v>
      </c>
      <c r="B18" s="215">
        <f>IF([1]Summ!E1056="",0,[1]Summ!E1056)</f>
        <v>0</v>
      </c>
      <c r="C18" s="215">
        <f>IF([1]Summ!F1056="",0,[1]Summ!F1056)</f>
        <v>0</v>
      </c>
      <c r="D18" s="24">
        <f t="shared" ref="D18:D20" si="18">SUM(B18,C18)</f>
        <v>0</v>
      </c>
      <c r="E18" s="26">
        <v>1</v>
      </c>
      <c r="F18" s="22"/>
      <c r="H18" s="24">
        <f t="shared" ref="H18:H20" si="19">(E18*F$7/F$9)</f>
        <v>1</v>
      </c>
      <c r="I18" s="22">
        <f t="shared" ref="I18:I20" si="20">(D18*H18)</f>
        <v>0</v>
      </c>
      <c r="J18" s="24">
        <f t="shared" si="17"/>
        <v>0</v>
      </c>
      <c r="K18" s="22">
        <f t="shared" ref="K18:K20" si="21">B18</f>
        <v>0</v>
      </c>
      <c r="L18" s="22">
        <f t="shared" ref="L18:L20" si="22">IF(K18="","",K18*H18)</f>
        <v>0</v>
      </c>
      <c r="M18" s="224">
        <f t="shared" ref="M18:M20" si="23">J18</f>
        <v>0</v>
      </c>
      <c r="N18" s="228">
        <v>6</v>
      </c>
      <c r="O18" s="2"/>
      <c r="P18" s="22"/>
      <c r="Q18" s="59" t="s">
        <v>79</v>
      </c>
      <c r="R18" s="221">
        <f>IF($B$81=0,0,(SUMIF($N$6:$N$28,$U18,K$6:K$28)+SUMIF($N$91:$N$118,$U18,K$91:K$118))*$B$83*$H$84*Poor!$B$81/$B$81)</f>
        <v>840.32640377186965</v>
      </c>
      <c r="S18" s="221">
        <f>IF($B$81=0,0,(SUMIF($N$6:$N$28,$U18,L$6:L$28)+SUMIF($N$91:$N$118,$U18,L$91:L$118))*$I$83*Poor!$B$81/$B$81)</f>
        <v>952.50798220128877</v>
      </c>
      <c r="T18" s="221">
        <f>IF($B$81=0,0,(SUMIF($N$6:$N$28,$U18,M$6:M$28)+SUMIF($N$91:$N$118,$U18,M$91:M$118))*$I$83*Poor!$B$81/$B$81)</f>
        <v>952.50798220128877</v>
      </c>
      <c r="U18" s="222">
        <v>12</v>
      </c>
      <c r="V18" s="56"/>
      <c r="W18" s="110"/>
      <c r="X18" s="118"/>
      <c r="Y18" s="183">
        <f t="shared" ref="Y18:Y20" si="24">M18*4</f>
        <v>0</v>
      </c>
      <c r="Z18" s="116">
        <v>1.2941</v>
      </c>
      <c r="AA18" s="121">
        <f t="shared" ref="AA18:AA20" si="25">$M18*Z18*4</f>
        <v>0</v>
      </c>
      <c r="AB18" s="116">
        <v>1.1765000000000001</v>
      </c>
      <c r="AC18" s="121">
        <f t="shared" ref="AC18:AC20" si="26">$M18*AB18*4</f>
        <v>0</v>
      </c>
      <c r="AD18" s="116">
        <v>1.2353000000000001</v>
      </c>
      <c r="AE18" s="121">
        <f t="shared" ref="AE18:AE20" si="27">$M18*AD18*4</f>
        <v>0</v>
      </c>
      <c r="AF18" s="122">
        <f t="shared" ref="AF18:AF20" si="28">1-SUM(Z18,AB18,AD18)</f>
        <v>-2.7059000000000002</v>
      </c>
      <c r="AG18" s="121">
        <f t="shared" ref="AG18:AG20" si="29">$M18*AF18*4</f>
        <v>0</v>
      </c>
      <c r="AH18" s="123">
        <f t="shared" ref="AH18:AH20" si="30">SUM(Z18,AB18,AD18,AF18)</f>
        <v>1</v>
      </c>
      <c r="AI18" s="183">
        <f t="shared" ref="AI18:AI20" si="31">SUM(AA18,AC18,AE18,AG18)/4</f>
        <v>0</v>
      </c>
      <c r="AJ18" s="120">
        <f t="shared" ref="AJ18:AJ20" si="32">(AA18+AC18)/2</f>
        <v>0</v>
      </c>
      <c r="AK18" s="119">
        <f t="shared" ref="AK18:AK20" si="33">(AE18+AG18)/2</f>
        <v>0</v>
      </c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IF([1]Summ!$A1057="","",[1]Summ!$A1057)</f>
        <v>Labour: Weeding, ploughing</v>
      </c>
      <c r="B19" s="215">
        <f>IF([1]Summ!E1057="",0,[1]Summ!E1057)</f>
        <v>7.9846720890410949E-2</v>
      </c>
      <c r="C19" s="215">
        <f>IF([1]Summ!F1057="",0,[1]Summ!F1057)</f>
        <v>0</v>
      </c>
      <c r="D19" s="24">
        <f t="shared" si="18"/>
        <v>7.9846720890410949E-2</v>
      </c>
      <c r="E19" s="26">
        <v>1</v>
      </c>
      <c r="F19" s="22"/>
      <c r="H19" s="24">
        <f t="shared" si="19"/>
        <v>1</v>
      </c>
      <c r="I19" s="22">
        <f t="shared" si="20"/>
        <v>7.9846720890410949E-2</v>
      </c>
      <c r="J19" s="24">
        <f t="shared" si="17"/>
        <v>7.9846720890410949E-2</v>
      </c>
      <c r="K19" s="22">
        <f t="shared" si="21"/>
        <v>7.9846720890410949E-2</v>
      </c>
      <c r="L19" s="22">
        <f t="shared" si="22"/>
        <v>7.9846720890410949E-2</v>
      </c>
      <c r="M19" s="224">
        <f t="shared" si="23"/>
        <v>7.9846720890410949E-2</v>
      </c>
      <c r="N19" s="228">
        <v>7</v>
      </c>
      <c r="O19" s="2"/>
      <c r="P19" s="22"/>
      <c r="Q19" s="59" t="s">
        <v>80</v>
      </c>
      <c r="R19" s="221">
        <f>IF($B$81=0,0,(SUMIF($N$6:$N$28,$U19,K$6:K$28)+SUMIF($N$91:$N$118,$U19,K$91:K$118))*$B$83*$H$84*Poor!$B$81/$B$81)</f>
        <v>79.938093611196948</v>
      </c>
      <c r="S19" s="221">
        <f>IF($B$81=0,0,(SUMIF($N$6:$N$28,$U19,L$6:L$28)+SUMIF($N$91:$N$118,$U19,L$91:L$118))*$I$83*Poor!$B$81/$B$81)</f>
        <v>90.60963918883327</v>
      </c>
      <c r="T19" s="221">
        <f>IF($B$81=0,0,(SUMIF($N$6:$N$28,$U19,M$6:M$28)+SUMIF($N$91:$N$118,$U19,M$91:M$118))*$I$83*Poor!$B$81/$B$81)</f>
        <v>90.60963918883327</v>
      </c>
      <c r="U19" s="222">
        <v>13</v>
      </c>
      <c r="V19" s="56"/>
      <c r="W19" s="110"/>
      <c r="X19" s="118"/>
      <c r="Y19" s="183">
        <f t="shared" si="24"/>
        <v>0.3193868835616438</v>
      </c>
      <c r="Z19" s="116">
        <v>2.2940999999999998</v>
      </c>
      <c r="AA19" s="121">
        <f t="shared" si="25"/>
        <v>0.73270544957876693</v>
      </c>
      <c r="AB19" s="116">
        <v>2.1764999999999999</v>
      </c>
      <c r="AC19" s="121">
        <f t="shared" si="26"/>
        <v>0.69514555207191764</v>
      </c>
      <c r="AD19" s="116">
        <v>2.2353000000000001</v>
      </c>
      <c r="AE19" s="121">
        <f t="shared" si="27"/>
        <v>0.71392550082534245</v>
      </c>
      <c r="AF19" s="122">
        <f t="shared" si="28"/>
        <v>-5.7058999999999997</v>
      </c>
      <c r="AG19" s="121">
        <f t="shared" si="29"/>
        <v>-1.8223896189143833</v>
      </c>
      <c r="AH19" s="123">
        <f t="shared" si="30"/>
        <v>1</v>
      </c>
      <c r="AI19" s="183">
        <f t="shared" si="31"/>
        <v>7.9846720890410949E-2</v>
      </c>
      <c r="AJ19" s="120">
        <f t="shared" si="32"/>
        <v>0.71392550082534223</v>
      </c>
      <c r="AK19" s="119">
        <f t="shared" si="33"/>
        <v>-0.55423205904452044</v>
      </c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IF([1]Summ!$A1058="","",[1]Summ!$A1058)</f>
        <v>Gifts/remittances: cereal</v>
      </c>
      <c r="B20" s="215">
        <f>IF([1]Summ!E1058="",0,[1]Summ!E1058)</f>
        <v>7.0779339975093397E-3</v>
      </c>
      <c r="C20" s="215">
        <f>IF([1]Summ!F1058="",0,[1]Summ!F1058)</f>
        <v>0</v>
      </c>
      <c r="D20" s="24">
        <f t="shared" si="18"/>
        <v>7.0779339975093397E-3</v>
      </c>
      <c r="E20" s="26">
        <v>1</v>
      </c>
      <c r="F20" s="22"/>
      <c r="H20" s="24">
        <f t="shared" si="19"/>
        <v>1</v>
      </c>
      <c r="I20" s="22">
        <f t="shared" si="20"/>
        <v>7.0779339975093397E-3</v>
      </c>
      <c r="J20" s="24">
        <f t="shared" si="17"/>
        <v>7.0779339975093397E-3</v>
      </c>
      <c r="K20" s="22">
        <f t="shared" si="21"/>
        <v>7.0779339975093397E-3</v>
      </c>
      <c r="L20" s="22">
        <f t="shared" si="22"/>
        <v>7.0779339975093397E-3</v>
      </c>
      <c r="M20" s="224">
        <f t="shared" si="23"/>
        <v>7.0779339975093397E-3</v>
      </c>
      <c r="N20" s="228">
        <v>13</v>
      </c>
      <c r="O20" s="2"/>
      <c r="P20" s="22"/>
      <c r="Q20" s="59" t="s">
        <v>81</v>
      </c>
      <c r="R20" s="221">
        <f>IF($B$81=0,0,(SUMIF($N$6:$N$28,$U20,K$6:K$28)+SUMIF($N$91:$N$118,$U20,K$91:K$118))*$B$83*$H$84*Poor!$B$81/$B$81)</f>
        <v>29433.674397403858</v>
      </c>
      <c r="S20" s="221">
        <f>IF($B$81=0,0,(SUMIF($N$6:$N$28,$U20,L$6:L$28)+SUMIF($N$91:$N$118,$U20,L$91:L$118))*$I$83*Poor!$B$81/$B$81)</f>
        <v>0</v>
      </c>
      <c r="T20" s="221">
        <f>IF($B$81=0,0,(SUMIF($N$6:$N$28,$U20,M$6:M$28)+SUMIF($N$91:$N$118,$U20,M$91:M$118))*$I$83*Poor!$B$81/$B$81)</f>
        <v>0</v>
      </c>
      <c r="U20" s="222">
        <v>14</v>
      </c>
      <c r="V20" s="56"/>
      <c r="W20" s="110"/>
      <c r="X20" s="118"/>
      <c r="Y20" s="183">
        <f t="shared" si="24"/>
        <v>2.8311735990037359E-2</v>
      </c>
      <c r="Z20" s="116">
        <v>3.2940999999999998</v>
      </c>
      <c r="AA20" s="121">
        <f t="shared" si="25"/>
        <v>9.326168952478206E-2</v>
      </c>
      <c r="AB20" s="116">
        <v>3.1764999999999999</v>
      </c>
      <c r="AC20" s="121">
        <f t="shared" si="26"/>
        <v>8.9932229372353664E-2</v>
      </c>
      <c r="AD20" s="116">
        <v>3.2353000000000001</v>
      </c>
      <c r="AE20" s="121">
        <f t="shared" si="27"/>
        <v>9.1596959448567869E-2</v>
      </c>
      <c r="AF20" s="122">
        <f t="shared" si="28"/>
        <v>-8.7058999999999997</v>
      </c>
      <c r="AG20" s="121">
        <f t="shared" si="29"/>
        <v>-0.24647914235566623</v>
      </c>
      <c r="AH20" s="123">
        <f t="shared" si="30"/>
        <v>1</v>
      </c>
      <c r="AI20" s="183">
        <f t="shared" si="31"/>
        <v>7.0779339975093405E-3</v>
      </c>
      <c r="AJ20" s="120">
        <f t="shared" si="32"/>
        <v>9.1596959448567855E-2</v>
      </c>
      <c r="AK20" s="119">
        <f t="shared" si="33"/>
        <v>-7.7441091453549188E-2</v>
      </c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IF([1]Summ!$A1059="","",[1]Summ!$A1059)</f>
        <v/>
      </c>
      <c r="B21" s="215">
        <f>IF([1]Summ!E1059="",0,[1]Summ!E1059)</f>
        <v>0</v>
      </c>
      <c r="C21" s="215">
        <f>IF([1]Summ!F1059="",0,[1]Summ!F1059)</f>
        <v>0</v>
      </c>
      <c r="D21" s="24">
        <f t="shared" ref="D21:D25" si="34">SUM(B21,C21)</f>
        <v>0</v>
      </c>
      <c r="E21" s="26">
        <v>1</v>
      </c>
      <c r="F21" s="22"/>
      <c r="H21" s="24">
        <f t="shared" ref="H21:H25" si="35">(E21*F$7/F$9)</f>
        <v>1</v>
      </c>
      <c r="I21" s="22">
        <f t="shared" ref="I21:I25" si="36">(D21*H21)</f>
        <v>0</v>
      </c>
      <c r="J21" s="24">
        <f t="shared" si="17"/>
        <v>0</v>
      </c>
      <c r="K21" s="22">
        <f t="shared" ref="K21:K25" si="37">B21</f>
        <v>0</v>
      </c>
      <c r="L21" s="22">
        <f t="shared" ref="L21:L25" si="38">IF(K21="","",K21*H21)</f>
        <v>0</v>
      </c>
      <c r="M21" s="224">
        <f t="shared" ref="M21:M25" si="39">J21</f>
        <v>0</v>
      </c>
      <c r="N21" s="228"/>
      <c r="O21" s="2"/>
      <c r="P21" s="22"/>
      <c r="Q21" s="59" t="s">
        <v>82</v>
      </c>
      <c r="R21" s="221">
        <f>IF($B$81=0,0,(SUMIF($N$6:$N$28,$U21,K$6:K$28)+SUMIF($N$91:$N$118,$U21,K$91:K$118))*$B$83*$H$84*Poor!$B$81/$B$81)</f>
        <v>6987.2224088792545</v>
      </c>
      <c r="S21" s="221">
        <f>IF($B$81=0,0,(SUMIF($N$6:$N$28,$U21,L$6:L$28)+SUMIF($N$91:$N$118,$U21,L$91:L$118))*$I$83*Poor!$B$81/$B$81)</f>
        <v>5327.9999999999991</v>
      </c>
      <c r="T21" s="221">
        <f>IF($B$81=0,0,(SUMIF($N$6:$N$28,$U21,M$6:M$28)+SUMIF($N$91:$N$118,$U21,M$91:M$118))*$I$83*Poor!$B$81/$B$81)</f>
        <v>5327.9999999999991</v>
      </c>
      <c r="U21" s="222">
        <v>15</v>
      </c>
      <c r="V21" s="56"/>
      <c r="W21" s="110"/>
      <c r="X21" s="118"/>
      <c r="Y21" s="183">
        <f t="shared" ref="Y21:Y25" si="40">M21*4</f>
        <v>0</v>
      </c>
      <c r="Z21" s="116">
        <v>4.2941000000000003</v>
      </c>
      <c r="AA21" s="121">
        <f t="shared" ref="AA21:AA25" si="41">$M21*Z21*4</f>
        <v>0</v>
      </c>
      <c r="AB21" s="116">
        <v>4.1764999999999999</v>
      </c>
      <c r="AC21" s="121">
        <f t="shared" ref="AC21:AC25" si="42">$M21*AB21*4</f>
        <v>0</v>
      </c>
      <c r="AD21" s="116">
        <v>4.2352999999999996</v>
      </c>
      <c r="AE21" s="121">
        <f t="shared" ref="AE21:AE25" si="43">$M21*AD21*4</f>
        <v>0</v>
      </c>
      <c r="AF21" s="122">
        <f t="shared" ref="AF21:AF25" si="44">1-SUM(Z21,AB21,AD21)</f>
        <v>-11.7059</v>
      </c>
      <c r="AG21" s="121">
        <f t="shared" ref="AG21:AG25" si="45">$M21*AF21*4</f>
        <v>0</v>
      </c>
      <c r="AH21" s="123">
        <f t="shared" ref="AH21:AH25" si="46">SUM(Z21,AB21,AD21,AF21)</f>
        <v>1</v>
      </c>
      <c r="AI21" s="183">
        <f t="shared" ref="AI21:AI25" si="47">SUM(AA21,AC21,AE21,AG21)/4</f>
        <v>0</v>
      </c>
      <c r="AJ21" s="120">
        <f t="shared" ref="AJ21:AJ25" si="48">(AA21+AC21)/2</f>
        <v>0</v>
      </c>
      <c r="AK21" s="119">
        <f t="shared" ref="AK21:AK25" si="49">(AE21+AG21)/2</f>
        <v>0</v>
      </c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IF([1]Summ!$A1060="","",[1]Summ!$A1060)</f>
        <v/>
      </c>
      <c r="B22" s="215">
        <f>IF([1]Summ!E1060="",0,[1]Summ!E1060)</f>
        <v>0</v>
      </c>
      <c r="C22" s="215">
        <f>IF([1]Summ!F1060="",0,[1]Summ!F1060)</f>
        <v>0</v>
      </c>
      <c r="D22" s="24">
        <f t="shared" si="34"/>
        <v>0</v>
      </c>
      <c r="E22" s="26">
        <v>1</v>
      </c>
      <c r="F22" s="22"/>
      <c r="H22" s="24">
        <f t="shared" si="35"/>
        <v>1</v>
      </c>
      <c r="I22" s="22">
        <f t="shared" si="36"/>
        <v>0</v>
      </c>
      <c r="J22" s="24">
        <f t="shared" si="17"/>
        <v>0</v>
      </c>
      <c r="K22" s="22">
        <f t="shared" si="37"/>
        <v>0</v>
      </c>
      <c r="L22" s="22">
        <f t="shared" si="38"/>
        <v>0</v>
      </c>
      <c r="M22" s="224">
        <f t="shared" si="39"/>
        <v>0</v>
      </c>
      <c r="N22" s="228"/>
      <c r="O22" s="2"/>
      <c r="P22" s="22"/>
      <c r="Q22" s="59" t="s">
        <v>83</v>
      </c>
      <c r="R22" s="221">
        <f>IF($B$81=0,0,(SUMIF($N$6:$N$28,$U22,K$6:K$28)+SUMIF($N$91:$N$118,$U22,K$91:K$118))*$B$83*$H$84*Poor!$B$81/$B$81)</f>
        <v>0</v>
      </c>
      <c r="S22" s="221">
        <f>IF($B$81=0,0,(SUMIF($N$6:$N$28,$U22,L$6:L$28)+SUMIF($N$91:$N$118,$U22,L$91:L$118))*$I$83*Poor!$B$81/$B$81)</f>
        <v>0</v>
      </c>
      <c r="T22" s="221">
        <f>IF($B$81=0,0,(SUMIF($N$6:$N$28,$U22,M$6:M$28)+SUMIF($N$91:$N$118,$U22,M$91:M$118))*$I$83*Poor!$B$81/$B$81)</f>
        <v>0</v>
      </c>
      <c r="U22" s="222">
        <v>16</v>
      </c>
      <c r="V22" s="56"/>
      <c r="W22" s="110"/>
      <c r="X22" s="118"/>
      <c r="Y22" s="183">
        <f t="shared" si="40"/>
        <v>0</v>
      </c>
      <c r="Z22" s="116">
        <v>5.2941000000000003</v>
      </c>
      <c r="AA22" s="121">
        <f t="shared" si="41"/>
        <v>0</v>
      </c>
      <c r="AB22" s="116">
        <v>5.1764999999999999</v>
      </c>
      <c r="AC22" s="121">
        <f t="shared" si="42"/>
        <v>0</v>
      </c>
      <c r="AD22" s="116">
        <v>5.2352999999999996</v>
      </c>
      <c r="AE22" s="121">
        <f t="shared" si="43"/>
        <v>0</v>
      </c>
      <c r="AF22" s="122">
        <f t="shared" si="44"/>
        <v>-14.7059</v>
      </c>
      <c r="AG22" s="121">
        <f t="shared" si="45"/>
        <v>0</v>
      </c>
      <c r="AH22" s="123">
        <f t="shared" si="46"/>
        <v>1</v>
      </c>
      <c r="AI22" s="183">
        <f t="shared" si="47"/>
        <v>0</v>
      </c>
      <c r="AJ22" s="120">
        <f t="shared" si="48"/>
        <v>0</v>
      </c>
      <c r="AK22" s="119">
        <f t="shared" si="49"/>
        <v>0</v>
      </c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IF([1]Summ!$A1061="","",[1]Summ!$A1061)</f>
        <v/>
      </c>
      <c r="B23" s="215">
        <f>IF([1]Summ!E1061="",0,[1]Summ!E1061)</f>
        <v>0</v>
      </c>
      <c r="C23" s="215">
        <f>IF([1]Summ!F1061="",0,[1]Summ!F1061)</f>
        <v>0</v>
      </c>
      <c r="D23" s="24">
        <f t="shared" si="34"/>
        <v>0</v>
      </c>
      <c r="E23" s="26">
        <v>1</v>
      </c>
      <c r="F23" s="22"/>
      <c r="H23" s="24">
        <f t="shared" si="35"/>
        <v>1</v>
      </c>
      <c r="I23" s="22">
        <f t="shared" si="36"/>
        <v>0</v>
      </c>
      <c r="J23" s="24">
        <f t="shared" si="17"/>
        <v>0</v>
      </c>
      <c r="K23" s="22">
        <f t="shared" si="37"/>
        <v>0</v>
      </c>
      <c r="L23" s="22">
        <f t="shared" si="38"/>
        <v>0</v>
      </c>
      <c r="M23" s="224">
        <f t="shared" si="39"/>
        <v>0</v>
      </c>
      <c r="N23" s="228"/>
      <c r="O23" s="2"/>
      <c r="P23" s="22"/>
      <c r="Q23" s="171" t="s">
        <v>100</v>
      </c>
      <c r="R23" s="179">
        <f>SUM(R7:R22)</f>
        <v>105607.91820347664</v>
      </c>
      <c r="S23" s="179">
        <f>SUM(S7:S22)</f>
        <v>56927.742941655109</v>
      </c>
      <c r="T23" s="179">
        <f>SUM(T7:T22)</f>
        <v>59121.893695615043</v>
      </c>
      <c r="U23" s="56"/>
      <c r="V23" s="56"/>
      <c r="W23" s="110"/>
      <c r="X23" s="118"/>
      <c r="Y23" s="183">
        <f t="shared" si="40"/>
        <v>0</v>
      </c>
      <c r="Z23" s="116">
        <v>6.2941000000000003</v>
      </c>
      <c r="AA23" s="121">
        <f t="shared" si="41"/>
        <v>0</v>
      </c>
      <c r="AB23" s="116">
        <v>6.1764999999999999</v>
      </c>
      <c r="AC23" s="121">
        <f t="shared" si="42"/>
        <v>0</v>
      </c>
      <c r="AD23" s="116">
        <v>6.2352999999999996</v>
      </c>
      <c r="AE23" s="121">
        <f t="shared" si="43"/>
        <v>0</v>
      </c>
      <c r="AF23" s="122">
        <f t="shared" si="44"/>
        <v>-17.7059</v>
      </c>
      <c r="AG23" s="121">
        <f t="shared" si="45"/>
        <v>0</v>
      </c>
      <c r="AH23" s="123">
        <f t="shared" si="46"/>
        <v>1</v>
      </c>
      <c r="AI23" s="183">
        <f t="shared" si="47"/>
        <v>0</v>
      </c>
      <c r="AJ23" s="120">
        <f t="shared" si="48"/>
        <v>0</v>
      </c>
      <c r="AK23" s="119">
        <f t="shared" si="49"/>
        <v>0</v>
      </c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IF([1]Summ!$A1062="","",[1]Summ!$A1062)</f>
        <v/>
      </c>
      <c r="B24" s="215">
        <f>IF([1]Summ!E1062="",0,[1]Summ!E1062)</f>
        <v>0</v>
      </c>
      <c r="C24" s="215">
        <f>IF([1]Summ!F1062="",0,[1]Summ!F1062)</f>
        <v>0</v>
      </c>
      <c r="D24" s="24">
        <f t="shared" si="34"/>
        <v>0</v>
      </c>
      <c r="E24" s="26">
        <v>1</v>
      </c>
      <c r="F24" s="22"/>
      <c r="H24" s="24">
        <f t="shared" si="35"/>
        <v>1</v>
      </c>
      <c r="I24" s="22">
        <f t="shared" si="36"/>
        <v>0</v>
      </c>
      <c r="J24" s="24">
        <f t="shared" si="17"/>
        <v>0</v>
      </c>
      <c r="K24" s="22">
        <f t="shared" si="37"/>
        <v>0</v>
      </c>
      <c r="L24" s="22">
        <f t="shared" si="38"/>
        <v>0</v>
      </c>
      <c r="M24" s="224">
        <f t="shared" si="39"/>
        <v>0</v>
      </c>
      <c r="N24" s="228"/>
      <c r="O24" s="2"/>
      <c r="P24" s="22"/>
      <c r="Q24" s="59" t="s">
        <v>137</v>
      </c>
      <c r="R24" s="41">
        <f>IF($B$81=0,0,(SUM(($B$70*$H$70))+((1-$D$29)*$I$83))*Poor!$B$81/$B$81)</f>
        <v>39324.286292052799</v>
      </c>
      <c r="S24" s="41">
        <f>IF($B$81=0,0,(SUM(($B$70*$H$70))+((1-$D$29)*$I$83))*Poor!$B$81/$B$81)</f>
        <v>39324.286292052799</v>
      </c>
      <c r="T24" s="41">
        <f>IF($B$81=0,0,(SUM(($B$70*$H$70))+((1-$D$29)*$I$83))*Poor!$B$81/$B$81)</f>
        <v>39324.286292052799</v>
      </c>
      <c r="U24" s="56"/>
      <c r="V24" s="56"/>
      <c r="W24" s="110"/>
      <c r="X24" s="118"/>
      <c r="Y24" s="183">
        <f t="shared" si="40"/>
        <v>0</v>
      </c>
      <c r="Z24" s="116">
        <v>7.2941000000000003</v>
      </c>
      <c r="AA24" s="121">
        <f t="shared" si="41"/>
        <v>0</v>
      </c>
      <c r="AB24" s="116">
        <v>7.1764999999999999</v>
      </c>
      <c r="AC24" s="121">
        <f t="shared" si="42"/>
        <v>0</v>
      </c>
      <c r="AD24" s="116">
        <v>7.2352999999999996</v>
      </c>
      <c r="AE24" s="121">
        <f t="shared" si="43"/>
        <v>0</v>
      </c>
      <c r="AF24" s="122">
        <f t="shared" si="44"/>
        <v>-20.7059</v>
      </c>
      <c r="AG24" s="121">
        <f t="shared" si="45"/>
        <v>0</v>
      </c>
      <c r="AH24" s="123">
        <f t="shared" si="46"/>
        <v>1</v>
      </c>
      <c r="AI24" s="183">
        <f t="shared" si="47"/>
        <v>0</v>
      </c>
      <c r="AJ24" s="120">
        <f t="shared" si="48"/>
        <v>0</v>
      </c>
      <c r="AK24" s="119">
        <f t="shared" si="49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IF([1]Summ!$A1063="","",[1]Summ!$A1063)</f>
        <v/>
      </c>
      <c r="B25" s="215">
        <f>IF([1]Summ!E1063="",0,[1]Summ!E1063)</f>
        <v>0</v>
      </c>
      <c r="C25" s="215">
        <f>IF([1]Summ!F1063="",0,[1]Summ!F1063)</f>
        <v>0</v>
      </c>
      <c r="D25" s="24">
        <f t="shared" si="34"/>
        <v>0</v>
      </c>
      <c r="E25" s="26">
        <v>1</v>
      </c>
      <c r="F25" s="22"/>
      <c r="H25" s="24">
        <f t="shared" si="35"/>
        <v>1</v>
      </c>
      <c r="I25" s="22">
        <f t="shared" si="36"/>
        <v>0</v>
      </c>
      <c r="J25" s="24">
        <f t="shared" si="17"/>
        <v>0</v>
      </c>
      <c r="K25" s="22">
        <f t="shared" si="37"/>
        <v>0</v>
      </c>
      <c r="L25" s="22">
        <f t="shared" si="38"/>
        <v>0</v>
      </c>
      <c r="M25" s="224">
        <f t="shared" si="39"/>
        <v>0</v>
      </c>
      <c r="N25" s="228"/>
      <c r="O25" s="2"/>
      <c r="P25" s="22"/>
      <c r="Q25" s="142" t="s">
        <v>138</v>
      </c>
      <c r="R25" s="41">
        <f>IF($B$81=0,0,(SUM(($B$70*$H$70),($B$71*$H$71))+((1-$D$29)*$I$83))*Poor!$B$81/$B$81)</f>
        <v>59595.112958719466</v>
      </c>
      <c r="S25" s="41">
        <f>IF($B$81=0,0,(SUM(($B$70*$H$70),($B$71*$H$71))+((1-$D$29)*$I$83))*Poor!$B$81/$B$81)</f>
        <v>59595.112958719466</v>
      </c>
      <c r="T25" s="41">
        <f>IF($B$81=0,0,(SUM(($B$70*$H$70),($B$71*$H$71))+((1-$D$29)*$I$83))*Poor!$B$81/$B$81)</f>
        <v>59595.112958719466</v>
      </c>
      <c r="U25" s="56"/>
      <c r="V25" s="56"/>
      <c r="W25" s="110"/>
      <c r="X25" s="118"/>
      <c r="Y25" s="183">
        <f t="shared" si="40"/>
        <v>0</v>
      </c>
      <c r="Z25" s="116">
        <v>8.2941000000000003</v>
      </c>
      <c r="AA25" s="121">
        <f t="shared" si="41"/>
        <v>0</v>
      </c>
      <c r="AB25" s="116">
        <v>8.1765000000000008</v>
      </c>
      <c r="AC25" s="121">
        <f t="shared" si="42"/>
        <v>0</v>
      </c>
      <c r="AD25" s="116">
        <v>8.2353000000000005</v>
      </c>
      <c r="AE25" s="121">
        <f t="shared" si="43"/>
        <v>0</v>
      </c>
      <c r="AF25" s="122">
        <f t="shared" si="44"/>
        <v>-23.7059</v>
      </c>
      <c r="AG25" s="121">
        <f t="shared" si="45"/>
        <v>0</v>
      </c>
      <c r="AH25" s="123">
        <f t="shared" si="46"/>
        <v>1</v>
      </c>
      <c r="AI25" s="183">
        <f t="shared" si="47"/>
        <v>0</v>
      </c>
      <c r="AJ25" s="120">
        <f t="shared" si="48"/>
        <v>0</v>
      </c>
      <c r="AK25" s="119">
        <f t="shared" si="49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IF([1]Summ!$A1064="","",[1]Summ!$A1064)</f>
        <v>Food aid</v>
      </c>
      <c r="B26" s="215">
        <f>IF([1]Summ!E1064="",0,[1]Summ!E1064)</f>
        <v>7.4404761904761904E-2</v>
      </c>
      <c r="C26" s="215">
        <f>IF([1]Summ!F1064="",0,[1]Summ!F1064)</f>
        <v>0</v>
      </c>
      <c r="D26" s="24">
        <f>SUM(B26,C26)</f>
        <v>7.4404761904761904E-2</v>
      </c>
      <c r="E26" s="26">
        <v>1</v>
      </c>
      <c r="F26" s="22"/>
      <c r="H26" s="24">
        <f t="shared" si="1"/>
        <v>1</v>
      </c>
      <c r="I26" s="22">
        <f t="shared" si="2"/>
        <v>7.4404761904761904E-2</v>
      </c>
      <c r="J26" s="24">
        <f>IF(I$32&lt;=1+I131,I26,B26*H26+J$33*(I26-B26*H26))</f>
        <v>7.4404761904761904E-2</v>
      </c>
      <c r="K26" s="22">
        <f t="shared" si="4"/>
        <v>7.4404761904761904E-2</v>
      </c>
      <c r="L26" s="22">
        <f t="shared" si="5"/>
        <v>7.4404761904761904E-2</v>
      </c>
      <c r="M26" s="223">
        <f t="shared" si="6"/>
        <v>7.4404761904761904E-2</v>
      </c>
      <c r="N26" s="228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92333.032958719472</v>
      </c>
      <c r="S26" s="41">
        <f>IF($B$81=0,0,(SUM(($B$70*$H$70),($B$71*$H$71),($B$72*$H$72))+((1-$D$29)*$I$83))*Poor!$B$81/$B$81)</f>
        <v>92333.032958719472</v>
      </c>
      <c r="T26" s="41">
        <f>IF($B$81=0,0,(SUM(($B$70*$H$70),($B$71*$H$71),($B$72*$H$72))+((1-$D$29)*$I$83))*Poor!$B$81/$B$81)</f>
        <v>92333.032958719472</v>
      </c>
      <c r="U26" s="56"/>
      <c r="V26" s="56"/>
      <c r="W26" s="110"/>
      <c r="X26" s="118"/>
      <c r="Y26" s="183">
        <f t="shared" si="9"/>
        <v>0.29761904761904762</v>
      </c>
      <c r="Z26" s="116">
        <v>0.25</v>
      </c>
      <c r="AA26" s="121">
        <f t="shared" si="16"/>
        <v>7.4404761904761904E-2</v>
      </c>
      <c r="AB26" s="116">
        <v>0.25</v>
      </c>
      <c r="AC26" s="121">
        <f t="shared" si="7"/>
        <v>7.4404761904761904E-2</v>
      </c>
      <c r="AD26" s="116">
        <v>0.25</v>
      </c>
      <c r="AE26" s="121">
        <f t="shared" si="8"/>
        <v>7.4404761904761904E-2</v>
      </c>
      <c r="AF26" s="122">
        <f t="shared" si="10"/>
        <v>0.25</v>
      </c>
      <c r="AG26" s="121">
        <f t="shared" si="11"/>
        <v>7.4404761904761904E-2</v>
      </c>
      <c r="AH26" s="123">
        <f t="shared" si="12"/>
        <v>1</v>
      </c>
      <c r="AI26" s="183">
        <f t="shared" si="13"/>
        <v>7.4404761904761904E-2</v>
      </c>
      <c r="AJ26" s="120">
        <f t="shared" si="14"/>
        <v>7.4404761904761904E-2</v>
      </c>
      <c r="AK26" s="119">
        <f t="shared" si="15"/>
        <v>7.4404761904761904E-2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IF([1]Summ!$A1065="","",[1]Summ!$A1065)</f>
        <v>Purchase - other</v>
      </c>
      <c r="B27" s="215">
        <f>IF([1]Summ!E1065="",0,[1]Summ!E1065)</f>
        <v>2.4110076276463267E-2</v>
      </c>
      <c r="C27" s="215">
        <f>IF([1]Summ!F1065="",0,[1]Summ!F1065)</f>
        <v>-2.4110076276463267E-2</v>
      </c>
      <c r="D27" s="24">
        <f>SUM(B27,C27)</f>
        <v>0</v>
      </c>
      <c r="E27" s="26"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2.4110076276463267E-2</v>
      </c>
      <c r="L27" s="22">
        <f t="shared" si="5"/>
        <v>2.4110076276463267E-2</v>
      </c>
      <c r="M27" s="225">
        <f t="shared" si="6"/>
        <v>0</v>
      </c>
      <c r="N27" s="228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16">
        <v>0.25</v>
      </c>
      <c r="AA27" s="121">
        <f t="shared" si="16"/>
        <v>0</v>
      </c>
      <c r="AB27" s="116">
        <v>0.25</v>
      </c>
      <c r="AC27" s="121">
        <f t="shared" si="7"/>
        <v>0</v>
      </c>
      <c r="AD27" s="116"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IF([1]Summ!$A1066="","",[1]Summ!$A1066)</f>
        <v>Purchase - desirable</v>
      </c>
      <c r="B28" s="215">
        <f>IF([1]Summ!E1066="",0,[1]Summ!E1066)</f>
        <v>0</v>
      </c>
      <c r="C28" s="215">
        <f>IF([1]Summ!F1066="",0,[1]Summ!F1066)</f>
        <v>0</v>
      </c>
      <c r="D28" s="24">
        <f>SUM(B28,C28)</f>
        <v>0</v>
      </c>
      <c r="E28" s="26"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3">
        <f t="shared" si="6"/>
        <v>0</v>
      </c>
      <c r="N28" s="228"/>
      <c r="O28" s="2"/>
      <c r="P28" s="22"/>
      <c r="V28" s="56"/>
      <c r="W28" s="110"/>
      <c r="X28" s="118"/>
      <c r="Y28" s="183">
        <f t="shared" si="9"/>
        <v>0</v>
      </c>
      <c r="Z28" s="116">
        <v>0</v>
      </c>
      <c r="AA28" s="121">
        <f t="shared" si="16"/>
        <v>0</v>
      </c>
      <c r="AB28" s="116">
        <v>0</v>
      </c>
      <c r="AC28" s="121">
        <f t="shared" si="7"/>
        <v>0</v>
      </c>
      <c r="AD28" s="116"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IF([1]Summ!$A1067="","",[1]Summ!$A1067)</f>
        <v>Purchase - fpl non staple</v>
      </c>
      <c r="B29" s="215">
        <f>IF([1]Summ!E1067="",0,[1]Summ!E1067)</f>
        <v>9.6733393991282668E-2</v>
      </c>
      <c r="C29" s="215">
        <f>IF([1]Summ!F1067="",0,[1]Summ!F1067)</f>
        <v>0.12790337995071438</v>
      </c>
      <c r="D29" s="24">
        <f>SUM(B29,C29)</f>
        <v>0.22463677394199705</v>
      </c>
      <c r="E29" s="26">
        <v>1</v>
      </c>
      <c r="F29" s="22"/>
      <c r="H29" s="24">
        <f t="shared" si="1"/>
        <v>1</v>
      </c>
      <c r="I29" s="22">
        <f t="shared" si="2"/>
        <v>0.22463677394199705</v>
      </c>
      <c r="J29" s="24">
        <f>IF(I$32&lt;=1+I131,I29,B29*H29+J$33*(I29-B29*H29))</f>
        <v>0.22463677394199705</v>
      </c>
      <c r="K29" s="22">
        <f t="shared" si="4"/>
        <v>9.6733393991282668E-2</v>
      </c>
      <c r="L29" s="22">
        <f t="shared" si="5"/>
        <v>9.6733393991282668E-2</v>
      </c>
      <c r="M29" s="223">
        <f t="shared" si="6"/>
        <v>0.22463677394199705</v>
      </c>
      <c r="N29" s="228"/>
      <c r="P29" s="22"/>
      <c r="V29" s="56"/>
      <c r="W29" s="110"/>
      <c r="X29" s="118"/>
      <c r="Y29" s="183">
        <f t="shared" si="9"/>
        <v>0.89854709576798819</v>
      </c>
      <c r="Z29" s="116">
        <v>0.25</v>
      </c>
      <c r="AA29" s="121">
        <f t="shared" si="16"/>
        <v>0.22463677394199705</v>
      </c>
      <c r="AB29" s="116">
        <v>0.25</v>
      </c>
      <c r="AC29" s="121">
        <f t="shared" si="7"/>
        <v>0.22463677394199705</v>
      </c>
      <c r="AD29" s="116">
        <v>0.25</v>
      </c>
      <c r="AE29" s="121">
        <f t="shared" si="8"/>
        <v>0.22463677394199705</v>
      </c>
      <c r="AF29" s="122">
        <f t="shared" si="10"/>
        <v>0.25</v>
      </c>
      <c r="AG29" s="121">
        <f t="shared" si="11"/>
        <v>0.22463677394199705</v>
      </c>
      <c r="AH29" s="123">
        <f t="shared" si="12"/>
        <v>1</v>
      </c>
      <c r="AI29" s="183">
        <f t="shared" si="13"/>
        <v>0.22463677394199705</v>
      </c>
      <c r="AJ29" s="120">
        <f t="shared" si="14"/>
        <v>0.22463677394199705</v>
      </c>
      <c r="AK29" s="119">
        <f t="shared" si="15"/>
        <v>0.22463677394199705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85" t="str">
        <f>IF([1]Summ!$A1068="","",[1]Summ!$A1068)</f>
        <v>Purchase - staple</v>
      </c>
      <c r="B30" s="215">
        <f>IF([1]Summ!E1068="",0,[1]Summ!E1068)</f>
        <v>0.59392078206724785</v>
      </c>
      <c r="C30" s="103"/>
      <c r="D30" s="24">
        <f>(D119-B124)</f>
        <v>6.1490011641084692</v>
      </c>
      <c r="E30" s="29">
        <v>1</v>
      </c>
      <c r="F30" s="95"/>
      <c r="G30" s="95"/>
      <c r="H30" s="96">
        <f>(E30*F$7/F$9)</f>
        <v>1</v>
      </c>
      <c r="I30" s="29">
        <f>IF(E30&gt;=1,I119-I124,MIN(I119-I124,B30*H30))</f>
        <v>1.5208383020481606</v>
      </c>
      <c r="J30" s="230">
        <f>IF(I$32&lt;=1,I30,1-SUM(J6:J29))</f>
        <v>-2.5643504583786614E-2</v>
      </c>
      <c r="K30" s="22">
        <f t="shared" si="4"/>
        <v>0.59392078206724785</v>
      </c>
      <c r="L30" s="22">
        <f>IF(L124=L119,0,IF(K30="",0,(L119-L124)/(B119-B124)*K30))</f>
        <v>0.15090019266516355</v>
      </c>
      <c r="M30" s="175">
        <f t="shared" si="6"/>
        <v>-2.5643504583786614E-2</v>
      </c>
      <c r="N30" s="166" t="s">
        <v>86</v>
      </c>
      <c r="O30" s="2"/>
      <c r="P30" s="22"/>
      <c r="Q30" s="233" t="s">
        <v>141</v>
      </c>
      <c r="R30" s="233">
        <f t="shared" ref="R30:T32" si="50">IF(R24&gt;R$23,R24-R$23,0)</f>
        <v>0</v>
      </c>
      <c r="S30" s="233">
        <f t="shared" si="50"/>
        <v>0</v>
      </c>
      <c r="T30" s="233">
        <f t="shared" si="50"/>
        <v>0</v>
      </c>
      <c r="V30" s="56"/>
      <c r="W30" s="110"/>
      <c r="X30" s="118"/>
      <c r="Y30" s="183">
        <f>M30*4</f>
        <v>-0.10257401833514646</v>
      </c>
      <c r="Z30" s="122">
        <f>IF($Y30=0,0,AA30/($Y$30))</f>
        <v>6.049300723202319</v>
      </c>
      <c r="AA30" s="187">
        <f>IF(AA79*4/$I$83+SUM(AA6:AA29)&lt;1,AA79*4/$I$83,1-SUM(AA6:AA29))</f>
        <v>-0.62050108329656939</v>
      </c>
      <c r="AB30" s="122">
        <f>IF($Y30=0,0,AC30/($Y$30))</f>
        <v>11.800477532848735</v>
      </c>
      <c r="AC30" s="187">
        <f>IF(AC79*4/$I$83+SUM(AC6:AC29)&lt;1,AC79*4/$I$83,1-SUM(AC6:AC29))</f>
        <v>-1.2104223988179099</v>
      </c>
      <c r="AD30" s="122">
        <f>IF($Y30=0,0,AE30/($Y$30))</f>
        <v>11.800477532848735</v>
      </c>
      <c r="AE30" s="187">
        <f>IF(AE79*4/$I$83+SUM(AE6:AE29)&lt;1,AE79*4/$I$83,1-SUM(AE6:AE29))</f>
        <v>-1.2104223988179099</v>
      </c>
      <c r="AF30" s="122">
        <f>IF($Y30=0,0,AG30/($Y$30))</f>
        <v>11.800477532848735</v>
      </c>
      <c r="AG30" s="187">
        <f>IF(AG79*4/$I$83+SUM(AG6:AG29)&lt;1,AG79*4/$I$83,1-SUM(AG6:AG29))</f>
        <v>-1.2104223988179099</v>
      </c>
      <c r="AH30" s="123">
        <f t="shared" si="12"/>
        <v>41.450733321748523</v>
      </c>
      <c r="AI30" s="183">
        <f t="shared" si="13"/>
        <v>-1.0629420699375747</v>
      </c>
      <c r="AJ30" s="120">
        <f t="shared" si="14"/>
        <v>-0.91546174105723965</v>
      </c>
      <c r="AK30" s="119">
        <f t="shared" si="15"/>
        <v>-1.2104223988179099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1">
        <f>(1-SUM(J6:J30))</f>
        <v>0</v>
      </c>
      <c r="K31" s="22" t="str">
        <f t="shared" si="4"/>
        <v/>
      </c>
      <c r="L31" s="22">
        <f>(1-SUM(L6:L30))</f>
        <v>0.11337327740911163</v>
      </c>
      <c r="M31" s="178">
        <f t="shared" si="6"/>
        <v>0</v>
      </c>
      <c r="N31" s="167">
        <f>M31*I83</f>
        <v>0</v>
      </c>
      <c r="P31" s="22"/>
      <c r="Q31" s="237" t="s">
        <v>142</v>
      </c>
      <c r="R31" s="233">
        <f t="shared" si="50"/>
        <v>0</v>
      </c>
      <c r="S31" s="233">
        <f t="shared" si="50"/>
        <v>2667.3700170643569</v>
      </c>
      <c r="T31" s="233">
        <f>IF(T25&gt;T$23,T25-T$23,0)</f>
        <v>473.21926310442359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0.36750857970367123</v>
      </c>
      <c r="AB31" s="131"/>
      <c r="AC31" s="133">
        <f>1-AC32+IF($Y32&lt;0,$Y32/4,0)</f>
        <v>0.9934081501445633</v>
      </c>
      <c r="AD31" s="134"/>
      <c r="AE31" s="133">
        <f>1-AE32+IF($Y32&lt;0,$Y32/4,0)</f>
        <v>1.001672736072085</v>
      </c>
      <c r="AF31" s="134"/>
      <c r="AG31" s="133">
        <f>1-AG32+IF($Y32&lt;0,$Y32/4,0)</f>
        <v>1.7866047954948328</v>
      </c>
      <c r="AH31" s="123"/>
      <c r="AI31" s="182">
        <f>SUM(AA31,AC31,AE31,AG31)/4</f>
        <v>1.0372985653537881</v>
      </c>
      <c r="AJ31" s="135">
        <f t="shared" si="14"/>
        <v>0.68045836492411726</v>
      </c>
      <c r="AK31" s="136">
        <f t="shared" si="15"/>
        <v>1.3941387657834587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9" t="s">
        <v>24</v>
      </c>
      <c r="B32" s="29">
        <f>SUM(B6:B30)</f>
        <v>1.3152954321517523</v>
      </c>
      <c r="C32" s="29">
        <f>SUM(C6:C31)</f>
        <v>0.28139999109641795</v>
      </c>
      <c r="D32" s="24">
        <f>SUM(D6:D30)</f>
        <v>7.1517758052893914</v>
      </c>
      <c r="E32" s="2"/>
      <c r="F32" s="2"/>
      <c r="H32" s="17"/>
      <c r="I32" s="22">
        <f>SUM(I6:I30)</f>
        <v>2.546481806631947</v>
      </c>
      <c r="J32" s="17"/>
      <c r="L32" s="22">
        <f>SUM(L6:L30)</f>
        <v>0.88662672259088837</v>
      </c>
      <c r="M32" s="23"/>
      <c r="N32" s="56"/>
      <c r="O32" s="2"/>
      <c r="P32" s="22"/>
      <c r="Q32" s="233" t="s">
        <v>143</v>
      </c>
      <c r="R32" s="233">
        <f t="shared" si="50"/>
        <v>0</v>
      </c>
      <c r="S32" s="233">
        <f t="shared" si="50"/>
        <v>35405.290017064362</v>
      </c>
      <c r="T32" s="233">
        <f t="shared" si="50"/>
        <v>33211.139263104429</v>
      </c>
      <c r="V32" s="56"/>
      <c r="W32" s="110"/>
      <c r="X32" s="118"/>
      <c r="Y32" s="115">
        <f>SUM(Y6:Y31)</f>
        <v>4</v>
      </c>
      <c r="Z32" s="137"/>
      <c r="AA32" s="138">
        <f>SUM(AA6:AA30)</f>
        <v>0.63249142029632877</v>
      </c>
      <c r="AB32" s="137"/>
      <c r="AC32" s="139">
        <f>SUM(AC6:AC30)</f>
        <v>6.5918498554367044E-3</v>
      </c>
      <c r="AD32" s="137"/>
      <c r="AE32" s="139">
        <f>SUM(AE6:AE30)</f>
        <v>-1.6727360720849571E-3</v>
      </c>
      <c r="AF32" s="137"/>
      <c r="AG32" s="139">
        <f>SUM(AG6:AG30)</f>
        <v>-0.78660479549483264</v>
      </c>
      <c r="AH32" s="127"/>
      <c r="AI32" s="110"/>
      <c r="AJ32" s="140">
        <f>SUM(AJ6:AJ31)</f>
        <v>0.99999999999999989</v>
      </c>
      <c r="AK32" s="141">
        <f>SUM(AK6:AK31)</f>
        <v>0.99999999999999978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9"/>
      <c r="B33" s="9"/>
      <c r="C33" s="9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0.27849204117943349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15" t="s">
        <v>26</v>
      </c>
      <c r="B34" s="1"/>
      <c r="C34" s="1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473.21926310442268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1"/>
      <c r="B35" s="1" t="s">
        <v>7</v>
      </c>
      <c r="C35" s="1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184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1" t="s">
        <v>30</v>
      </c>
      <c r="B36" s="1" t="s">
        <v>16</v>
      </c>
      <c r="C36" s="1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IF([1]Summ!$A1072="","",[1]Summ!$A1072)</f>
        <v>Pig sales: no sold</v>
      </c>
      <c r="B37" s="216">
        <f>IF([1]Summ!E1072="",0,[1]Summ!E1072)</f>
        <v>2000</v>
      </c>
      <c r="C37" s="216">
        <f>IF([1]Summ!F1072="",0,[1]Summ!F1072)</f>
        <v>0</v>
      </c>
      <c r="D37" s="38">
        <f>SUM(B37,C37)</f>
        <v>2000</v>
      </c>
      <c r="E37" s="232">
        <v>0.8</v>
      </c>
      <c r="F37" s="26">
        <v>1.18</v>
      </c>
      <c r="G37" s="26">
        <v>1.65</v>
      </c>
      <c r="H37" s="24">
        <f t="shared" ref="H37:H49" si="51">(E37*F37)</f>
        <v>0.94399999999999995</v>
      </c>
      <c r="I37" s="39">
        <f t="shared" ref="I37:I49" si="52">D37*H37</f>
        <v>1888</v>
      </c>
      <c r="J37" s="38">
        <f t="shared" ref="J37:J49" si="53">J91*I$83</f>
        <v>1887.9999999999998</v>
      </c>
      <c r="K37" s="40">
        <f t="shared" ref="K37:K49" si="54">(B37/B$65)</f>
        <v>2.9459419649432907E-2</v>
      </c>
      <c r="L37" s="22">
        <f t="shared" ref="L37:L49" si="55">(K37*H37)</f>
        <v>2.7809692149064664E-2</v>
      </c>
      <c r="M37" s="24">
        <f t="shared" ref="M37:M49" si="56">J37/B$65</f>
        <v>2.780969214906466E-2</v>
      </c>
      <c r="N37" s="2"/>
      <c r="O37" s="2"/>
      <c r="Q37" s="59"/>
      <c r="R37" s="251"/>
      <c r="S37" s="251"/>
      <c r="T37" s="29"/>
      <c r="U37" s="56"/>
      <c r="V37" s="56"/>
      <c r="W37" s="115"/>
      <c r="X37" s="118"/>
      <c r="Y37" s="110"/>
      <c r="Z37" s="122">
        <f>IF($J37=0,0,AA37/($J37))</f>
        <v>1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1887.9999999999998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57">1-SUM(Z37,AB37,AD37)</f>
        <v>0</v>
      </c>
      <c r="AG37" s="147">
        <f>$J37*AF37</f>
        <v>0</v>
      </c>
      <c r="AH37" s="123">
        <f>SUM(Z37,AB37,AD37,AF37)</f>
        <v>1</v>
      </c>
      <c r="AI37" s="112">
        <f>SUM(AA37,AC37,AE37,AG37)</f>
        <v>1887.9999999999998</v>
      </c>
      <c r="AJ37" s="148">
        <f>(AA37+AC37)</f>
        <v>1887.9999999999998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IF([1]Summ!$A1073="","",[1]Summ!$A1073)</f>
        <v>Cattle sales - local: no. sold</v>
      </c>
      <c r="B38" s="216">
        <f>IF([1]Summ!E1073="",0,[1]Summ!E1073)</f>
        <v>0</v>
      </c>
      <c r="C38" s="216">
        <f>IF([1]Summ!F1073="",0,[1]Summ!F1073)</f>
        <v>0</v>
      </c>
      <c r="D38" s="38">
        <f t="shared" ref="D38:D47" si="58">SUM(B38,C38)</f>
        <v>0</v>
      </c>
      <c r="E38" s="26">
        <v>0.8</v>
      </c>
      <c r="F38" s="26">
        <v>1.18</v>
      </c>
      <c r="G38" s="22">
        <f t="shared" ref="G38:G64" si="59">(G$37)</f>
        <v>1.65</v>
      </c>
      <c r="H38" s="24">
        <f t="shared" si="51"/>
        <v>0.94399999999999995</v>
      </c>
      <c r="I38" s="39">
        <f t="shared" si="52"/>
        <v>0</v>
      </c>
      <c r="J38" s="38">
        <f t="shared" si="53"/>
        <v>0</v>
      </c>
      <c r="K38" s="40">
        <f t="shared" si="54"/>
        <v>0</v>
      </c>
      <c r="L38" s="22">
        <f t="shared" si="55"/>
        <v>0</v>
      </c>
      <c r="M38" s="24">
        <f t="shared" si="56"/>
        <v>0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IF(SUM(AC$6:AC$29)+(SUM(AC$40:AC$64,-AC$70)/AC$83)&lt;1,IF(SUM(AC$6:AC$29)+((SUM(AC$40:AC$64,$J$37:$J$41,-AC$70)-SUM($AA$37:$AA$39))/AC$83)&lt;1,$J38-$AA38,(AC$83-(SUM(AC$6:AC$29)*AC$83)-SUM(AC$40:AC$64,-AC$70))*($J38/SUM($J$37:$J$41))),0)</f>
        <v>0</v>
      </c>
      <c r="AD38" s="122">
        <f>IF($J38=0,0,AE38/($J38))</f>
        <v>0</v>
      </c>
      <c r="AE38" s="147">
        <f>IF(SUM(AE$6:AE$29)+(SUM(AE$40:AE$64,-AE$70)/AE$83)&lt;1,IF(SUM(AE$6:AE$29)+((SUM(AE$40:AE$64,$J$37:$J$41,-AE$70)-SUM($AA$37:$AA$39)-SUM($AC$37:$AC$39))/AE$83)&lt;1,$J38-$AA38-$AC38,(AE$83-(SUM(AE$6:AE$29)*AE$83)-SUM(AE$40:AE$64,-AE$70))*($J38/SUM($J$37:$J$41))),0)</f>
        <v>0</v>
      </c>
      <c r="AF38" s="122">
        <f t="shared" si="57"/>
        <v>1</v>
      </c>
      <c r="AG38" s="147">
        <f t="shared" ref="AG38:AG64" si="60">$J38*AF38</f>
        <v>0</v>
      </c>
      <c r="AH38" s="123">
        <f t="shared" ref="AH38:AI58" si="61">SUM(Z38,AB38,AD38,AF38)</f>
        <v>1</v>
      </c>
      <c r="AI38" s="112">
        <f t="shared" si="61"/>
        <v>0</v>
      </c>
      <c r="AJ38" s="148">
        <f t="shared" ref="AJ38:AJ64" si="62">(AA38+AC38)</f>
        <v>0</v>
      </c>
      <c r="AK38" s="147">
        <f t="shared" ref="AK38:AK64" si="63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IF([1]Summ!$A1074="","",[1]Summ!$A1074)</f>
        <v>Goat sales - local: no. sold</v>
      </c>
      <c r="B39" s="216">
        <f>IF([1]Summ!E1074="",0,[1]Summ!E1074)</f>
        <v>0</v>
      </c>
      <c r="C39" s="216">
        <f>IF([1]Summ!F1074="",0,[1]Summ!F1074)</f>
        <v>0</v>
      </c>
      <c r="D39" s="38">
        <f t="shared" si="58"/>
        <v>0</v>
      </c>
      <c r="E39" s="26">
        <v>0.8</v>
      </c>
      <c r="F39" s="26">
        <v>1.18</v>
      </c>
      <c r="G39" s="22">
        <f t="shared" si="59"/>
        <v>1.65</v>
      </c>
      <c r="H39" s="24">
        <f t="shared" si="51"/>
        <v>0.94399999999999995</v>
      </c>
      <c r="I39" s="39">
        <f t="shared" si="52"/>
        <v>0</v>
      </c>
      <c r="J39" s="38">
        <f t="shared" si="53"/>
        <v>0</v>
      </c>
      <c r="K39" s="40">
        <f t="shared" si="54"/>
        <v>0</v>
      </c>
      <c r="L39" s="22">
        <f t="shared" si="55"/>
        <v>0</v>
      </c>
      <c r="M39" s="24">
        <f t="shared" si="56"/>
        <v>0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18">
        <v>1</v>
      </c>
      <c r="Y39" s="110"/>
      <c r="Z39" s="122">
        <f>Z8</f>
        <v>0</v>
      </c>
      <c r="AA39" s="147">
        <f t="shared" ref="AA39:AA64" si="64">$J39*Z39</f>
        <v>0</v>
      </c>
      <c r="AB39" s="122">
        <f>AB8</f>
        <v>0</v>
      </c>
      <c r="AC39" s="147">
        <f t="shared" ref="AC39:AC64" si="65">$J39*AB39</f>
        <v>0</v>
      </c>
      <c r="AD39" s="122">
        <f>AD8</f>
        <v>0</v>
      </c>
      <c r="AE39" s="147">
        <f t="shared" ref="AE39:AE64" si="66">$J39*AD39</f>
        <v>0</v>
      </c>
      <c r="AF39" s="122">
        <f t="shared" si="57"/>
        <v>1</v>
      </c>
      <c r="AG39" s="147">
        <f t="shared" si="60"/>
        <v>0</v>
      </c>
      <c r="AH39" s="123">
        <f t="shared" si="61"/>
        <v>1</v>
      </c>
      <c r="AI39" s="112">
        <f t="shared" si="61"/>
        <v>0</v>
      </c>
      <c r="AJ39" s="148">
        <f t="shared" si="62"/>
        <v>0</v>
      </c>
      <c r="AK39" s="147">
        <f t="shared" si="63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IF([1]Summ!$A1075="","",[1]Summ!$A1075)</f>
        <v>Maize: kg produced</v>
      </c>
      <c r="B40" s="216">
        <f>IF([1]Summ!E1075="",0,[1]Summ!E1075)</f>
        <v>300</v>
      </c>
      <c r="C40" s="216">
        <f>IF([1]Summ!F1075="",0,[1]Summ!F1075)</f>
        <v>-300</v>
      </c>
      <c r="D40" s="38">
        <f t="shared" si="58"/>
        <v>0</v>
      </c>
      <c r="E40" s="75">
        <f>E10</f>
        <v>1.0900000000000001</v>
      </c>
      <c r="F40" s="26">
        <v>1.4</v>
      </c>
      <c r="G40" s="22">
        <f t="shared" si="59"/>
        <v>1.65</v>
      </c>
      <c r="H40" s="24">
        <f t="shared" si="51"/>
        <v>1.526</v>
      </c>
      <c r="I40" s="39">
        <f t="shared" si="52"/>
        <v>0</v>
      </c>
      <c r="J40" s="38">
        <f t="shared" si="53"/>
        <v>0</v>
      </c>
      <c r="K40" s="40">
        <f t="shared" si="54"/>
        <v>4.4189129474149361E-3</v>
      </c>
      <c r="L40" s="22">
        <f t="shared" si="55"/>
        <v>6.743261157755193E-3</v>
      </c>
      <c r="M40" s="24">
        <f t="shared" si="56"/>
        <v>0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18">
        <v>1</v>
      </c>
      <c r="Y40" s="110"/>
      <c r="Z40" s="122">
        <f>Z9</f>
        <v>0</v>
      </c>
      <c r="AA40" s="147">
        <f t="shared" si="64"/>
        <v>0</v>
      </c>
      <c r="AB40" s="122">
        <f>AB9</f>
        <v>0</v>
      </c>
      <c r="AC40" s="147">
        <f t="shared" si="65"/>
        <v>0</v>
      </c>
      <c r="AD40" s="122">
        <f>AD9</f>
        <v>0</v>
      </c>
      <c r="AE40" s="147">
        <f t="shared" si="66"/>
        <v>0</v>
      </c>
      <c r="AF40" s="122">
        <f t="shared" si="57"/>
        <v>1</v>
      </c>
      <c r="AG40" s="147">
        <f t="shared" si="60"/>
        <v>0</v>
      </c>
      <c r="AH40" s="123">
        <f t="shared" si="61"/>
        <v>1</v>
      </c>
      <c r="AI40" s="112">
        <f t="shared" si="61"/>
        <v>0</v>
      </c>
      <c r="AJ40" s="148">
        <f t="shared" si="62"/>
        <v>0</v>
      </c>
      <c r="AK40" s="147">
        <f t="shared" si="63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IF([1]Summ!$A1076="","",[1]Summ!$A1076)</f>
        <v>Maize (irrigated): kg produced</v>
      </c>
      <c r="B41" s="216">
        <f>IF([1]Summ!E1076="",0,[1]Summ!E1076)</f>
        <v>300</v>
      </c>
      <c r="C41" s="216">
        <f>IF([1]Summ!F1076="",0,[1]Summ!F1076)</f>
        <v>-300</v>
      </c>
      <c r="D41" s="38">
        <f t="shared" si="58"/>
        <v>0</v>
      </c>
      <c r="E41" s="75">
        <f>E11</f>
        <v>1.0900000000000001</v>
      </c>
      <c r="F41" s="26">
        <v>1.4</v>
      </c>
      <c r="G41" s="22">
        <f t="shared" si="59"/>
        <v>1.65</v>
      </c>
      <c r="H41" s="24">
        <f t="shared" si="51"/>
        <v>1.526</v>
      </c>
      <c r="I41" s="39">
        <f t="shared" si="52"/>
        <v>0</v>
      </c>
      <c r="J41" s="38">
        <f t="shared" si="53"/>
        <v>0</v>
      </c>
      <c r="K41" s="40">
        <f t="shared" si="54"/>
        <v>4.4189129474149361E-3</v>
      </c>
      <c r="L41" s="22">
        <f t="shared" si="55"/>
        <v>6.743261157755193E-3</v>
      </c>
      <c r="M41" s="24">
        <f t="shared" si="56"/>
        <v>0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18">
        <v>1</v>
      </c>
      <c r="Y41" s="110"/>
      <c r="Z41" s="122">
        <f>Z11</f>
        <v>0</v>
      </c>
      <c r="AA41" s="147">
        <f t="shared" si="64"/>
        <v>0</v>
      </c>
      <c r="AB41" s="122">
        <f>AB11</f>
        <v>0</v>
      </c>
      <c r="AC41" s="147">
        <f t="shared" si="65"/>
        <v>0</v>
      </c>
      <c r="AD41" s="122">
        <f>AD11</f>
        <v>0</v>
      </c>
      <c r="AE41" s="147">
        <f t="shared" si="66"/>
        <v>0</v>
      </c>
      <c r="AF41" s="122">
        <f t="shared" si="57"/>
        <v>1</v>
      </c>
      <c r="AG41" s="147">
        <f t="shared" si="60"/>
        <v>0</v>
      </c>
      <c r="AH41" s="123">
        <f t="shared" si="61"/>
        <v>1</v>
      </c>
      <c r="AI41" s="112">
        <f t="shared" si="61"/>
        <v>0</v>
      </c>
      <c r="AJ41" s="148">
        <f t="shared" si="62"/>
        <v>0</v>
      </c>
      <c r="AK41" s="147">
        <f t="shared" si="63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IF([1]Summ!$A1077="","",[1]Summ!$A1077)</f>
        <v>Beans season 2: kg produced</v>
      </c>
      <c r="B42" s="216">
        <f>IF([1]Summ!E1077="",0,[1]Summ!E1077)</f>
        <v>0</v>
      </c>
      <c r="C42" s="216">
        <f>IF([1]Summ!F1077="",0,[1]Summ!F1077)</f>
        <v>0</v>
      </c>
      <c r="D42" s="38">
        <f t="shared" si="58"/>
        <v>0</v>
      </c>
      <c r="E42" s="75">
        <f>E13</f>
        <v>1</v>
      </c>
      <c r="F42" s="26">
        <v>1.4</v>
      </c>
      <c r="G42" s="22">
        <f t="shared" si="59"/>
        <v>1.65</v>
      </c>
      <c r="H42" s="24">
        <f t="shared" si="51"/>
        <v>1.4</v>
      </c>
      <c r="I42" s="39">
        <f t="shared" si="52"/>
        <v>0</v>
      </c>
      <c r="J42" s="38">
        <f t="shared" si="53"/>
        <v>0</v>
      </c>
      <c r="K42" s="40">
        <f t="shared" si="54"/>
        <v>0</v>
      </c>
      <c r="L42" s="22">
        <f t="shared" si="55"/>
        <v>0</v>
      </c>
      <c r="M42" s="24">
        <f t="shared" si="56"/>
        <v>0</v>
      </c>
      <c r="N42" s="2"/>
      <c r="O42" s="2"/>
      <c r="P42" s="56"/>
      <c r="Q42" s="41"/>
      <c r="R42" s="41"/>
      <c r="S42" s="253"/>
      <c r="T42" s="253"/>
      <c r="U42" s="56"/>
      <c r="V42" s="56"/>
      <c r="W42" s="115"/>
      <c r="X42" s="118"/>
      <c r="Y42" s="110"/>
      <c r="Z42" s="116">
        <v>0.25</v>
      </c>
      <c r="AA42" s="147">
        <f t="shared" si="64"/>
        <v>0</v>
      </c>
      <c r="AB42" s="116">
        <v>0</v>
      </c>
      <c r="AC42" s="147">
        <f t="shared" si="65"/>
        <v>0</v>
      </c>
      <c r="AD42" s="116">
        <v>0.5</v>
      </c>
      <c r="AE42" s="147">
        <f t="shared" si="66"/>
        <v>0</v>
      </c>
      <c r="AF42" s="122">
        <f t="shared" si="57"/>
        <v>0.25</v>
      </c>
      <c r="AG42" s="147">
        <f t="shared" si="60"/>
        <v>0</v>
      </c>
      <c r="AH42" s="123">
        <f t="shared" si="61"/>
        <v>1</v>
      </c>
      <c r="AI42" s="112">
        <f t="shared" si="61"/>
        <v>0</v>
      </c>
      <c r="AJ42" s="148">
        <f t="shared" si="62"/>
        <v>0</v>
      </c>
      <c r="AK42" s="147">
        <f t="shared" si="63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IF([1]Summ!$A1078="","",[1]Summ!$A1078)</f>
        <v>Other root crops (sweet potato): no. local meas</v>
      </c>
      <c r="B43" s="216">
        <f>IF([1]Summ!E1078="",0,[1]Summ!E1078)</f>
        <v>1000</v>
      </c>
      <c r="C43" s="216">
        <f>IF([1]Summ!F1078="",0,[1]Summ!F1078)</f>
        <v>-1000</v>
      </c>
      <c r="D43" s="38">
        <f t="shared" si="58"/>
        <v>0</v>
      </c>
      <c r="E43" s="75">
        <f>E15</f>
        <v>1</v>
      </c>
      <c r="F43" s="26">
        <v>1.4</v>
      </c>
      <c r="G43" s="22">
        <f t="shared" si="59"/>
        <v>1.65</v>
      </c>
      <c r="H43" s="24">
        <f t="shared" si="51"/>
        <v>1.4</v>
      </c>
      <c r="I43" s="39">
        <f t="shared" si="52"/>
        <v>0</v>
      </c>
      <c r="J43" s="38">
        <f t="shared" si="53"/>
        <v>0</v>
      </c>
      <c r="K43" s="40">
        <f t="shared" si="54"/>
        <v>1.4729709824716454E-2</v>
      </c>
      <c r="L43" s="22">
        <f t="shared" si="55"/>
        <v>2.0621593754603033E-2</v>
      </c>
      <c r="M43" s="24">
        <f t="shared" si="56"/>
        <v>0</v>
      </c>
      <c r="N43" s="2"/>
      <c r="O43" s="2"/>
      <c r="P43" s="59"/>
      <c r="Q43" s="41"/>
      <c r="R43" s="41"/>
      <c r="S43" s="220"/>
      <c r="T43" s="220"/>
      <c r="U43" s="56"/>
      <c r="V43" s="56"/>
      <c r="W43" s="115"/>
      <c r="X43" s="118"/>
      <c r="Y43" s="110"/>
      <c r="Z43" s="116">
        <v>0.25</v>
      </c>
      <c r="AA43" s="147">
        <f t="shared" si="64"/>
        <v>0</v>
      </c>
      <c r="AB43" s="116">
        <v>0.25</v>
      </c>
      <c r="AC43" s="147">
        <f t="shared" si="65"/>
        <v>0</v>
      </c>
      <c r="AD43" s="116">
        <v>0.25</v>
      </c>
      <c r="AE43" s="147">
        <f t="shared" si="66"/>
        <v>0</v>
      </c>
      <c r="AF43" s="122">
        <f t="shared" si="57"/>
        <v>0.25</v>
      </c>
      <c r="AG43" s="147">
        <f t="shared" si="60"/>
        <v>0</v>
      </c>
      <c r="AH43" s="123">
        <f t="shared" si="61"/>
        <v>1</v>
      </c>
      <c r="AI43" s="112">
        <f t="shared" si="61"/>
        <v>0</v>
      </c>
      <c r="AJ43" s="148">
        <f t="shared" si="62"/>
        <v>0</v>
      </c>
      <c r="AK43" s="147">
        <f t="shared" si="63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IF([1]Summ!$A1079="","",[1]Summ!$A1079)</f>
        <v>Groundnuts (dry): no. local meas</v>
      </c>
      <c r="B44" s="216">
        <f>IF([1]Summ!E1079="",0,[1]Summ!E1079)</f>
        <v>900</v>
      </c>
      <c r="C44" s="216">
        <f>IF([1]Summ!F1079="",0,[1]Summ!F1079)</f>
        <v>-900</v>
      </c>
      <c r="D44" s="38">
        <f t="shared" si="58"/>
        <v>0</v>
      </c>
      <c r="E44" s="75">
        <f>E16</f>
        <v>1</v>
      </c>
      <c r="F44" s="26">
        <v>1.4</v>
      </c>
      <c r="G44" s="22">
        <f t="shared" si="59"/>
        <v>1.65</v>
      </c>
      <c r="H44" s="24">
        <f t="shared" si="51"/>
        <v>1.4</v>
      </c>
      <c r="I44" s="39">
        <f t="shared" si="52"/>
        <v>0</v>
      </c>
      <c r="J44" s="38">
        <f t="shared" si="53"/>
        <v>0</v>
      </c>
      <c r="K44" s="40">
        <f t="shared" si="54"/>
        <v>1.3256738842244807E-2</v>
      </c>
      <c r="L44" s="22">
        <f t="shared" si="55"/>
        <v>1.8559434379142731E-2</v>
      </c>
      <c r="M44" s="24">
        <f t="shared" si="56"/>
        <v>0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16">
        <v>0.25</v>
      </c>
      <c r="AA44" s="147">
        <f t="shared" si="64"/>
        <v>0</v>
      </c>
      <c r="AB44" s="116">
        <v>0.25</v>
      </c>
      <c r="AC44" s="147">
        <f t="shared" si="65"/>
        <v>0</v>
      </c>
      <c r="AD44" s="116">
        <v>0.25</v>
      </c>
      <c r="AE44" s="147">
        <f t="shared" si="66"/>
        <v>0</v>
      </c>
      <c r="AF44" s="122">
        <f t="shared" si="57"/>
        <v>0.25</v>
      </c>
      <c r="AG44" s="147">
        <f t="shared" si="60"/>
        <v>0</v>
      </c>
      <c r="AH44" s="123">
        <f t="shared" si="61"/>
        <v>1</v>
      </c>
      <c r="AI44" s="112">
        <f t="shared" si="61"/>
        <v>0</v>
      </c>
      <c r="AJ44" s="148">
        <f t="shared" si="62"/>
        <v>0</v>
      </c>
      <c r="AK44" s="147">
        <f t="shared" si="63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IF([1]Summ!$A1080="","",[1]Summ!$A1080)</f>
        <v>Other crop: Rape</v>
      </c>
      <c r="B45" s="216">
        <f>IF([1]Summ!E1080="",0,[1]Summ!E1080)</f>
        <v>175</v>
      </c>
      <c r="C45" s="216">
        <f>IF([1]Summ!F1080="",0,[1]Summ!F1080)</f>
        <v>-175</v>
      </c>
      <c r="D45" s="38">
        <f t="shared" si="58"/>
        <v>0</v>
      </c>
      <c r="E45" s="75">
        <f>E17</f>
        <v>1</v>
      </c>
      <c r="F45" s="26">
        <v>1.4</v>
      </c>
      <c r="G45" s="22">
        <f t="shared" si="59"/>
        <v>1.65</v>
      </c>
      <c r="H45" s="24">
        <f t="shared" si="51"/>
        <v>1.4</v>
      </c>
      <c r="I45" s="39">
        <f t="shared" si="52"/>
        <v>0</v>
      </c>
      <c r="J45" s="38">
        <f t="shared" si="53"/>
        <v>0</v>
      </c>
      <c r="K45" s="40">
        <f t="shared" si="54"/>
        <v>2.5776992193253792E-3</v>
      </c>
      <c r="L45" s="22">
        <f t="shared" si="55"/>
        <v>3.6087789070555305E-3</v>
      </c>
      <c r="M45" s="24">
        <f t="shared" si="56"/>
        <v>0</v>
      </c>
      <c r="N45" s="2"/>
      <c r="O45" s="2"/>
      <c r="P45" s="56"/>
      <c r="Q45" s="254"/>
      <c r="S45" s="41"/>
      <c r="U45" s="56"/>
      <c r="V45" s="56"/>
      <c r="W45" s="110"/>
      <c r="X45" s="118"/>
      <c r="Y45" s="110"/>
      <c r="Z45" s="116">
        <v>0.25</v>
      </c>
      <c r="AA45" s="147">
        <f t="shared" si="64"/>
        <v>0</v>
      </c>
      <c r="AB45" s="116">
        <v>0.25</v>
      </c>
      <c r="AC45" s="147">
        <f t="shared" si="65"/>
        <v>0</v>
      </c>
      <c r="AD45" s="116">
        <v>0.25</v>
      </c>
      <c r="AE45" s="147">
        <f t="shared" si="66"/>
        <v>0</v>
      </c>
      <c r="AF45" s="122">
        <f t="shared" si="57"/>
        <v>0.25</v>
      </c>
      <c r="AG45" s="147">
        <f t="shared" si="60"/>
        <v>0</v>
      </c>
      <c r="AH45" s="123">
        <f t="shared" si="61"/>
        <v>1</v>
      </c>
      <c r="AI45" s="112">
        <f t="shared" si="61"/>
        <v>0</v>
      </c>
      <c r="AJ45" s="148">
        <f t="shared" si="62"/>
        <v>0</v>
      </c>
      <c r="AK45" s="147">
        <f t="shared" si="63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IF([1]Summ!$A1081="","",[1]Summ!$A1081)</f>
        <v>Other cashcrop (cabbage): kg produced</v>
      </c>
      <c r="B46" s="216">
        <f>IF([1]Summ!E1081="",0,[1]Summ!E1081)</f>
        <v>0</v>
      </c>
      <c r="C46" s="216">
        <f>IF([1]Summ!F1081="",0,[1]Summ!F1081)</f>
        <v>0</v>
      </c>
      <c r="D46" s="38">
        <f t="shared" si="58"/>
        <v>0</v>
      </c>
      <c r="E46" s="26">
        <v>1</v>
      </c>
      <c r="F46" s="26">
        <v>1.4</v>
      </c>
      <c r="G46" s="22">
        <f t="shared" si="59"/>
        <v>1.65</v>
      </c>
      <c r="H46" s="24">
        <f t="shared" si="51"/>
        <v>1.4</v>
      </c>
      <c r="I46" s="39">
        <f t="shared" si="52"/>
        <v>0</v>
      </c>
      <c r="J46" s="38">
        <f t="shared" si="53"/>
        <v>0</v>
      </c>
      <c r="K46" s="40">
        <f t="shared" si="54"/>
        <v>0</v>
      </c>
      <c r="L46" s="22">
        <f t="shared" si="55"/>
        <v>0</v>
      </c>
      <c r="M46" s="24">
        <f t="shared" si="56"/>
        <v>0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16">
        <v>0.25</v>
      </c>
      <c r="AA46" s="147">
        <f t="shared" si="64"/>
        <v>0</v>
      </c>
      <c r="AB46" s="116">
        <v>0.25</v>
      </c>
      <c r="AC46" s="147">
        <f t="shared" si="65"/>
        <v>0</v>
      </c>
      <c r="AD46" s="116">
        <v>0.25</v>
      </c>
      <c r="AE46" s="147">
        <f t="shared" si="66"/>
        <v>0</v>
      </c>
      <c r="AF46" s="122">
        <f t="shared" si="57"/>
        <v>0.25</v>
      </c>
      <c r="AG46" s="147">
        <f t="shared" si="60"/>
        <v>0</v>
      </c>
      <c r="AH46" s="123">
        <f t="shared" si="61"/>
        <v>1</v>
      </c>
      <c r="AI46" s="112">
        <f t="shared" si="61"/>
        <v>0</v>
      </c>
      <c r="AJ46" s="148">
        <f t="shared" si="62"/>
        <v>0</v>
      </c>
      <c r="AK46" s="147">
        <f t="shared" si="63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IF([1]Summ!$A1082="","",[1]Summ!$A1082)</f>
        <v>FISHING -- see worksheet Data 3</v>
      </c>
      <c r="B47" s="216">
        <f>IF([1]Summ!E1082="",0,[1]Summ!E1082)</f>
        <v>1250</v>
      </c>
      <c r="C47" s="216">
        <f>IF([1]Summ!F1082="",0,[1]Summ!F1082)</f>
        <v>1937.5</v>
      </c>
      <c r="D47" s="38">
        <f t="shared" si="58"/>
        <v>3187.5</v>
      </c>
      <c r="E47" s="26">
        <v>1</v>
      </c>
      <c r="F47" s="26">
        <v>1.18</v>
      </c>
      <c r="G47" s="22">
        <f t="shared" si="59"/>
        <v>1.65</v>
      </c>
      <c r="H47" s="24">
        <f t="shared" si="51"/>
        <v>1.18</v>
      </c>
      <c r="I47" s="39">
        <f t="shared" si="52"/>
        <v>3761.25</v>
      </c>
      <c r="J47" s="38">
        <f t="shared" si="53"/>
        <v>3761.2499999999995</v>
      </c>
      <c r="K47" s="40">
        <f t="shared" si="54"/>
        <v>1.8412137280895566E-2</v>
      </c>
      <c r="L47" s="22">
        <f t="shared" si="55"/>
        <v>2.1726321991456767E-2</v>
      </c>
      <c r="M47" s="24">
        <f t="shared" si="56"/>
        <v>5.5402121078214753E-2</v>
      </c>
      <c r="N47" s="2"/>
      <c r="O47" s="2"/>
      <c r="P47" s="59"/>
      <c r="R47" s="242"/>
      <c r="U47" s="56"/>
      <c r="V47" s="56"/>
      <c r="W47" s="110"/>
      <c r="X47" s="118"/>
      <c r="Y47" s="110"/>
      <c r="Z47" s="116">
        <v>0.25</v>
      </c>
      <c r="AA47" s="147">
        <f t="shared" si="64"/>
        <v>940.31249999999989</v>
      </c>
      <c r="AB47" s="116">
        <v>0.25</v>
      </c>
      <c r="AC47" s="147">
        <f t="shared" si="65"/>
        <v>940.31249999999989</v>
      </c>
      <c r="AD47" s="116">
        <v>0.25</v>
      </c>
      <c r="AE47" s="147">
        <f t="shared" si="66"/>
        <v>940.31249999999989</v>
      </c>
      <c r="AF47" s="122">
        <f t="shared" si="57"/>
        <v>0.25</v>
      </c>
      <c r="AG47" s="147">
        <f t="shared" si="60"/>
        <v>940.31249999999989</v>
      </c>
      <c r="AH47" s="123">
        <f t="shared" si="61"/>
        <v>1</v>
      </c>
      <c r="AI47" s="112">
        <f t="shared" si="61"/>
        <v>3761.2499999999995</v>
      </c>
      <c r="AJ47" s="148">
        <f t="shared" si="62"/>
        <v>1880.6249999999998</v>
      </c>
      <c r="AK47" s="147">
        <f t="shared" si="63"/>
        <v>1880.6249999999998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IF([1]Summ!$A1083="","",[1]Summ!$A1083)</f>
        <v>WILD FOODS -- see worksheet Data 3</v>
      </c>
      <c r="B48" s="216">
        <f>IF([1]Summ!E1083="",0,[1]Summ!E1083)</f>
        <v>1080</v>
      </c>
      <c r="C48" s="216">
        <f>IF([1]Summ!F1083="",0,[1]Summ!F1083)</f>
        <v>270</v>
      </c>
      <c r="D48" s="38">
        <f>SUM(B48,C48)</f>
        <v>1350</v>
      </c>
      <c r="E48" s="26">
        <v>1</v>
      </c>
      <c r="F48" s="26">
        <v>1.18</v>
      </c>
      <c r="G48" s="22">
        <f t="shared" si="59"/>
        <v>1.65</v>
      </c>
      <c r="H48" s="24">
        <f t="shared" si="51"/>
        <v>1.18</v>
      </c>
      <c r="I48" s="39">
        <f t="shared" si="52"/>
        <v>1593</v>
      </c>
      <c r="J48" s="38">
        <f t="shared" si="53"/>
        <v>1592.9999999999998</v>
      </c>
      <c r="K48" s="40">
        <f t="shared" si="54"/>
        <v>1.5908086610693768E-2</v>
      </c>
      <c r="L48" s="22">
        <f t="shared" si="55"/>
        <v>1.8771542200618645E-2</v>
      </c>
      <c r="M48" s="24">
        <f t="shared" si="56"/>
        <v>2.3464427750773308E-2</v>
      </c>
      <c r="N48" s="2"/>
      <c r="O48" s="2"/>
      <c r="P48" s="59"/>
      <c r="Q48" s="254"/>
      <c r="R48" s="251"/>
      <c r="S48" s="41"/>
      <c r="T48" s="29"/>
      <c r="U48" s="56"/>
      <c r="V48" s="56"/>
      <c r="W48" s="110"/>
      <c r="X48" s="118"/>
      <c r="Y48" s="110"/>
      <c r="Z48" s="116">
        <v>0.25</v>
      </c>
      <c r="AA48" s="147">
        <f t="shared" si="64"/>
        <v>398.24999999999994</v>
      </c>
      <c r="AB48" s="116">
        <v>0.25</v>
      </c>
      <c r="AC48" s="147">
        <f t="shared" si="65"/>
        <v>398.24999999999994</v>
      </c>
      <c r="AD48" s="116">
        <v>0.25</v>
      </c>
      <c r="AE48" s="147">
        <f t="shared" si="66"/>
        <v>398.24999999999994</v>
      </c>
      <c r="AF48" s="122">
        <f t="shared" si="57"/>
        <v>0.25</v>
      </c>
      <c r="AG48" s="147">
        <f t="shared" si="60"/>
        <v>398.24999999999994</v>
      </c>
      <c r="AH48" s="123">
        <f t="shared" si="61"/>
        <v>1</v>
      </c>
      <c r="AI48" s="112">
        <f t="shared" si="61"/>
        <v>1592.9999999999998</v>
      </c>
      <c r="AJ48" s="148">
        <f t="shared" si="62"/>
        <v>796.49999999999989</v>
      </c>
      <c r="AK48" s="147">
        <f t="shared" si="63"/>
        <v>796.49999999999989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IF([1]Summ!$A1084="","",[1]Summ!$A1084)</f>
        <v>Agricultural casual work -- see Data2</v>
      </c>
      <c r="B49" s="216">
        <f>IF([1]Summ!E1084="",0,[1]Summ!E1084)</f>
        <v>2085</v>
      </c>
      <c r="C49" s="216">
        <f>IF([1]Summ!F1084="",0,[1]Summ!F1084)</f>
        <v>0</v>
      </c>
      <c r="D49" s="38">
        <f t="shared" ref="D49:D64" si="67">SUM(B49,C49)</f>
        <v>2085</v>
      </c>
      <c r="E49" s="26">
        <v>1</v>
      </c>
      <c r="F49" s="26">
        <v>1.1100000000000001</v>
      </c>
      <c r="G49" s="22">
        <f t="shared" si="59"/>
        <v>1.65</v>
      </c>
      <c r="H49" s="24">
        <f t="shared" si="51"/>
        <v>1.1100000000000001</v>
      </c>
      <c r="I49" s="39">
        <f t="shared" si="52"/>
        <v>2314.3500000000004</v>
      </c>
      <c r="J49" s="38">
        <f t="shared" si="53"/>
        <v>2314.35</v>
      </c>
      <c r="K49" s="40">
        <f t="shared" si="54"/>
        <v>3.0711444984533806E-2</v>
      </c>
      <c r="L49" s="22">
        <f t="shared" si="55"/>
        <v>3.4089703932832525E-2</v>
      </c>
      <c r="M49" s="24">
        <f t="shared" si="56"/>
        <v>3.4089703932832519E-2</v>
      </c>
      <c r="N49" s="2"/>
      <c r="O49" s="2"/>
      <c r="P49" s="56"/>
      <c r="Q49" s="254"/>
      <c r="R49" s="251"/>
      <c r="S49" s="41"/>
      <c r="T49" s="29"/>
      <c r="U49" s="56"/>
      <c r="V49" s="56"/>
      <c r="W49" s="110"/>
      <c r="X49" s="118"/>
      <c r="Y49" s="110"/>
      <c r="Z49" s="116">
        <v>0.25</v>
      </c>
      <c r="AA49" s="147">
        <f t="shared" si="64"/>
        <v>578.58749999999998</v>
      </c>
      <c r="AB49" s="116">
        <v>0.25</v>
      </c>
      <c r="AC49" s="147">
        <f t="shared" si="65"/>
        <v>578.58749999999998</v>
      </c>
      <c r="AD49" s="116">
        <v>0.25</v>
      </c>
      <c r="AE49" s="147">
        <f t="shared" si="66"/>
        <v>578.58749999999998</v>
      </c>
      <c r="AF49" s="122">
        <f t="shared" si="57"/>
        <v>0.25</v>
      </c>
      <c r="AG49" s="147">
        <f t="shared" si="60"/>
        <v>578.58749999999998</v>
      </c>
      <c r="AH49" s="123">
        <f t="shared" si="61"/>
        <v>1</v>
      </c>
      <c r="AI49" s="112">
        <f t="shared" si="61"/>
        <v>2314.35</v>
      </c>
      <c r="AJ49" s="148">
        <f t="shared" si="62"/>
        <v>1157.175</v>
      </c>
      <c r="AK49" s="147">
        <f t="shared" si="63"/>
        <v>1157.175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IF([1]Summ!$A1085="","",[1]Summ!$A1085)</f>
        <v>Construction casual work -- see Data2</v>
      </c>
      <c r="B50" s="216">
        <f>IF([1]Summ!E1085="",0,[1]Summ!E1085)</f>
        <v>1440</v>
      </c>
      <c r="C50" s="216">
        <f>IF([1]Summ!F1085="",0,[1]Summ!F1085)</f>
        <v>0</v>
      </c>
      <c r="D50" s="38">
        <f t="shared" si="67"/>
        <v>1440</v>
      </c>
      <c r="E50" s="26">
        <v>1</v>
      </c>
      <c r="F50" s="26">
        <v>1.1100000000000001</v>
      </c>
      <c r="G50" s="22">
        <f t="shared" si="59"/>
        <v>1.65</v>
      </c>
      <c r="H50" s="24">
        <f t="shared" ref="H50:H64" si="68">(E50*F50)</f>
        <v>1.1100000000000001</v>
      </c>
      <c r="I50" s="39">
        <f t="shared" ref="I50:I64" si="69">D50*H50</f>
        <v>1598.4</v>
      </c>
      <c r="J50" s="38">
        <f t="shared" ref="J50:J64" si="70">J104*I$83</f>
        <v>1598.4</v>
      </c>
      <c r="K50" s="40">
        <f t="shared" ref="K50:K64" si="71">(B50/B$65)</f>
        <v>2.1210782147591693E-2</v>
      </c>
      <c r="L50" s="22">
        <f t="shared" ref="L50:L64" si="72">(K50*H50)</f>
        <v>2.3543968183826782E-2</v>
      </c>
      <c r="M50" s="24">
        <f t="shared" ref="M50:M64" si="73">J50/B$65</f>
        <v>2.3543968183826779E-2</v>
      </c>
      <c r="N50" s="2"/>
      <c r="P50" s="64"/>
      <c r="Q50" s="254"/>
      <c r="R50" s="251"/>
      <c r="S50" s="41"/>
      <c r="T50" s="29"/>
      <c r="U50" s="56"/>
      <c r="V50" s="56"/>
      <c r="W50" s="110"/>
      <c r="X50" s="118"/>
      <c r="Y50" s="110"/>
      <c r="Z50" s="116"/>
      <c r="AA50" s="147"/>
      <c r="AB50" s="116"/>
      <c r="AC50" s="147"/>
      <c r="AD50" s="116"/>
      <c r="AE50" s="147"/>
      <c r="AF50" s="122"/>
      <c r="AG50" s="147"/>
      <c r="AH50" s="123"/>
      <c r="AI50" s="112"/>
      <c r="AJ50" s="148"/>
      <c r="AK50" s="147"/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IF([1]Summ!$A1086="","",[1]Summ!$A1086)</f>
        <v>Domestic casual work -- see Data2</v>
      </c>
      <c r="B51" s="216">
        <f>IF([1]Summ!E1086="",0,[1]Summ!E1086)</f>
        <v>10560</v>
      </c>
      <c r="C51" s="216">
        <f>IF([1]Summ!F1086="",0,[1]Summ!F1086)</f>
        <v>0</v>
      </c>
      <c r="D51" s="38">
        <f t="shared" si="67"/>
        <v>10560</v>
      </c>
      <c r="E51" s="26">
        <v>1</v>
      </c>
      <c r="F51" s="26">
        <v>1.1100000000000001</v>
      </c>
      <c r="G51" s="22">
        <f t="shared" si="59"/>
        <v>1.65</v>
      </c>
      <c r="H51" s="24">
        <f t="shared" si="68"/>
        <v>1.1100000000000001</v>
      </c>
      <c r="I51" s="39">
        <f t="shared" si="69"/>
        <v>11721.6</v>
      </c>
      <c r="J51" s="38">
        <f t="shared" si="70"/>
        <v>11721.6</v>
      </c>
      <c r="K51" s="40">
        <f t="shared" si="71"/>
        <v>0.15554573574900574</v>
      </c>
      <c r="L51" s="22">
        <f t="shared" si="72"/>
        <v>0.17265576668139637</v>
      </c>
      <c r="M51" s="24">
        <f t="shared" si="73"/>
        <v>0.17265576668139637</v>
      </c>
      <c r="N51" s="2"/>
      <c r="O51" s="2"/>
      <c r="P51" s="59"/>
      <c r="Q51" s="254"/>
      <c r="R51" s="251"/>
      <c r="S51" s="41"/>
      <c r="T51" s="29"/>
      <c r="U51" s="56"/>
      <c r="V51" s="56"/>
      <c r="W51" s="110"/>
      <c r="X51" s="118"/>
      <c r="Y51" s="110"/>
      <c r="Z51" s="116"/>
      <c r="AA51" s="147"/>
      <c r="AB51" s="116"/>
      <c r="AC51" s="147"/>
      <c r="AD51" s="116"/>
      <c r="AE51" s="147"/>
      <c r="AF51" s="122"/>
      <c r="AG51" s="147"/>
      <c r="AH51" s="123"/>
      <c r="AI51" s="112"/>
      <c r="AJ51" s="148"/>
      <c r="AK51" s="147"/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IF([1]Summ!$A1087="","",[1]Summ!$A1087)</f>
        <v>Labour migration: no. people per HH</v>
      </c>
      <c r="B52" s="216">
        <f>IF([1]Summ!E1087="",0,[1]Summ!E1087)</f>
        <v>14400</v>
      </c>
      <c r="C52" s="216">
        <f>IF([1]Summ!F1087="",0,[1]Summ!F1087)</f>
        <v>0</v>
      </c>
      <c r="D52" s="38">
        <f t="shared" si="67"/>
        <v>14400</v>
      </c>
      <c r="E52" s="26">
        <v>0.8</v>
      </c>
      <c r="F52" s="26">
        <v>1.18</v>
      </c>
      <c r="G52" s="22">
        <f t="shared" si="59"/>
        <v>1.65</v>
      </c>
      <c r="H52" s="24">
        <f t="shared" si="68"/>
        <v>0.94399999999999995</v>
      </c>
      <c r="I52" s="39">
        <f t="shared" si="69"/>
        <v>13593.599999999999</v>
      </c>
      <c r="J52" s="38">
        <f t="shared" si="70"/>
        <v>13593.599999999999</v>
      </c>
      <c r="K52" s="40">
        <f t="shared" si="71"/>
        <v>0.21210782147591692</v>
      </c>
      <c r="L52" s="22">
        <f t="shared" si="72"/>
        <v>0.20022978347326556</v>
      </c>
      <c r="M52" s="24">
        <f t="shared" si="73"/>
        <v>0.20022978347326556</v>
      </c>
      <c r="N52" s="2"/>
      <c r="O52" s="2"/>
      <c r="P52" s="59"/>
      <c r="Q52" s="41"/>
      <c r="R52" s="241"/>
      <c r="S52" s="56"/>
      <c r="T52" s="56"/>
      <c r="U52" s="56"/>
      <c r="V52" s="56"/>
      <c r="W52" s="110"/>
      <c r="X52" s="118"/>
      <c r="Y52" s="110"/>
      <c r="Z52" s="116"/>
      <c r="AA52" s="147"/>
      <c r="AB52" s="116"/>
      <c r="AC52" s="147"/>
      <c r="AD52" s="116"/>
      <c r="AE52" s="147"/>
      <c r="AF52" s="122"/>
      <c r="AG52" s="147"/>
      <c r="AH52" s="123"/>
      <c r="AI52" s="112"/>
      <c r="AJ52" s="148"/>
      <c r="AK52" s="147"/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IF([1]Summ!$A1088="","",[1]Summ!$A1088)</f>
        <v>Formal Employment (e.g. teachers, salaried staff, etc.)</v>
      </c>
      <c r="B53" s="216">
        <f>IF([1]Summ!E1088="",0,[1]Summ!E1088)</f>
        <v>0</v>
      </c>
      <c r="C53" s="216">
        <f>IF([1]Summ!F1088="",0,[1]Summ!F1088)</f>
        <v>0</v>
      </c>
      <c r="D53" s="38">
        <f t="shared" si="67"/>
        <v>0</v>
      </c>
      <c r="E53" s="26">
        <v>0.8</v>
      </c>
      <c r="F53" s="26">
        <v>1.18</v>
      </c>
      <c r="G53" s="22">
        <f t="shared" si="59"/>
        <v>1.65</v>
      </c>
      <c r="H53" s="24">
        <f t="shared" si="68"/>
        <v>0.94399999999999995</v>
      </c>
      <c r="I53" s="39">
        <f t="shared" si="69"/>
        <v>0</v>
      </c>
      <c r="J53" s="38">
        <f t="shared" si="70"/>
        <v>0</v>
      </c>
      <c r="K53" s="40">
        <f t="shared" si="71"/>
        <v>0</v>
      </c>
      <c r="L53" s="22">
        <f t="shared" si="72"/>
        <v>0</v>
      </c>
      <c r="M53" s="24">
        <f t="shared" si="73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16"/>
      <c r="AA53" s="147"/>
      <c r="AB53" s="116"/>
      <c r="AC53" s="147"/>
      <c r="AD53" s="11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IF([1]Summ!$A1089="","",[1]Summ!$A1089)</f>
        <v>Self-employment -- see Data2</v>
      </c>
      <c r="B54" s="216">
        <f>IF([1]Summ!E1089="",0,[1]Summ!E1089)</f>
        <v>6420</v>
      </c>
      <c r="C54" s="216">
        <f>IF([1]Summ!F1089="",0,[1]Summ!F1089)</f>
        <v>1284</v>
      </c>
      <c r="D54" s="38">
        <f t="shared" si="67"/>
        <v>7704</v>
      </c>
      <c r="E54" s="26">
        <v>0.8</v>
      </c>
      <c r="F54" s="26">
        <v>1</v>
      </c>
      <c r="G54" s="22">
        <f t="shared" si="59"/>
        <v>1.65</v>
      </c>
      <c r="H54" s="24">
        <f t="shared" si="68"/>
        <v>0.8</v>
      </c>
      <c r="I54" s="39">
        <f t="shared" si="69"/>
        <v>6163.2000000000007</v>
      </c>
      <c r="J54" s="38">
        <f t="shared" si="70"/>
        <v>6163.2</v>
      </c>
      <c r="K54" s="40">
        <f t="shared" si="71"/>
        <v>9.4564737074679633E-2</v>
      </c>
      <c r="L54" s="22">
        <f t="shared" si="72"/>
        <v>7.5651789659743715E-2</v>
      </c>
      <c r="M54" s="24">
        <f t="shared" si="73"/>
        <v>9.0782147591692439E-2</v>
      </c>
      <c r="N54" s="2"/>
      <c r="O54" s="2"/>
      <c r="P54" s="2"/>
      <c r="Q54" s="2"/>
      <c r="R54" s="2"/>
      <c r="S54" s="2"/>
      <c r="T54" s="2"/>
      <c r="U54" s="56"/>
      <c r="V54" s="56"/>
      <c r="W54" s="110"/>
      <c r="X54" s="118"/>
      <c r="Y54" s="110"/>
      <c r="Z54" s="116"/>
      <c r="AA54" s="147"/>
      <c r="AB54" s="116"/>
      <c r="AC54" s="147"/>
      <c r="AD54" s="11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IF([1]Summ!$A1090="","",[1]Summ!$A1090)</f>
        <v>Small business -- see Data2</v>
      </c>
      <c r="B55" s="216">
        <f>IF([1]Summ!E1090="",0,[1]Summ!E1090)</f>
        <v>960</v>
      </c>
      <c r="C55" s="216">
        <f>IF([1]Summ!F1090="",0,[1]Summ!F1090)</f>
        <v>0</v>
      </c>
      <c r="D55" s="38">
        <f t="shared" si="67"/>
        <v>960</v>
      </c>
      <c r="E55" s="26">
        <v>0.8</v>
      </c>
      <c r="F55" s="26">
        <v>1.18</v>
      </c>
      <c r="G55" s="22">
        <f t="shared" si="59"/>
        <v>1.65</v>
      </c>
      <c r="H55" s="24">
        <f t="shared" si="68"/>
        <v>0.94399999999999995</v>
      </c>
      <c r="I55" s="39">
        <f t="shared" si="69"/>
        <v>906.24</v>
      </c>
      <c r="J55" s="38">
        <f t="shared" si="70"/>
        <v>906.24</v>
      </c>
      <c r="K55" s="40">
        <f t="shared" si="71"/>
        <v>1.4140521431727796E-2</v>
      </c>
      <c r="L55" s="22">
        <f t="shared" si="72"/>
        <v>1.3348652231551038E-2</v>
      </c>
      <c r="M55" s="24">
        <f t="shared" si="73"/>
        <v>1.3348652231551038E-2</v>
      </c>
      <c r="N55" s="2"/>
      <c r="O55" s="2"/>
      <c r="P55" s="2"/>
      <c r="Q55" s="2"/>
      <c r="R55" s="2"/>
      <c r="S55" s="2"/>
      <c r="T55" s="2"/>
      <c r="U55" s="56"/>
      <c r="V55" s="56"/>
      <c r="W55" s="110"/>
      <c r="X55" s="118"/>
      <c r="Y55" s="110"/>
      <c r="Z55" s="116">
        <v>0.25</v>
      </c>
      <c r="AA55" s="147">
        <f t="shared" si="64"/>
        <v>226.56</v>
      </c>
      <c r="AB55" s="116">
        <v>0.25</v>
      </c>
      <c r="AC55" s="147">
        <f t="shared" si="65"/>
        <v>226.56</v>
      </c>
      <c r="AD55" s="116">
        <v>0.25</v>
      </c>
      <c r="AE55" s="147">
        <f t="shared" si="66"/>
        <v>226.56</v>
      </c>
      <c r="AF55" s="122">
        <f t="shared" si="57"/>
        <v>0.25</v>
      </c>
      <c r="AG55" s="147">
        <f t="shared" si="60"/>
        <v>226.56</v>
      </c>
      <c r="AH55" s="123">
        <f t="shared" si="61"/>
        <v>1</v>
      </c>
      <c r="AI55" s="112">
        <f t="shared" si="61"/>
        <v>906.24</v>
      </c>
      <c r="AJ55" s="148">
        <f t="shared" si="62"/>
        <v>453.12</v>
      </c>
      <c r="AK55" s="147">
        <f t="shared" si="63"/>
        <v>453.12</v>
      </c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IF([1]Summ!$A1091="","",[1]Summ!$A1091)</f>
        <v>Social Cash Transfers -- see Data2</v>
      </c>
      <c r="B56" s="216">
        <f>IF([1]Summ!E1091="",0,[1]Summ!E1091)</f>
        <v>20220</v>
      </c>
      <c r="C56" s="216">
        <f>IF([1]Summ!F1091="",0,[1]Summ!F1091)</f>
        <v>0</v>
      </c>
      <c r="D56" s="38">
        <f t="shared" si="67"/>
        <v>20220</v>
      </c>
      <c r="E56" s="26">
        <v>0</v>
      </c>
      <c r="F56" s="26">
        <v>1.18</v>
      </c>
      <c r="G56" s="22">
        <f t="shared" si="59"/>
        <v>1.65</v>
      </c>
      <c r="H56" s="24">
        <f t="shared" si="68"/>
        <v>0</v>
      </c>
      <c r="I56" s="39">
        <f t="shared" si="69"/>
        <v>0</v>
      </c>
      <c r="J56" s="38">
        <f t="shared" si="70"/>
        <v>0</v>
      </c>
      <c r="K56" s="40">
        <f t="shared" si="71"/>
        <v>0.29783473265576665</v>
      </c>
      <c r="L56" s="22">
        <f t="shared" si="72"/>
        <v>0</v>
      </c>
      <c r="M56" s="24">
        <f t="shared" si="73"/>
        <v>0</v>
      </c>
      <c r="N56" s="2"/>
      <c r="O56" s="2"/>
      <c r="P56" s="2"/>
      <c r="Q56" s="2"/>
      <c r="R56" s="2"/>
      <c r="S56" s="2"/>
      <c r="T56" s="2"/>
      <c r="U56" s="56"/>
      <c r="V56" s="56"/>
      <c r="W56" s="110"/>
      <c r="X56" s="118"/>
      <c r="Y56" s="110"/>
      <c r="Z56" s="116">
        <v>0.25</v>
      </c>
      <c r="AA56" s="147">
        <f t="shared" si="64"/>
        <v>0</v>
      </c>
      <c r="AB56" s="116">
        <v>0.25</v>
      </c>
      <c r="AC56" s="147">
        <f t="shared" si="65"/>
        <v>0</v>
      </c>
      <c r="AD56" s="116">
        <v>0.25</v>
      </c>
      <c r="AE56" s="147">
        <f t="shared" si="66"/>
        <v>0</v>
      </c>
      <c r="AF56" s="122">
        <f t="shared" si="57"/>
        <v>0.25</v>
      </c>
      <c r="AG56" s="147">
        <f t="shared" si="60"/>
        <v>0</v>
      </c>
      <c r="AH56" s="123">
        <f t="shared" si="61"/>
        <v>1</v>
      </c>
      <c r="AI56" s="112">
        <f t="shared" si="61"/>
        <v>0</v>
      </c>
      <c r="AJ56" s="148">
        <f t="shared" si="62"/>
        <v>0</v>
      </c>
      <c r="AK56" s="147">
        <f t="shared" si="63"/>
        <v>0</v>
      </c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IF([1]Summ!$A1092="","",[1]Summ!$A1092)</f>
        <v>Remittances: no. times per year</v>
      </c>
      <c r="B57" s="216">
        <f>IF([1]Summ!E1092="",0,[1]Summ!E1092)</f>
        <v>4800</v>
      </c>
      <c r="C57" s="216">
        <f>IF([1]Summ!F1092="",0,[1]Summ!F1092)</f>
        <v>0</v>
      </c>
      <c r="D57" s="38">
        <f t="shared" si="67"/>
        <v>4800</v>
      </c>
      <c r="E57" s="26">
        <v>1</v>
      </c>
      <c r="F57" s="26">
        <v>1.1100000000000001</v>
      </c>
      <c r="G57" s="22">
        <f t="shared" si="59"/>
        <v>1.65</v>
      </c>
      <c r="H57" s="24">
        <f t="shared" si="68"/>
        <v>1.1100000000000001</v>
      </c>
      <c r="I57" s="39">
        <f t="shared" si="69"/>
        <v>5328.0000000000009</v>
      </c>
      <c r="J57" s="38">
        <f t="shared" si="70"/>
        <v>5327.9999999999991</v>
      </c>
      <c r="K57" s="40">
        <f t="shared" si="71"/>
        <v>7.0702607158638978E-2</v>
      </c>
      <c r="L57" s="22">
        <f t="shared" si="72"/>
        <v>7.8479893946089271E-2</v>
      </c>
      <c r="M57" s="24">
        <f t="shared" si="73"/>
        <v>7.8479893946089244E-2</v>
      </c>
      <c r="N57" s="2"/>
      <c r="O57" s="2"/>
      <c r="P57" s="2"/>
      <c r="Q57" s="2"/>
      <c r="R57" s="2"/>
      <c r="S57" s="2"/>
      <c r="T57" s="2"/>
      <c r="U57" s="56"/>
      <c r="V57" s="56"/>
      <c r="W57" s="110"/>
      <c r="X57" s="118"/>
      <c r="Y57" s="110"/>
      <c r="Z57" s="116">
        <v>0.25</v>
      </c>
      <c r="AA57" s="147">
        <f t="shared" si="64"/>
        <v>1331.9999999999998</v>
      </c>
      <c r="AB57" s="116">
        <v>0.25</v>
      </c>
      <c r="AC57" s="147">
        <f t="shared" si="65"/>
        <v>1331.9999999999998</v>
      </c>
      <c r="AD57" s="116">
        <v>0.25</v>
      </c>
      <c r="AE57" s="147">
        <f t="shared" si="66"/>
        <v>1331.9999999999998</v>
      </c>
      <c r="AF57" s="122">
        <f t="shared" si="57"/>
        <v>0.25</v>
      </c>
      <c r="AG57" s="147">
        <f t="shared" si="60"/>
        <v>1331.9999999999998</v>
      </c>
      <c r="AH57" s="123">
        <f t="shared" si="61"/>
        <v>1</v>
      </c>
      <c r="AI57" s="112">
        <f t="shared" si="61"/>
        <v>5327.9999999999991</v>
      </c>
      <c r="AJ57" s="148">
        <f t="shared" si="62"/>
        <v>2663.9999999999995</v>
      </c>
      <c r="AK57" s="147">
        <f t="shared" si="63"/>
        <v>2663.9999999999995</v>
      </c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IF([1]Summ!$A1093="","",[1]Summ!$A1093)</f>
        <v/>
      </c>
      <c r="B58" s="216">
        <f>IF([1]Summ!E1093="",0,[1]Summ!E1093)</f>
        <v>0</v>
      </c>
      <c r="C58" s="216">
        <f>IF([1]Summ!F1093="",0,[1]Summ!F1093)</f>
        <v>0</v>
      </c>
      <c r="D58" s="38">
        <f t="shared" si="67"/>
        <v>0</v>
      </c>
      <c r="E58" s="26">
        <v>1</v>
      </c>
      <c r="F58" s="26">
        <v>1</v>
      </c>
      <c r="G58" s="22">
        <f t="shared" si="59"/>
        <v>1.65</v>
      </c>
      <c r="H58" s="24">
        <f t="shared" si="68"/>
        <v>1</v>
      </c>
      <c r="I58" s="39">
        <f t="shared" si="69"/>
        <v>0</v>
      </c>
      <c r="J58" s="38">
        <f t="shared" si="70"/>
        <v>0</v>
      </c>
      <c r="K58" s="40">
        <f t="shared" si="71"/>
        <v>0</v>
      </c>
      <c r="L58" s="22">
        <f t="shared" si="72"/>
        <v>0</v>
      </c>
      <c r="M58" s="24">
        <f t="shared" si="73"/>
        <v>0</v>
      </c>
      <c r="N58" s="2"/>
      <c r="O58" s="2"/>
      <c r="P58" s="2"/>
      <c r="Q58" s="2"/>
      <c r="R58" s="2"/>
      <c r="S58" s="2"/>
      <c r="T58" s="2"/>
      <c r="U58" s="56"/>
      <c r="V58" s="56"/>
      <c r="W58" s="110"/>
      <c r="X58" s="118"/>
      <c r="Y58" s="110"/>
      <c r="Z58" s="116">
        <v>0.25</v>
      </c>
      <c r="AA58" s="147">
        <f t="shared" si="64"/>
        <v>0</v>
      </c>
      <c r="AB58" s="116">
        <v>0.25</v>
      </c>
      <c r="AC58" s="147">
        <f t="shared" si="65"/>
        <v>0</v>
      </c>
      <c r="AD58" s="116">
        <v>0.25</v>
      </c>
      <c r="AE58" s="147">
        <f t="shared" si="66"/>
        <v>0</v>
      </c>
      <c r="AF58" s="122">
        <f t="shared" si="57"/>
        <v>0.25</v>
      </c>
      <c r="AG58" s="147">
        <f t="shared" si="60"/>
        <v>0</v>
      </c>
      <c r="AH58" s="123">
        <f t="shared" si="61"/>
        <v>1</v>
      </c>
      <c r="AI58" s="112">
        <f t="shared" si="61"/>
        <v>0</v>
      </c>
      <c r="AJ58" s="148">
        <f t="shared" si="62"/>
        <v>0</v>
      </c>
      <c r="AK58" s="147">
        <f t="shared" si="63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IF([1]Summ!$A1094="","",[1]Summ!$A1094)</f>
        <v/>
      </c>
      <c r="B59" s="216">
        <f>IF([1]Summ!E1094="",0,[1]Summ!E1094)</f>
        <v>0</v>
      </c>
      <c r="C59" s="216">
        <f>IF([1]Summ!F1094="",0,[1]Summ!F1094)</f>
        <v>0</v>
      </c>
      <c r="D59" s="38">
        <f t="shared" si="67"/>
        <v>0</v>
      </c>
      <c r="E59" s="26">
        <v>1</v>
      </c>
      <c r="F59" s="26">
        <v>1</v>
      </c>
      <c r="G59" s="22">
        <f t="shared" si="59"/>
        <v>1.65</v>
      </c>
      <c r="H59" s="24">
        <f t="shared" si="68"/>
        <v>1</v>
      </c>
      <c r="I59" s="39">
        <f t="shared" si="69"/>
        <v>0</v>
      </c>
      <c r="J59" s="38">
        <f t="shared" si="70"/>
        <v>0</v>
      </c>
      <c r="K59" s="40">
        <f t="shared" si="71"/>
        <v>0</v>
      </c>
      <c r="L59" s="22">
        <f t="shared" si="72"/>
        <v>0</v>
      </c>
      <c r="M59" s="24">
        <f t="shared" si="73"/>
        <v>0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16">
        <v>0.25</v>
      </c>
      <c r="AA59" s="147">
        <f t="shared" si="64"/>
        <v>0</v>
      </c>
      <c r="AB59" s="116">
        <v>0.25</v>
      </c>
      <c r="AC59" s="147">
        <f t="shared" si="65"/>
        <v>0</v>
      </c>
      <c r="AD59" s="116">
        <v>0.25</v>
      </c>
      <c r="AE59" s="147">
        <f t="shared" si="66"/>
        <v>0</v>
      </c>
      <c r="AF59" s="122">
        <f t="shared" si="57"/>
        <v>0.25</v>
      </c>
      <c r="AG59" s="147">
        <f t="shared" si="60"/>
        <v>0</v>
      </c>
      <c r="AH59" s="123">
        <f t="shared" ref="AH59:AI64" si="74">SUM(Z59,AB59,AD59,AF59)</f>
        <v>1</v>
      </c>
      <c r="AI59" s="112">
        <f t="shared" si="74"/>
        <v>0</v>
      </c>
      <c r="AJ59" s="148">
        <f t="shared" si="62"/>
        <v>0</v>
      </c>
      <c r="AK59" s="147">
        <f t="shared" si="63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IF([1]Summ!$A1095="","",[1]Summ!$A1095)</f>
        <v/>
      </c>
      <c r="B60" s="216">
        <f>IF([1]Summ!E1095="",0,[1]Summ!E1095)</f>
        <v>0</v>
      </c>
      <c r="C60" s="216">
        <f>IF([1]Summ!F1095="",0,[1]Summ!F1095)</f>
        <v>0</v>
      </c>
      <c r="D60" s="38">
        <f t="shared" si="67"/>
        <v>0</v>
      </c>
      <c r="E60" s="26">
        <v>1</v>
      </c>
      <c r="F60" s="26">
        <v>1</v>
      </c>
      <c r="G60" s="22">
        <f t="shared" si="59"/>
        <v>1.65</v>
      </c>
      <c r="H60" s="24">
        <f t="shared" si="68"/>
        <v>1</v>
      </c>
      <c r="I60" s="39">
        <f t="shared" si="69"/>
        <v>0</v>
      </c>
      <c r="J60" s="38">
        <f t="shared" si="70"/>
        <v>0</v>
      </c>
      <c r="K60" s="40">
        <f t="shared" si="71"/>
        <v>0</v>
      </c>
      <c r="L60" s="22">
        <f t="shared" si="72"/>
        <v>0</v>
      </c>
      <c r="M60" s="24">
        <f t="shared" si="73"/>
        <v>0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16">
        <v>0.25</v>
      </c>
      <c r="AA60" s="147">
        <f t="shared" si="64"/>
        <v>0</v>
      </c>
      <c r="AB60" s="116">
        <v>0.25</v>
      </c>
      <c r="AC60" s="147">
        <f t="shared" si="65"/>
        <v>0</v>
      </c>
      <c r="AD60" s="116">
        <v>0.25</v>
      </c>
      <c r="AE60" s="147">
        <f t="shared" si="66"/>
        <v>0</v>
      </c>
      <c r="AF60" s="122">
        <f t="shared" si="57"/>
        <v>0.25</v>
      </c>
      <c r="AG60" s="147">
        <f t="shared" si="60"/>
        <v>0</v>
      </c>
      <c r="AH60" s="123">
        <f t="shared" si="74"/>
        <v>1</v>
      </c>
      <c r="AI60" s="112">
        <f t="shared" si="74"/>
        <v>0</v>
      </c>
      <c r="AJ60" s="148">
        <f t="shared" si="62"/>
        <v>0</v>
      </c>
      <c r="AK60" s="147">
        <f t="shared" si="63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IF([1]Summ!$A1096="","",[1]Summ!$A1096)</f>
        <v/>
      </c>
      <c r="B61" s="216">
        <f>IF([1]Summ!E1096="",0,[1]Summ!E1096)</f>
        <v>0</v>
      </c>
      <c r="C61" s="216">
        <f>IF([1]Summ!F1096="",0,[1]Summ!F1096)</f>
        <v>0</v>
      </c>
      <c r="D61" s="38">
        <f t="shared" si="67"/>
        <v>0</v>
      </c>
      <c r="E61" s="26">
        <v>1</v>
      </c>
      <c r="F61" s="26">
        <v>1</v>
      </c>
      <c r="G61" s="22">
        <f t="shared" si="59"/>
        <v>1.65</v>
      </c>
      <c r="H61" s="24">
        <f t="shared" si="68"/>
        <v>1</v>
      </c>
      <c r="I61" s="39">
        <f t="shared" si="69"/>
        <v>0</v>
      </c>
      <c r="J61" s="38">
        <f t="shared" si="70"/>
        <v>0</v>
      </c>
      <c r="K61" s="40">
        <f t="shared" si="71"/>
        <v>0</v>
      </c>
      <c r="L61" s="22">
        <f t="shared" si="72"/>
        <v>0</v>
      </c>
      <c r="M61" s="24">
        <f t="shared" si="73"/>
        <v>0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16">
        <v>0.25</v>
      </c>
      <c r="AA61" s="147">
        <f t="shared" si="64"/>
        <v>0</v>
      </c>
      <c r="AB61" s="116">
        <v>0.25</v>
      </c>
      <c r="AC61" s="147">
        <f t="shared" si="65"/>
        <v>0</v>
      </c>
      <c r="AD61" s="116">
        <v>0.25</v>
      </c>
      <c r="AE61" s="147">
        <f t="shared" si="66"/>
        <v>0</v>
      </c>
      <c r="AF61" s="122">
        <f t="shared" si="57"/>
        <v>0.25</v>
      </c>
      <c r="AG61" s="147">
        <f t="shared" si="60"/>
        <v>0</v>
      </c>
      <c r="AH61" s="123">
        <f t="shared" si="74"/>
        <v>1</v>
      </c>
      <c r="AI61" s="112">
        <f t="shared" si="74"/>
        <v>0</v>
      </c>
      <c r="AJ61" s="148">
        <f t="shared" si="62"/>
        <v>0</v>
      </c>
      <c r="AK61" s="147">
        <f t="shared" si="63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IF([1]Summ!$A1097="","",[1]Summ!$A1097)</f>
        <v/>
      </c>
      <c r="B62" s="216">
        <f>IF([1]Summ!E1097="",0,[1]Summ!E1097)</f>
        <v>0</v>
      </c>
      <c r="C62" s="216">
        <f>IF([1]Summ!F1097="",0,[1]Summ!F1097)</f>
        <v>0</v>
      </c>
      <c r="D62" s="38">
        <f t="shared" si="67"/>
        <v>0</v>
      </c>
      <c r="E62" s="26">
        <v>1</v>
      </c>
      <c r="F62" s="26">
        <v>1</v>
      </c>
      <c r="G62" s="22">
        <f t="shared" si="59"/>
        <v>1.65</v>
      </c>
      <c r="H62" s="24">
        <f t="shared" si="68"/>
        <v>1</v>
      </c>
      <c r="I62" s="39">
        <f t="shared" si="69"/>
        <v>0</v>
      </c>
      <c r="J62" s="38">
        <f t="shared" si="70"/>
        <v>0</v>
      </c>
      <c r="K62" s="40">
        <f t="shared" si="71"/>
        <v>0</v>
      </c>
      <c r="L62" s="22">
        <f t="shared" si="72"/>
        <v>0</v>
      </c>
      <c r="M62" s="24">
        <f t="shared" si="73"/>
        <v>0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16">
        <v>0.25</v>
      </c>
      <c r="AA62" s="147">
        <f t="shared" si="64"/>
        <v>0</v>
      </c>
      <c r="AB62" s="116">
        <v>0.25</v>
      </c>
      <c r="AC62" s="147">
        <f t="shared" si="65"/>
        <v>0</v>
      </c>
      <c r="AD62" s="116">
        <v>0.25</v>
      </c>
      <c r="AE62" s="147">
        <f t="shared" si="66"/>
        <v>0</v>
      </c>
      <c r="AF62" s="122">
        <f t="shared" si="57"/>
        <v>0.25</v>
      </c>
      <c r="AG62" s="147">
        <f t="shared" si="60"/>
        <v>0</v>
      </c>
      <c r="AH62" s="123">
        <f t="shared" si="74"/>
        <v>1</v>
      </c>
      <c r="AI62" s="112">
        <f t="shared" si="74"/>
        <v>0</v>
      </c>
      <c r="AJ62" s="148">
        <f t="shared" si="62"/>
        <v>0</v>
      </c>
      <c r="AK62" s="147">
        <f t="shared" si="63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IF([1]Summ!$A1098="","",[1]Summ!$A1098)</f>
        <v/>
      </c>
      <c r="B63" s="216">
        <f>IF([1]Summ!E1098="",0,[1]Summ!E1098)</f>
        <v>0</v>
      </c>
      <c r="C63" s="216">
        <f>IF([1]Summ!F1098="",0,[1]Summ!F1098)</f>
        <v>0</v>
      </c>
      <c r="D63" s="38">
        <f t="shared" si="67"/>
        <v>0</v>
      </c>
      <c r="E63" s="26">
        <v>1</v>
      </c>
      <c r="F63" s="26">
        <v>1</v>
      </c>
      <c r="G63" s="22">
        <f t="shared" si="59"/>
        <v>1.65</v>
      </c>
      <c r="H63" s="24">
        <f t="shared" si="68"/>
        <v>1</v>
      </c>
      <c r="I63" s="39">
        <f t="shared" si="69"/>
        <v>0</v>
      </c>
      <c r="J63" s="38">
        <f t="shared" si="70"/>
        <v>0</v>
      </c>
      <c r="K63" s="40">
        <f t="shared" si="71"/>
        <v>0</v>
      </c>
      <c r="L63" s="22">
        <f t="shared" si="72"/>
        <v>0</v>
      </c>
      <c r="M63" s="24">
        <f t="shared" si="73"/>
        <v>0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16">
        <v>0.25</v>
      </c>
      <c r="AA63" s="147">
        <f t="shared" si="64"/>
        <v>0</v>
      </c>
      <c r="AB63" s="116">
        <v>0.25</v>
      </c>
      <c r="AC63" s="147">
        <f t="shared" si="65"/>
        <v>0</v>
      </c>
      <c r="AD63" s="116">
        <v>0.25</v>
      </c>
      <c r="AE63" s="147">
        <f t="shared" si="66"/>
        <v>0</v>
      </c>
      <c r="AF63" s="122">
        <f t="shared" si="57"/>
        <v>0.25</v>
      </c>
      <c r="AG63" s="147">
        <f t="shared" si="60"/>
        <v>0</v>
      </c>
      <c r="AH63" s="123">
        <f t="shared" si="74"/>
        <v>1</v>
      </c>
      <c r="AI63" s="112">
        <f t="shared" si="74"/>
        <v>0</v>
      </c>
      <c r="AJ63" s="148">
        <f t="shared" si="62"/>
        <v>0</v>
      </c>
      <c r="AK63" s="147">
        <f t="shared" si="63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IF([1]Summ!$A1099="","",[1]Summ!$A1099)</f>
        <v/>
      </c>
      <c r="B64" s="216">
        <f>IF([1]Summ!E1099="",0,[1]Summ!E1099)</f>
        <v>0</v>
      </c>
      <c r="C64" s="216">
        <f>IF([1]Summ!F1099="",0,[1]Summ!F1099)</f>
        <v>0</v>
      </c>
      <c r="D64" s="38">
        <f t="shared" si="67"/>
        <v>0</v>
      </c>
      <c r="E64" s="26">
        <v>1</v>
      </c>
      <c r="F64" s="26">
        <v>1</v>
      </c>
      <c r="G64" s="22">
        <f t="shared" si="59"/>
        <v>1.65</v>
      </c>
      <c r="H64" s="24">
        <f t="shared" si="68"/>
        <v>1</v>
      </c>
      <c r="I64" s="39">
        <f t="shared" si="69"/>
        <v>0</v>
      </c>
      <c r="J64" s="38">
        <f t="shared" si="70"/>
        <v>0</v>
      </c>
      <c r="K64" s="40">
        <f t="shared" si="71"/>
        <v>0</v>
      </c>
      <c r="L64" s="22">
        <f t="shared" si="72"/>
        <v>0</v>
      </c>
      <c r="M64" s="24">
        <f t="shared" si="73"/>
        <v>0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16">
        <v>0.25</v>
      </c>
      <c r="AA64" s="149">
        <f t="shared" si="64"/>
        <v>0</v>
      </c>
      <c r="AB64" s="116">
        <v>0.25</v>
      </c>
      <c r="AC64" s="149">
        <f t="shared" si="65"/>
        <v>0</v>
      </c>
      <c r="AD64" s="116">
        <v>0.25</v>
      </c>
      <c r="AE64" s="149">
        <f t="shared" si="66"/>
        <v>0</v>
      </c>
      <c r="AF64" s="150">
        <f t="shared" si="57"/>
        <v>0.25</v>
      </c>
      <c r="AG64" s="149">
        <f t="shared" si="60"/>
        <v>0</v>
      </c>
      <c r="AH64" s="123">
        <f t="shared" si="74"/>
        <v>1</v>
      </c>
      <c r="AI64" s="112">
        <f t="shared" si="74"/>
        <v>0</v>
      </c>
      <c r="AJ64" s="151">
        <f t="shared" si="62"/>
        <v>0</v>
      </c>
      <c r="AK64" s="149">
        <f t="shared" si="63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41" t="s">
        <v>32</v>
      </c>
      <c r="B65" s="41">
        <f>SUM(B37:B64)</f>
        <v>67890</v>
      </c>
      <c r="C65" s="41">
        <f>SUM(C37:C64)</f>
        <v>816.5</v>
      </c>
      <c r="D65" s="42">
        <f>SUM(D37:D64)</f>
        <v>68706.5</v>
      </c>
      <c r="E65" s="32"/>
      <c r="F65" s="32"/>
      <c r="G65" s="32"/>
      <c r="H65" s="31"/>
      <c r="I65" s="39">
        <f>SUM(I37:I64)</f>
        <v>48867.639999999992</v>
      </c>
      <c r="J65" s="39">
        <f>SUM(J37:J64)</f>
        <v>48867.639999999992</v>
      </c>
      <c r="K65" s="40">
        <f>SUM(K37:K64)</f>
        <v>1</v>
      </c>
      <c r="L65" s="22">
        <f>SUM(L37:L64)</f>
        <v>0.72258344380615702</v>
      </c>
      <c r="M65" s="24">
        <f>SUM(M37:M64)</f>
        <v>0.71980615701870665</v>
      </c>
      <c r="N65" s="2"/>
      <c r="O65" s="2"/>
      <c r="P65" s="2"/>
      <c r="Q65" s="56"/>
      <c r="R65" s="56"/>
      <c r="S65" s="56"/>
      <c r="T65" s="56"/>
      <c r="U65" s="56"/>
      <c r="V65" s="56"/>
      <c r="W65" s="110"/>
      <c r="X65" s="152"/>
      <c r="Y65" s="110"/>
      <c r="Z65" s="137"/>
      <c r="AA65" s="153">
        <f>SUM(AA37:AA64)</f>
        <v>5363.7099999999991</v>
      </c>
      <c r="AB65" s="137"/>
      <c r="AC65" s="153">
        <f>SUM(AC37:AC64)</f>
        <v>3475.7099999999991</v>
      </c>
      <c r="AD65" s="137"/>
      <c r="AE65" s="153">
        <f>SUM(AE37:AE64)</f>
        <v>3475.7099999999991</v>
      </c>
      <c r="AF65" s="137"/>
      <c r="AG65" s="153">
        <f>SUM(AG37:AG64)</f>
        <v>3475.7099999999991</v>
      </c>
      <c r="AH65" s="137"/>
      <c r="AI65" s="153">
        <f>SUM(AI37:AI64)</f>
        <v>15790.839999999997</v>
      </c>
      <c r="AJ65" s="153">
        <f>SUM(AJ37:AJ64)</f>
        <v>8839.4199999999983</v>
      </c>
      <c r="AK65" s="153">
        <f>SUM(AK37:AK64)</f>
        <v>6951.4199999999983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43"/>
      <c r="B66" s="43"/>
      <c r="C66" s="43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56"/>
      <c r="R66" s="56"/>
      <c r="S66" s="56"/>
      <c r="T66" s="56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15" t="s">
        <v>33</v>
      </c>
      <c r="B67" s="46"/>
      <c r="C67" s="46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56"/>
      <c r="R67" s="56"/>
      <c r="S67" s="56"/>
      <c r="T67" s="56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49"/>
      <c r="B68" s="46" t="s">
        <v>7</v>
      </c>
      <c r="C68" s="46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56"/>
      <c r="R68" s="56"/>
      <c r="S68" s="56"/>
      <c r="T68" s="56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46" t="s">
        <v>30</v>
      </c>
      <c r="B69" s="46" t="s">
        <v>35</v>
      </c>
      <c r="C69" s="46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56"/>
      <c r="R69" s="56"/>
      <c r="S69" s="56"/>
      <c r="T69" s="56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SUM([1]Summ!E1031)</f>
        <v>20998.795168409193</v>
      </c>
      <c r="C70" s="46"/>
      <c r="D70" s="38"/>
      <c r="E70" s="26">
        <v>1</v>
      </c>
      <c r="F70" s="26">
        <v>1.4</v>
      </c>
      <c r="G70" s="22"/>
      <c r="H70" s="24">
        <f>(E70*F70)</f>
        <v>1.4</v>
      </c>
      <c r="I70" s="39">
        <f>I124*I$83</f>
        <v>29398.313235772868</v>
      </c>
      <c r="J70" s="51">
        <f t="shared" ref="J70:J77" si="75">J124*I$83</f>
        <v>29398.313235772868</v>
      </c>
      <c r="K70" s="40">
        <f>B70/B$76</f>
        <v>0.30930615949932527</v>
      </c>
      <c r="L70" s="22">
        <f t="shared" ref="L70:L75" si="76">(L124*G$37*F$9/F$7)/B$130</f>
        <v>0.43302862329905545</v>
      </c>
      <c r="M70" s="24">
        <f>J70/B$76</f>
        <v>0.43302862329905534</v>
      </c>
      <c r="N70" s="2"/>
      <c r="O70" s="2"/>
      <c r="P70" s="2"/>
      <c r="Q70" s="56"/>
      <c r="R70" s="56"/>
      <c r="S70" s="56"/>
      <c r="T70" s="56"/>
      <c r="U70" s="56"/>
      <c r="V70" s="56"/>
      <c r="W70" s="110"/>
      <c r="X70" s="118"/>
      <c r="Y70" s="110"/>
      <c r="Z70" s="116">
        <v>0.25</v>
      </c>
      <c r="AA70" s="147">
        <f>$J70*Z70</f>
        <v>7349.5783089432171</v>
      </c>
      <c r="AB70" s="116">
        <v>0.25</v>
      </c>
      <c r="AC70" s="147">
        <f>$J70*AB70</f>
        <v>7349.5783089432171</v>
      </c>
      <c r="AD70" s="116">
        <v>0.25</v>
      </c>
      <c r="AE70" s="147">
        <f>$J70*AD70</f>
        <v>7349.5783089432171</v>
      </c>
      <c r="AF70" s="122">
        <f>1-SUM(Z70,AB70,AD70)</f>
        <v>0.25</v>
      </c>
      <c r="AG70" s="147">
        <f>$J70*AF70</f>
        <v>7349.5783089432171</v>
      </c>
      <c r="AH70" s="155">
        <f>SUM(Z70,AB70,AD70,AF70)</f>
        <v>1</v>
      </c>
      <c r="AI70" s="147">
        <f>SUM(AA70,AC70,AE70,AG70)</f>
        <v>29398.313235772868</v>
      </c>
      <c r="AJ70" s="148">
        <f>(AA70+AC70)</f>
        <v>14699.156617886434</v>
      </c>
      <c r="AK70" s="147">
        <f>(AE70+AG70)</f>
        <v>14699.156617886434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SUM([1]Summ!E1032)</f>
        <v>17178.666666666668</v>
      </c>
      <c r="C71" s="46"/>
      <c r="D71" s="38"/>
      <c r="E71" s="26">
        <v>1</v>
      </c>
      <c r="F71" s="26">
        <v>1.18</v>
      </c>
      <c r="G71" s="22"/>
      <c r="H71" s="24">
        <f t="shared" ref="H71:H72" si="77">(E71*F71)</f>
        <v>1.18</v>
      </c>
      <c r="I71" s="39">
        <f>I125*I$83</f>
        <v>19469.326764227124</v>
      </c>
      <c r="J71" s="51">
        <f t="shared" si="75"/>
        <v>19469.326764227124</v>
      </c>
      <c r="K71" s="40">
        <f t="shared" ref="K71:K72" si="78">B71/B$76</f>
        <v>0.25303677517552908</v>
      </c>
      <c r="L71" s="22">
        <f t="shared" si="76"/>
        <v>0.28955482050710163</v>
      </c>
      <c r="M71" s="24">
        <f t="shared" ref="M71:M72" si="79">J71/B$76</f>
        <v>0.28677753371965126</v>
      </c>
      <c r="N71" s="2"/>
      <c r="O71" s="2"/>
      <c r="P71" s="2"/>
      <c r="Q71" s="56"/>
      <c r="R71" s="56"/>
      <c r="S71" s="56"/>
      <c r="T71" s="56"/>
      <c r="U71" s="56"/>
      <c r="V71" s="56"/>
      <c r="W71" s="110"/>
      <c r="X71" s="118"/>
      <c r="Y71" s="110"/>
      <c r="Z71" s="116"/>
      <c r="AA71" s="147"/>
      <c r="AB71" s="116"/>
      <c r="AC71" s="147"/>
      <c r="AD71" s="116"/>
      <c r="AE71" s="147"/>
      <c r="AF71" s="122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SUM([1]Summ!E1033)</f>
        <v>27744</v>
      </c>
      <c r="C72" s="46"/>
      <c r="D72" s="38"/>
      <c r="E72" s="26">
        <v>1</v>
      </c>
      <c r="F72" s="26">
        <v>1.18</v>
      </c>
      <c r="G72" s="22"/>
      <c r="H72" s="24">
        <f t="shared" si="77"/>
        <v>1.18</v>
      </c>
      <c r="I72" s="39">
        <f>I126*I$83</f>
        <v>0</v>
      </c>
      <c r="J72" s="51">
        <f t="shared" si="75"/>
        <v>0</v>
      </c>
      <c r="K72" s="40">
        <f t="shared" si="78"/>
        <v>0.40866106937693325</v>
      </c>
      <c r="L72" s="22">
        <f t="shared" si="76"/>
        <v>0</v>
      </c>
      <c r="M72" s="24">
        <f t="shared" si="79"/>
        <v>0</v>
      </c>
      <c r="N72" s="2"/>
      <c r="O72" s="2"/>
      <c r="P72" s="2"/>
      <c r="Q72" s="56"/>
      <c r="R72" s="56"/>
      <c r="S72" s="56"/>
      <c r="T72" s="56"/>
      <c r="U72" s="56"/>
      <c r="V72" s="56"/>
      <c r="W72" s="110"/>
      <c r="X72" s="118"/>
      <c r="Y72" s="110"/>
      <c r="Z72" s="116"/>
      <c r="AA72" s="147"/>
      <c r="AB72" s="116"/>
      <c r="AC72" s="147"/>
      <c r="AD72" s="116"/>
      <c r="AE72" s="147"/>
      <c r="AF72" s="122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SUM([1]Summ!E1034)</f>
        <v>3785</v>
      </c>
      <c r="C73" s="46"/>
      <c r="D73" s="38"/>
      <c r="E73" s="26">
        <v>1</v>
      </c>
      <c r="F73" s="26">
        <v>1.18</v>
      </c>
      <c r="G73" s="22"/>
      <c r="H73" s="24">
        <f>(E73*F73)</f>
        <v>1.18</v>
      </c>
      <c r="I73" s="39">
        <f>I127*I$83</f>
        <v>0</v>
      </c>
      <c r="J73" s="51">
        <f t="shared" si="75"/>
        <v>0</v>
      </c>
      <c r="K73" s="40">
        <f>B73/B$76</f>
        <v>5.5751951686551775E-2</v>
      </c>
      <c r="L73" s="22">
        <f t="shared" si="76"/>
        <v>0</v>
      </c>
      <c r="M73" s="24">
        <f>J73/B$76</f>
        <v>0</v>
      </c>
      <c r="O73" s="2"/>
      <c r="P73" s="2"/>
      <c r="Q73" s="56"/>
      <c r="R73" s="56"/>
      <c r="S73" s="56"/>
      <c r="T73" s="56"/>
      <c r="U73" s="56"/>
      <c r="V73" s="56"/>
      <c r="W73" s="110"/>
      <c r="X73" s="118"/>
      <c r="Y73" s="110"/>
      <c r="Z73" s="116">
        <v>0.09</v>
      </c>
      <c r="AA73" s="147">
        <f>$H$73*$B$73*Z73</f>
        <v>401.96699999999998</v>
      </c>
      <c r="AB73" s="116">
        <v>0.09</v>
      </c>
      <c r="AC73" s="147">
        <f>$H$73*$B$73*AB73</f>
        <v>401.96699999999998</v>
      </c>
      <c r="AD73" s="116">
        <v>0.23</v>
      </c>
      <c r="AE73" s="147">
        <f>$H$73*$B$73*AD73</f>
        <v>1027.249</v>
      </c>
      <c r="AF73" s="122">
        <f>1-SUM(Z73,AB73,AD73)</f>
        <v>0.59</v>
      </c>
      <c r="AG73" s="147">
        <f>$H$73*$B$73*AF73</f>
        <v>2635.1170000000002</v>
      </c>
      <c r="AH73" s="155">
        <f>SUM(Z73,AB73,AD73,AF73)</f>
        <v>1</v>
      </c>
      <c r="AI73" s="147">
        <f>SUM(AA73,AC73,AE73,AG73)</f>
        <v>4466.3</v>
      </c>
      <c r="AJ73" s="148">
        <f>(AA73+AC73)</f>
        <v>803.93399999999997</v>
      </c>
      <c r="AK73" s="147">
        <f>(AE73+AG73)</f>
        <v>3662.366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52">
        <f>B30*B83</f>
        <v>4608</v>
      </c>
      <c r="C74" s="46"/>
      <c r="D74" s="38"/>
      <c r="E74" s="32"/>
      <c r="F74" s="32"/>
      <c r="G74" s="32"/>
      <c r="H74" s="31"/>
      <c r="I74" s="39">
        <f>I128*I$83</f>
        <v>19469.326764227124</v>
      </c>
      <c r="J74" s="51">
        <f t="shared" si="75"/>
        <v>-328.28063933511288</v>
      </c>
      <c r="K74" s="40">
        <f>B74/B$76</f>
        <v>6.7874502872293421E-2</v>
      </c>
      <c r="L74" s="22">
        <f t="shared" si="76"/>
        <v>2.8454560246185482E-2</v>
      </c>
      <c r="M74" s="24">
        <f>J74/B$76</f>
        <v>-4.8354785584786104E-3</v>
      </c>
      <c r="O74" s="2"/>
      <c r="P74" s="2"/>
      <c r="Q74" s="56"/>
      <c r="R74" s="56"/>
      <c r="S74" s="56"/>
      <c r="T74" s="56"/>
      <c r="U74" s="56"/>
      <c r="V74" s="56"/>
      <c r="W74" s="110"/>
      <c r="X74" s="118"/>
      <c r="Y74" s="110"/>
      <c r="Z74" s="156"/>
      <c r="AA74" s="147">
        <f>AA30*$I$83/4</f>
        <v>-1985.8683089432179</v>
      </c>
      <c r="AB74" s="156"/>
      <c r="AC74" s="147">
        <f>AC30*$I$83/4</f>
        <v>-3873.8683089432179</v>
      </c>
      <c r="AD74" s="156"/>
      <c r="AE74" s="147">
        <f>AE30*$I$83/4</f>
        <v>-3873.8683089432179</v>
      </c>
      <c r="AF74" s="156"/>
      <c r="AG74" s="147">
        <f>AG30*$I$83/4</f>
        <v>-3873.8683089432179</v>
      </c>
      <c r="AH74" s="155"/>
      <c r="AI74" s="147">
        <f>SUM(AA74,AC74,AE74,AG74)</f>
        <v>-13607.473235772872</v>
      </c>
      <c r="AJ74" s="148">
        <f>(AA74+AC74)</f>
        <v>-5859.7366178864359</v>
      </c>
      <c r="AK74" s="147">
        <f>(AE74+AG74)</f>
        <v>-7747.7366178864359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46"/>
      <c r="D75" s="38"/>
      <c r="E75" s="32"/>
      <c r="F75" s="32"/>
      <c r="G75" s="32"/>
      <c r="H75" s="31"/>
      <c r="I75" s="47"/>
      <c r="J75" s="51">
        <f t="shared" si="75"/>
        <v>328.28063933511572</v>
      </c>
      <c r="K75" s="40">
        <f>B75/B$76</f>
        <v>0</v>
      </c>
      <c r="L75" s="22">
        <f t="shared" si="76"/>
        <v>0</v>
      </c>
      <c r="M75" s="24">
        <f>J75/B$76</f>
        <v>4.8354785584786529E-3</v>
      </c>
      <c r="O75" s="2"/>
      <c r="P75" s="2"/>
      <c r="Q75" s="56"/>
      <c r="R75" s="56"/>
      <c r="S75" s="56"/>
      <c r="T75" s="56"/>
      <c r="U75" s="56"/>
      <c r="V75" s="56"/>
      <c r="W75" s="110"/>
      <c r="X75" s="157"/>
      <c r="Y75" s="161" t="s">
        <v>104</v>
      </c>
      <c r="Z75" s="158"/>
      <c r="AA75" s="149">
        <f>AA79-AA74</f>
        <v>0</v>
      </c>
      <c r="AB75" s="158"/>
      <c r="AC75" s="149">
        <f>AA75+AC65-SUM(AC70,AC74)</f>
        <v>0</v>
      </c>
      <c r="AD75" s="158"/>
      <c r="AE75" s="149">
        <f>AC75+AE65-SUM(AE70,AE74)</f>
        <v>0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0</v>
      </c>
      <c r="AJ75" s="151">
        <f>AJ76-SUM(AJ70,AJ74)</f>
        <v>0</v>
      </c>
      <c r="AK75" s="149">
        <f>AJ75+AK76-SUM(AK70,AK74)</f>
        <v>0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52">
        <f>B65</f>
        <v>67890</v>
      </c>
      <c r="C76" s="46"/>
      <c r="D76" s="38"/>
      <c r="E76" s="32"/>
      <c r="F76" s="32"/>
      <c r="G76" s="32"/>
      <c r="H76" s="31"/>
      <c r="I76" s="39">
        <f>I130*I$83</f>
        <v>48867.639999999992</v>
      </c>
      <c r="J76" s="51">
        <f t="shared" si="75"/>
        <v>48867.639999999992</v>
      </c>
      <c r="K76" s="40">
        <f>SUM(K70:K75)</f>
        <v>1.0946304586106326</v>
      </c>
      <c r="L76" s="22">
        <f>SUM(L70:L75)</f>
        <v>0.75103800405234267</v>
      </c>
      <c r="M76" s="24">
        <f>SUM(M70:M75)</f>
        <v>0.71980615701870665</v>
      </c>
      <c r="O76" s="2"/>
      <c r="P76" s="2"/>
      <c r="Q76" s="56"/>
      <c r="R76" s="56"/>
      <c r="S76" s="56"/>
      <c r="T76" s="56"/>
      <c r="U76" s="56"/>
      <c r="V76" s="56"/>
      <c r="W76" s="110"/>
      <c r="X76" s="189"/>
      <c r="Y76" s="189"/>
      <c r="Z76" s="137"/>
      <c r="AA76" s="154">
        <f>AA65</f>
        <v>5363.7099999999991</v>
      </c>
      <c r="AB76" s="137"/>
      <c r="AC76" s="153">
        <f>AC65</f>
        <v>3475.7099999999991</v>
      </c>
      <c r="AD76" s="137"/>
      <c r="AE76" s="153">
        <f>AE65</f>
        <v>3475.7099999999991</v>
      </c>
      <c r="AF76" s="137"/>
      <c r="AG76" s="153">
        <f>AG65</f>
        <v>3475.7099999999991</v>
      </c>
      <c r="AH76" s="137"/>
      <c r="AI76" s="153">
        <f>SUM(AA76,AC76,AE76,AG76)</f>
        <v>15790.839999999997</v>
      </c>
      <c r="AJ76" s="154">
        <f>SUM(AA76,AC76)</f>
        <v>8839.4199999999983</v>
      </c>
      <c r="AK76" s="154">
        <f>SUM(AE76,AG76)</f>
        <v>6951.4199999999983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52"/>
      <c r="C77" s="46"/>
      <c r="D77" s="38"/>
      <c r="E77" s="32"/>
      <c r="F77" s="32"/>
      <c r="G77" s="32"/>
      <c r="H77" s="31"/>
      <c r="I77" s="39">
        <f>I131*I$83</f>
        <v>20270.826666666668</v>
      </c>
      <c r="J77" s="100">
        <f t="shared" si="75"/>
        <v>473.21926310442268</v>
      </c>
      <c r="K77" s="40"/>
      <c r="L77" s="22">
        <f>-(L131*G$37*F$9/F$7)/B$130</f>
        <v>-0.29858339470712431</v>
      </c>
      <c r="M77" s="24">
        <f>-J77/B$76</f>
        <v>-6.9703824289942947E-3</v>
      </c>
      <c r="O77" s="2"/>
      <c r="P77" s="2"/>
      <c r="Q77" s="56"/>
      <c r="R77" s="56"/>
      <c r="S77" s="56"/>
      <c r="T77" s="56"/>
      <c r="U77" s="56"/>
      <c r="V77" s="56"/>
      <c r="W77" s="110"/>
      <c r="X77" s="110"/>
      <c r="Y77" s="161" t="s">
        <v>102</v>
      </c>
      <c r="Z77" s="159"/>
      <c r="AA77" s="111">
        <f>AA31*$I$83/4</f>
        <v>1176.1843151358903</v>
      </c>
      <c r="AB77" s="112"/>
      <c r="AC77" s="111">
        <f>AC31*$I$83/4</f>
        <v>3179.3300871242836</v>
      </c>
      <c r="AD77" s="112"/>
      <c r="AE77" s="111">
        <f>AE31*$I$83/4</f>
        <v>3205.7802895845412</v>
      </c>
      <c r="AF77" s="112"/>
      <c r="AG77" s="111">
        <f>AG31*$I$83/4</f>
        <v>5717.8979045930428</v>
      </c>
      <c r="AH77" s="110"/>
      <c r="AI77" s="154">
        <f>SUM(AA77,AC77,AE77,AG77)</f>
        <v>13279.192596437759</v>
      </c>
      <c r="AJ77" s="153">
        <f>SUM(AA77,AC77)</f>
        <v>4355.5144022601744</v>
      </c>
      <c r="AK77" s="160">
        <f>SUM(AE77,AG77)</f>
        <v>8923.6781941775844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53" t="s">
        <v>37</v>
      </c>
      <c r="B78" s="46"/>
      <c r="C78" s="46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56"/>
      <c r="R78" s="56"/>
      <c r="S78" s="56"/>
      <c r="T78" s="56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0</v>
      </c>
      <c r="AD78" s="112"/>
      <c r="AE78" s="112">
        <f>AC75</f>
        <v>0</v>
      </c>
      <c r="AF78" s="112"/>
      <c r="AG78" s="112">
        <f>AE75</f>
        <v>0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46" t="s">
        <v>38</v>
      </c>
      <c r="B79" s="229" t="str">
        <f>[1]Summ!E1037</f>
        <v>maize</v>
      </c>
      <c r="C79" s="46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56"/>
      <c r="R79" s="56"/>
      <c r="S79" s="56"/>
      <c r="T79" s="56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-1985.8683089432179</v>
      </c>
      <c r="AB79" s="112"/>
      <c r="AC79" s="112">
        <f>AA79-AA74+AC65-AC70</f>
        <v>-3873.8683089432179</v>
      </c>
      <c r="AD79" s="112"/>
      <c r="AE79" s="112">
        <f>AC79-AC74+AE65-AE70</f>
        <v>-3873.8683089432179</v>
      </c>
      <c r="AF79" s="112"/>
      <c r="AG79" s="112">
        <f>AE79-AE74+AG65-AG70</f>
        <v>-3873.8683089432179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46" t="s">
        <v>39</v>
      </c>
      <c r="B80" s="105">
        <f>[1]Summ!E1038</f>
        <v>0.58123152089493346</v>
      </c>
      <c r="C80" s="46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56"/>
      <c r="R80" s="56"/>
      <c r="S80" s="56"/>
      <c r="T80" s="56"/>
      <c r="U80" s="56"/>
      <c r="V80" s="56"/>
      <c r="W80" s="110"/>
      <c r="X80" s="110"/>
      <c r="Y80" s="161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46" t="s">
        <v>40</v>
      </c>
      <c r="B81" s="229">
        <f>[1]Summ!E1039</f>
        <v>8</v>
      </c>
      <c r="C81" s="46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56"/>
      <c r="R81" s="56"/>
      <c r="S81" s="56"/>
      <c r="T81" s="56"/>
      <c r="U81" s="56"/>
      <c r="V81" s="56"/>
      <c r="W81" s="110"/>
      <c r="X81" s="110"/>
      <c r="Y81" s="161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46" t="s">
        <v>41</v>
      </c>
      <c r="B82" s="105">
        <f>[1]Summ!E1040</f>
        <v>4.5714285714285712</v>
      </c>
      <c r="C82" s="46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56"/>
      <c r="R82" s="56"/>
      <c r="S82" s="56"/>
      <c r="T82" s="56"/>
      <c r="U82" s="56"/>
      <c r="V82" s="56"/>
      <c r="X82" s="110"/>
      <c r="Y82" s="161" t="s">
        <v>66</v>
      </c>
      <c r="Z82" s="162">
        <f>IF($AH$82=0,0,AA82/$AH$82)</f>
        <v>1</v>
      </c>
      <c r="AA82" s="163">
        <f>5*1.12</f>
        <v>5.6000000000000005</v>
      </c>
      <c r="AB82" s="162">
        <f>IF($AH$82=0,0,AC82/$AH$82)</f>
        <v>1</v>
      </c>
      <c r="AC82" s="163">
        <f>5*1.12</f>
        <v>5.6000000000000005</v>
      </c>
      <c r="AD82" s="162">
        <f>IF($AH$82=0,0,AE82/$AH$82)</f>
        <v>1</v>
      </c>
      <c r="AE82" s="163">
        <f>5*1.12</f>
        <v>5.6000000000000005</v>
      </c>
      <c r="AF82" s="162">
        <f>IF($AH$82=0,0,AG82/$AH$82)</f>
        <v>1</v>
      </c>
      <c r="AG82" s="163">
        <f>5*1.12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46" t="s">
        <v>42</v>
      </c>
      <c r="B83" s="46">
        <f>365*B80*B81*B82</f>
        <v>7758.6104732032263</v>
      </c>
      <c r="C83" s="46"/>
      <c r="D83" s="38"/>
      <c r="E83" s="32"/>
      <c r="F83" s="32"/>
      <c r="G83" s="32"/>
      <c r="H83" s="24">
        <f>G$37*F$9/F$7</f>
        <v>1.65</v>
      </c>
      <c r="I83" s="39">
        <f xml:space="preserve"> B83*H83</f>
        <v>12801.707280785322</v>
      </c>
      <c r="J83" s="48"/>
      <c r="K83" s="32"/>
      <c r="L83" s="32"/>
      <c r="M83" s="48"/>
      <c r="N83" s="32"/>
      <c r="O83" s="2"/>
      <c r="P83" s="2"/>
      <c r="Q83" s="56"/>
      <c r="R83" s="56"/>
      <c r="S83" s="56"/>
      <c r="T83" s="56"/>
      <c r="U83" s="56"/>
      <c r="V83" s="56"/>
      <c r="X83" s="110"/>
      <c r="Y83" s="161" t="s">
        <v>130</v>
      </c>
      <c r="Z83" s="110"/>
      <c r="AA83" s="165">
        <f>$I$83*Z82/4</f>
        <v>3200.4268201963305</v>
      </c>
      <c r="AB83" s="112"/>
      <c r="AC83" s="165">
        <f>$I$83*AB82/4</f>
        <v>3200.4268201963305</v>
      </c>
      <c r="AD83" s="112"/>
      <c r="AE83" s="165">
        <f>$I$83*AD82/4</f>
        <v>3200.4268201963305</v>
      </c>
      <c r="AF83" s="112"/>
      <c r="AG83" s="165">
        <f>$I$83*AF82/4</f>
        <v>3200.4268201963305</v>
      </c>
      <c r="AH83" s="165">
        <f>SUM(AA83,AC83,AE83,AG83)</f>
        <v>12801.707280785322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3">
        <f>B70+((1-D29)*B83)</f>
        <v>27014.536414639457</v>
      </c>
      <c r="C84" s="46"/>
      <c r="D84" s="234"/>
      <c r="E84" s="64"/>
      <c r="F84" s="64"/>
      <c r="G84" s="64"/>
      <c r="H84" s="235">
        <f>IF(B84=0,0,I84/B84)</f>
        <v>1.455671335183178</v>
      </c>
      <c r="I84" s="233">
        <f>(B70*H70)+((1-(D29*H29))*I83)</f>
        <v>39324.286292052799</v>
      </c>
      <c r="J84" s="48"/>
      <c r="K84" s="32"/>
      <c r="L84" s="32"/>
      <c r="M84" s="48"/>
      <c r="N84" s="32"/>
      <c r="O84" s="2"/>
      <c r="P84" s="2"/>
      <c r="Q84" s="56"/>
      <c r="R84" s="56"/>
      <c r="S84" s="56"/>
      <c r="T84" s="56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46" t="s">
        <v>43</v>
      </c>
      <c r="B85" s="46"/>
      <c r="C85" s="46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56"/>
      <c r="R85" s="56"/>
      <c r="S85" s="56"/>
      <c r="T85" s="56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46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I86" s="79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[1]Summ!$I$892</f>
        <v>0</v>
      </c>
      <c r="C87" s="5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185"/>
      <c r="AB87" s="185"/>
      <c r="AC87" s="185"/>
      <c r="AD87" s="185"/>
      <c r="AE87" s="185"/>
      <c r="AF87" s="185"/>
      <c r="AG87" s="185"/>
      <c r="AH87" s="186"/>
      <c r="AI87" s="188"/>
      <c r="AJ87" s="79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55" t="str">
        <f>A34</f>
        <v>Income : Poor HHs</v>
      </c>
      <c r="B88" s="56"/>
      <c r="C88" s="56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39"/>
      <c r="AB88" s="2"/>
      <c r="AC88" s="2"/>
      <c r="AD88" s="2"/>
      <c r="AE88" s="2"/>
      <c r="AF88" s="2"/>
      <c r="AG88" s="2"/>
      <c r="AI88" s="79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56"/>
      <c r="B89" s="59" t="s">
        <v>7</v>
      </c>
      <c r="C89" s="5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8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39"/>
      <c r="AB89" s="2"/>
      <c r="AC89" s="39"/>
      <c r="AD89" s="2"/>
      <c r="AE89" s="39"/>
      <c r="AF89" s="2"/>
      <c r="AG89" s="39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56" t="s">
        <v>44</v>
      </c>
      <c r="B90" s="59" t="s">
        <v>16</v>
      </c>
      <c r="C90" s="5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8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39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56" t="str">
        <f>IF(A37="","",A37)</f>
        <v>Pig sales: no sold</v>
      </c>
      <c r="B91" s="60">
        <f t="shared" ref="B91:C118" si="81">IF(B37="","",(B37/$B$83))</f>
        <v>0.25777811721668742</v>
      </c>
      <c r="C91" s="60">
        <f t="shared" si="81"/>
        <v>0</v>
      </c>
      <c r="D91" s="24">
        <f>SUM(B91,C91)</f>
        <v>0.25777811721668742</v>
      </c>
      <c r="H91" s="24">
        <f>(E37*F37/G37*F$7/F$9)</f>
        <v>0.57212121212121214</v>
      </c>
      <c r="I91" s="22">
        <f t="shared" ref="I91" si="82">(D91*H91)</f>
        <v>0.1474803288803351</v>
      </c>
      <c r="J91" s="24">
        <f>IF(I$32&lt;=1+I$131,I91,L91+J$33*(I91-L91))</f>
        <v>0.1474803288803351</v>
      </c>
      <c r="K91" s="22">
        <f t="shared" ref="K91" si="83">IF(B91="",0,B91)</f>
        <v>0.25777811721668742</v>
      </c>
      <c r="L91" s="22">
        <f t="shared" ref="L91" si="84">(K91*H91)</f>
        <v>0.1474803288803351</v>
      </c>
      <c r="M91" s="226">
        <f t="shared" si="80"/>
        <v>0.1474803288803351</v>
      </c>
      <c r="N91" s="228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39"/>
      <c r="AB91" s="2"/>
      <c r="AC91" s="39"/>
      <c r="AD91" s="2"/>
      <c r="AE91" s="39"/>
      <c r="AF91" s="2"/>
      <c r="AG91" s="39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56" t="str">
        <f t="shared" ref="A92:A118" si="85">IF(A38="","",A38)</f>
        <v>Cattle sales - local: no. sold</v>
      </c>
      <c r="B92" s="60">
        <f t="shared" si="81"/>
        <v>0</v>
      </c>
      <c r="C92" s="60">
        <f t="shared" si="81"/>
        <v>0</v>
      </c>
      <c r="D92" s="24">
        <f t="shared" ref="D92:D118" si="86">SUM(B92,C92)</f>
        <v>0</v>
      </c>
      <c r="H92" s="24">
        <f t="shared" ref="H92:H118" si="87">(E38*F38/G38*F$7/F$9)</f>
        <v>0.57212121212121214</v>
      </c>
      <c r="I92" s="22">
        <f t="shared" ref="I92:I118" si="88">(D92*H92)</f>
        <v>0</v>
      </c>
      <c r="J92" s="24">
        <f t="shared" ref="J92:J118" si="89">IF(I$32&lt;=1+I$131,I92,L92+J$33*(I92-L92))</f>
        <v>0</v>
      </c>
      <c r="K92" s="22">
        <f t="shared" ref="K92:K118" si="90">IF(B92="",0,B92)</f>
        <v>0</v>
      </c>
      <c r="L92" s="22">
        <f t="shared" ref="L92:L118" si="91">(K92*H92)</f>
        <v>0</v>
      </c>
      <c r="M92" s="226">
        <f t="shared" ref="M92:M118" si="92">(J92)</f>
        <v>0</v>
      </c>
      <c r="N92" s="228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173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56" t="str">
        <f t="shared" si="85"/>
        <v>Goat sales - local: no. sold</v>
      </c>
      <c r="B93" s="60">
        <f t="shared" si="81"/>
        <v>0</v>
      </c>
      <c r="C93" s="60">
        <f t="shared" si="81"/>
        <v>0</v>
      </c>
      <c r="D93" s="24">
        <f t="shared" si="86"/>
        <v>0</v>
      </c>
      <c r="H93" s="24">
        <f t="shared" si="87"/>
        <v>0.57212121212121214</v>
      </c>
      <c r="I93" s="22">
        <f t="shared" si="88"/>
        <v>0</v>
      </c>
      <c r="J93" s="24">
        <f t="shared" si="89"/>
        <v>0</v>
      </c>
      <c r="K93" s="22">
        <f t="shared" si="90"/>
        <v>0</v>
      </c>
      <c r="L93" s="22">
        <f t="shared" si="91"/>
        <v>0</v>
      </c>
      <c r="M93" s="226">
        <f t="shared" si="92"/>
        <v>0</v>
      </c>
      <c r="N93" s="228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56" t="str">
        <f t="shared" si="85"/>
        <v>Maize: kg produced</v>
      </c>
      <c r="B94" s="60">
        <f t="shared" si="81"/>
        <v>3.8666717582503111E-2</v>
      </c>
      <c r="C94" s="60">
        <f t="shared" si="81"/>
        <v>-3.8666717582503111E-2</v>
      </c>
      <c r="D94" s="24">
        <f t="shared" si="86"/>
        <v>0</v>
      </c>
      <c r="H94" s="24">
        <f t="shared" si="87"/>
        <v>0.92484848484848492</v>
      </c>
      <c r="I94" s="22">
        <f t="shared" si="88"/>
        <v>0</v>
      </c>
      <c r="J94" s="24">
        <f t="shared" si="89"/>
        <v>0</v>
      </c>
      <c r="K94" s="22">
        <f t="shared" si="90"/>
        <v>3.8666717582503111E-2</v>
      </c>
      <c r="L94" s="22">
        <f t="shared" si="91"/>
        <v>3.5760855170242273E-2</v>
      </c>
      <c r="M94" s="226">
        <f t="shared" si="92"/>
        <v>0</v>
      </c>
      <c r="N94" s="228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56" t="str">
        <f t="shared" si="85"/>
        <v>Maize (irrigated): kg produced</v>
      </c>
      <c r="B95" s="60">
        <f t="shared" si="81"/>
        <v>3.8666717582503111E-2</v>
      </c>
      <c r="C95" s="60">
        <f t="shared" si="81"/>
        <v>-3.8666717582503111E-2</v>
      </c>
      <c r="D95" s="24">
        <f t="shared" si="86"/>
        <v>0</v>
      </c>
      <c r="H95" s="24">
        <f t="shared" si="87"/>
        <v>0.92484848484848492</v>
      </c>
      <c r="I95" s="22">
        <f t="shared" si="88"/>
        <v>0</v>
      </c>
      <c r="J95" s="24">
        <f t="shared" si="89"/>
        <v>0</v>
      </c>
      <c r="K95" s="22">
        <f t="shared" si="90"/>
        <v>3.8666717582503111E-2</v>
      </c>
      <c r="L95" s="22">
        <f t="shared" si="91"/>
        <v>3.5760855170242273E-2</v>
      </c>
      <c r="M95" s="226">
        <f t="shared" si="92"/>
        <v>0</v>
      </c>
      <c r="N95" s="228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56" t="str">
        <f t="shared" si="85"/>
        <v>Beans season 2: kg produced</v>
      </c>
      <c r="B96" s="60">
        <f t="shared" si="81"/>
        <v>0</v>
      </c>
      <c r="C96" s="60">
        <f t="shared" si="81"/>
        <v>0</v>
      </c>
      <c r="D96" s="24">
        <f t="shared" si="86"/>
        <v>0</v>
      </c>
      <c r="H96" s="24">
        <f t="shared" si="87"/>
        <v>0.84848484848484851</v>
      </c>
      <c r="I96" s="22">
        <f t="shared" si="88"/>
        <v>0</v>
      </c>
      <c r="J96" s="24">
        <f t="shared" si="89"/>
        <v>0</v>
      </c>
      <c r="K96" s="22">
        <f t="shared" si="90"/>
        <v>0</v>
      </c>
      <c r="L96" s="22">
        <f t="shared" si="91"/>
        <v>0</v>
      </c>
      <c r="M96" s="226">
        <f t="shared" si="92"/>
        <v>0</v>
      </c>
      <c r="N96" s="228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56" t="str">
        <f t="shared" si="85"/>
        <v>Other root crops (sweet potato): no. local meas</v>
      </c>
      <c r="B97" s="60">
        <f t="shared" si="81"/>
        <v>0.12888905860834371</v>
      </c>
      <c r="C97" s="60">
        <f t="shared" si="81"/>
        <v>-0.12888905860834371</v>
      </c>
      <c r="D97" s="24">
        <f t="shared" si="86"/>
        <v>0</v>
      </c>
      <c r="H97" s="24">
        <f t="shared" si="87"/>
        <v>0.84848484848484851</v>
      </c>
      <c r="I97" s="22">
        <f t="shared" si="88"/>
        <v>0</v>
      </c>
      <c r="J97" s="24">
        <f t="shared" si="89"/>
        <v>0</v>
      </c>
      <c r="K97" s="22">
        <f t="shared" si="90"/>
        <v>0.12888905860834371</v>
      </c>
      <c r="L97" s="22">
        <f t="shared" si="91"/>
        <v>0.10936041336465527</v>
      </c>
      <c r="M97" s="226">
        <f t="shared" si="92"/>
        <v>0</v>
      </c>
      <c r="N97" s="228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56" t="str">
        <f t="shared" si="85"/>
        <v>Groundnuts (dry): no. local meas</v>
      </c>
      <c r="B98" s="60">
        <f t="shared" si="81"/>
        <v>0.11600015274750934</v>
      </c>
      <c r="C98" s="60">
        <f t="shared" si="81"/>
        <v>-0.11600015274750934</v>
      </c>
      <c r="D98" s="24">
        <f t="shared" si="86"/>
        <v>0</v>
      </c>
      <c r="H98" s="24">
        <f t="shared" si="87"/>
        <v>0.84848484848484851</v>
      </c>
      <c r="I98" s="22">
        <f t="shared" si="88"/>
        <v>0</v>
      </c>
      <c r="J98" s="24">
        <f t="shared" si="89"/>
        <v>0</v>
      </c>
      <c r="K98" s="22">
        <f t="shared" si="90"/>
        <v>0.11600015274750934</v>
      </c>
      <c r="L98" s="22">
        <f t="shared" si="91"/>
        <v>9.8424372028189752E-2</v>
      </c>
      <c r="M98" s="226">
        <f t="shared" si="92"/>
        <v>0</v>
      </c>
      <c r="N98" s="228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56" t="str">
        <f t="shared" si="85"/>
        <v>Other crop: Rape</v>
      </c>
      <c r="B99" s="60">
        <f t="shared" si="81"/>
        <v>2.2555585256460151E-2</v>
      </c>
      <c r="C99" s="60">
        <f t="shared" si="81"/>
        <v>-2.2555585256460151E-2</v>
      </c>
      <c r="D99" s="24">
        <f t="shared" si="86"/>
        <v>0</v>
      </c>
      <c r="H99" s="24">
        <f t="shared" si="87"/>
        <v>0.84848484848484851</v>
      </c>
      <c r="I99" s="22">
        <f t="shared" si="88"/>
        <v>0</v>
      </c>
      <c r="J99" s="24">
        <f t="shared" si="89"/>
        <v>0</v>
      </c>
      <c r="K99" s="22">
        <f t="shared" si="90"/>
        <v>2.2555585256460151E-2</v>
      </c>
      <c r="L99" s="22">
        <f t="shared" si="91"/>
        <v>1.9138072338814673E-2</v>
      </c>
      <c r="M99" s="226">
        <f t="shared" si="92"/>
        <v>0</v>
      </c>
      <c r="N99" s="228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56" t="str">
        <f t="shared" si="85"/>
        <v>Other cashcrop (cabbage): kg produced</v>
      </c>
      <c r="B100" s="60">
        <f t="shared" si="81"/>
        <v>0</v>
      </c>
      <c r="C100" s="60">
        <f t="shared" si="81"/>
        <v>0</v>
      </c>
      <c r="D100" s="24">
        <f t="shared" si="86"/>
        <v>0</v>
      </c>
      <c r="H100" s="24">
        <f t="shared" si="87"/>
        <v>0.84848484848484851</v>
      </c>
      <c r="I100" s="22">
        <f t="shared" si="88"/>
        <v>0</v>
      </c>
      <c r="J100" s="24">
        <f t="shared" si="89"/>
        <v>0</v>
      </c>
      <c r="K100" s="22">
        <f t="shared" si="90"/>
        <v>0</v>
      </c>
      <c r="L100" s="22">
        <f t="shared" si="91"/>
        <v>0</v>
      </c>
      <c r="M100" s="226">
        <f t="shared" si="92"/>
        <v>0</v>
      </c>
      <c r="N100" s="228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56" t="str">
        <f t="shared" si="85"/>
        <v>FISHING -- see worksheet Data 3</v>
      </c>
      <c r="B101" s="60">
        <f t="shared" si="81"/>
        <v>0.16111132326042965</v>
      </c>
      <c r="C101" s="60">
        <f t="shared" si="81"/>
        <v>0.24972255105366595</v>
      </c>
      <c r="D101" s="24">
        <f t="shared" si="86"/>
        <v>0.41083387431409557</v>
      </c>
      <c r="H101" s="24">
        <f t="shared" si="87"/>
        <v>0.7151515151515152</v>
      </c>
      <c r="I101" s="22">
        <f t="shared" si="88"/>
        <v>0.2938084676912926</v>
      </c>
      <c r="J101" s="24">
        <f t="shared" si="89"/>
        <v>0.2938084676912926</v>
      </c>
      <c r="K101" s="22">
        <f t="shared" si="90"/>
        <v>0.16111132326042965</v>
      </c>
      <c r="L101" s="22">
        <f t="shared" si="91"/>
        <v>0.11521900693776183</v>
      </c>
      <c r="M101" s="226">
        <f t="shared" si="92"/>
        <v>0.2938084676912926</v>
      </c>
      <c r="N101" s="228">
        <v>6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56" t="str">
        <f t="shared" si="85"/>
        <v>WILD FOODS -- see worksheet Data 3</v>
      </c>
      <c r="B102" s="60">
        <f t="shared" si="81"/>
        <v>0.1392001832970112</v>
      </c>
      <c r="C102" s="60">
        <f t="shared" si="81"/>
        <v>3.48000458242528E-2</v>
      </c>
      <c r="D102" s="24">
        <f t="shared" si="86"/>
        <v>0.17400022912126401</v>
      </c>
      <c r="H102" s="24">
        <f t="shared" si="87"/>
        <v>0.7151515151515152</v>
      </c>
      <c r="I102" s="22">
        <f t="shared" si="88"/>
        <v>0.12443652749278275</v>
      </c>
      <c r="J102" s="24">
        <f t="shared" si="89"/>
        <v>0.12443652749278275</v>
      </c>
      <c r="K102" s="22">
        <f t="shared" si="90"/>
        <v>0.1392001832970112</v>
      </c>
      <c r="L102" s="22">
        <f t="shared" si="91"/>
        <v>9.9549221994226195E-2</v>
      </c>
      <c r="M102" s="226">
        <f t="shared" si="92"/>
        <v>0.12443652749278275</v>
      </c>
      <c r="N102" s="228">
        <v>6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56" t="str">
        <f t="shared" si="85"/>
        <v>Agricultural casual work -- see Data2</v>
      </c>
      <c r="B103" s="60">
        <f t="shared" si="81"/>
        <v>0.26873368719839663</v>
      </c>
      <c r="C103" s="60">
        <f t="shared" si="81"/>
        <v>0</v>
      </c>
      <c r="D103" s="24">
        <f t="shared" si="86"/>
        <v>0.26873368719839663</v>
      </c>
      <c r="H103" s="24">
        <f t="shared" si="87"/>
        <v>0.67272727272727284</v>
      </c>
      <c r="I103" s="22">
        <f t="shared" si="88"/>
        <v>0.1807844804789214</v>
      </c>
      <c r="J103" s="24">
        <f t="shared" si="89"/>
        <v>0.1807844804789214</v>
      </c>
      <c r="K103" s="22">
        <f t="shared" si="90"/>
        <v>0.26873368719839663</v>
      </c>
      <c r="L103" s="22">
        <f t="shared" si="91"/>
        <v>0.1807844804789214</v>
      </c>
      <c r="M103" s="226">
        <f t="shared" si="92"/>
        <v>0.1807844804789214</v>
      </c>
      <c r="N103" s="228">
        <v>7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56" t="str">
        <f t="shared" si="85"/>
        <v>Construction casual work -- see Data2</v>
      </c>
      <c r="B104" s="60">
        <f t="shared" si="81"/>
        <v>0.18560024439601494</v>
      </c>
      <c r="C104" s="60">
        <f t="shared" si="81"/>
        <v>0</v>
      </c>
      <c r="D104" s="24">
        <f t="shared" si="86"/>
        <v>0.18560024439601494</v>
      </c>
      <c r="H104" s="24">
        <f t="shared" si="87"/>
        <v>0.67272727272727284</v>
      </c>
      <c r="I104" s="22">
        <f t="shared" si="88"/>
        <v>0.12485834623004644</v>
      </c>
      <c r="J104" s="24">
        <f t="shared" si="89"/>
        <v>0.12485834623004644</v>
      </c>
      <c r="K104" s="22">
        <f t="shared" si="90"/>
        <v>0.18560024439601494</v>
      </c>
      <c r="L104" s="22">
        <f t="shared" si="91"/>
        <v>0.12485834623004644</v>
      </c>
      <c r="M104" s="226">
        <f t="shared" si="92"/>
        <v>0.12485834623004644</v>
      </c>
      <c r="N104" s="228">
        <v>7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56" t="str">
        <f t="shared" si="85"/>
        <v>Domestic casual work -- see Data2</v>
      </c>
      <c r="B105" s="60">
        <f t="shared" si="81"/>
        <v>1.3610684589041095</v>
      </c>
      <c r="C105" s="60">
        <f t="shared" si="81"/>
        <v>0</v>
      </c>
      <c r="D105" s="24">
        <f t="shared" si="86"/>
        <v>1.3610684589041095</v>
      </c>
      <c r="H105" s="24">
        <f t="shared" si="87"/>
        <v>0.67272727272727284</v>
      </c>
      <c r="I105" s="22">
        <f t="shared" si="88"/>
        <v>0.91562787235367382</v>
      </c>
      <c r="J105" s="24">
        <f t="shared" si="89"/>
        <v>0.91562787235367382</v>
      </c>
      <c r="K105" s="22">
        <f t="shared" si="90"/>
        <v>1.3610684589041095</v>
      </c>
      <c r="L105" s="22">
        <f t="shared" si="91"/>
        <v>0.91562787235367382</v>
      </c>
      <c r="M105" s="226">
        <f t="shared" si="92"/>
        <v>0.91562787235367382</v>
      </c>
      <c r="N105" s="228">
        <v>7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56" t="str">
        <f t="shared" si="85"/>
        <v>Labour migration: no. people per HH</v>
      </c>
      <c r="B106" s="60">
        <f t="shared" si="81"/>
        <v>1.8560024439601495</v>
      </c>
      <c r="C106" s="60">
        <f t="shared" si="81"/>
        <v>0</v>
      </c>
      <c r="D106" s="24">
        <f t="shared" si="86"/>
        <v>1.8560024439601495</v>
      </c>
      <c r="H106" s="24">
        <f t="shared" si="87"/>
        <v>0.57212121212121214</v>
      </c>
      <c r="I106" s="22">
        <f t="shared" si="88"/>
        <v>1.0618583679384128</v>
      </c>
      <c r="J106" s="24">
        <f t="shared" si="89"/>
        <v>1.0618583679384128</v>
      </c>
      <c r="K106" s="22">
        <f t="shared" si="90"/>
        <v>1.8560024439601495</v>
      </c>
      <c r="L106" s="22">
        <f t="shared" si="91"/>
        <v>1.0618583679384128</v>
      </c>
      <c r="M106" s="226">
        <f t="shared" si="92"/>
        <v>1.0618583679384128</v>
      </c>
      <c r="N106" s="228">
        <v>8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56" t="str">
        <f t="shared" si="85"/>
        <v>Formal Employment (e.g. teachers, salaried staff, etc.)</v>
      </c>
      <c r="B107" s="60">
        <f t="shared" si="81"/>
        <v>0</v>
      </c>
      <c r="C107" s="60">
        <f t="shared" si="81"/>
        <v>0</v>
      </c>
      <c r="D107" s="24">
        <f t="shared" si="86"/>
        <v>0</v>
      </c>
      <c r="H107" s="24">
        <f t="shared" si="87"/>
        <v>0.57212121212121214</v>
      </c>
      <c r="I107" s="22">
        <f t="shared" si="88"/>
        <v>0</v>
      </c>
      <c r="J107" s="24">
        <f t="shared" si="89"/>
        <v>0</v>
      </c>
      <c r="K107" s="22">
        <f t="shared" si="90"/>
        <v>0</v>
      </c>
      <c r="L107" s="22">
        <f t="shared" si="91"/>
        <v>0</v>
      </c>
      <c r="M107" s="226">
        <f t="shared" si="92"/>
        <v>0</v>
      </c>
      <c r="N107" s="228">
        <v>8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56" t="str">
        <f t="shared" si="85"/>
        <v>Self-employment -- see Data2</v>
      </c>
      <c r="B108" s="60">
        <f t="shared" si="81"/>
        <v>0.82746775626556668</v>
      </c>
      <c r="C108" s="60">
        <f t="shared" si="81"/>
        <v>0.16549355125311332</v>
      </c>
      <c r="D108" s="24">
        <f t="shared" si="86"/>
        <v>0.99296130751868006</v>
      </c>
      <c r="H108" s="24">
        <f t="shared" si="87"/>
        <v>0.48484848484848486</v>
      </c>
      <c r="I108" s="22">
        <f t="shared" si="88"/>
        <v>0.48143578546360244</v>
      </c>
      <c r="J108" s="24">
        <f t="shared" si="89"/>
        <v>0.48143578546360244</v>
      </c>
      <c r="K108" s="22">
        <f t="shared" si="90"/>
        <v>0.82746775626556668</v>
      </c>
      <c r="L108" s="22">
        <f t="shared" si="91"/>
        <v>0.40119648788633538</v>
      </c>
      <c r="M108" s="226">
        <f t="shared" si="92"/>
        <v>0.48143578546360244</v>
      </c>
      <c r="N108" s="228">
        <v>10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56" t="str">
        <f t="shared" si="85"/>
        <v>Small business -- see Data2</v>
      </c>
      <c r="B109" s="60">
        <f t="shared" si="81"/>
        <v>0.12373349626400997</v>
      </c>
      <c r="C109" s="60">
        <f t="shared" si="81"/>
        <v>0</v>
      </c>
      <c r="D109" s="24">
        <f t="shared" si="86"/>
        <v>0.12373349626400997</v>
      </c>
      <c r="H109" s="24">
        <f t="shared" si="87"/>
        <v>0.57212121212121214</v>
      </c>
      <c r="I109" s="22">
        <f t="shared" si="88"/>
        <v>7.079055786256086E-2</v>
      </c>
      <c r="J109" s="24">
        <f t="shared" si="89"/>
        <v>7.079055786256086E-2</v>
      </c>
      <c r="K109" s="22">
        <f t="shared" si="90"/>
        <v>0.12373349626400997</v>
      </c>
      <c r="L109" s="22">
        <f t="shared" si="91"/>
        <v>7.079055786256086E-2</v>
      </c>
      <c r="M109" s="226">
        <f t="shared" si="92"/>
        <v>7.079055786256086E-2</v>
      </c>
      <c r="N109" s="228">
        <v>11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56" t="str">
        <f t="shared" si="85"/>
        <v>Social Cash Transfers -- see Data2</v>
      </c>
      <c r="B110" s="60">
        <f t="shared" si="81"/>
        <v>2.6061367650607101</v>
      </c>
      <c r="C110" s="60">
        <f t="shared" si="81"/>
        <v>0</v>
      </c>
      <c r="D110" s="24">
        <f t="shared" si="86"/>
        <v>2.6061367650607101</v>
      </c>
      <c r="H110" s="24">
        <f t="shared" si="87"/>
        <v>0</v>
      </c>
      <c r="I110" s="22">
        <f t="shared" si="88"/>
        <v>0</v>
      </c>
      <c r="J110" s="24">
        <f t="shared" si="89"/>
        <v>0</v>
      </c>
      <c r="K110" s="22">
        <f t="shared" si="90"/>
        <v>2.6061367650607101</v>
      </c>
      <c r="L110" s="22">
        <f t="shared" si="91"/>
        <v>0</v>
      </c>
      <c r="M110" s="226">
        <f t="shared" si="92"/>
        <v>0</v>
      </c>
      <c r="N110" s="228">
        <v>14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56" t="str">
        <f t="shared" si="85"/>
        <v>Remittances: no. times per year</v>
      </c>
      <c r="B111" s="60">
        <f t="shared" si="81"/>
        <v>0.61866748132004978</v>
      </c>
      <c r="C111" s="60">
        <f t="shared" si="81"/>
        <v>0</v>
      </c>
      <c r="D111" s="24">
        <f t="shared" si="86"/>
        <v>0.61866748132004978</v>
      </c>
      <c r="H111" s="24">
        <f t="shared" si="87"/>
        <v>0.67272727272727284</v>
      </c>
      <c r="I111" s="22">
        <f t="shared" si="88"/>
        <v>0.41619448743348808</v>
      </c>
      <c r="J111" s="24">
        <f t="shared" si="89"/>
        <v>0.41619448743348808</v>
      </c>
      <c r="K111" s="22">
        <f t="shared" si="90"/>
        <v>0.61866748132004978</v>
      </c>
      <c r="L111" s="22">
        <f t="shared" si="91"/>
        <v>0.41619448743348808</v>
      </c>
      <c r="M111" s="226">
        <f t="shared" si="92"/>
        <v>0.41619448743348808</v>
      </c>
      <c r="N111" s="228">
        <v>15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56" t="str">
        <f t="shared" si="85"/>
        <v/>
      </c>
      <c r="B112" s="60">
        <f t="shared" si="81"/>
        <v>0</v>
      </c>
      <c r="C112" s="60">
        <f t="shared" si="81"/>
        <v>0</v>
      </c>
      <c r="D112" s="24">
        <f t="shared" si="86"/>
        <v>0</v>
      </c>
      <c r="H112" s="24">
        <f t="shared" si="87"/>
        <v>0.60606060606060608</v>
      </c>
      <c r="I112" s="22">
        <f t="shared" si="88"/>
        <v>0</v>
      </c>
      <c r="J112" s="24">
        <f t="shared" si="89"/>
        <v>0</v>
      </c>
      <c r="K112" s="22">
        <f t="shared" si="90"/>
        <v>0</v>
      </c>
      <c r="L112" s="22">
        <f t="shared" si="91"/>
        <v>0</v>
      </c>
      <c r="M112" s="226">
        <f t="shared" si="92"/>
        <v>0</v>
      </c>
      <c r="N112" s="228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56" t="str">
        <f t="shared" si="85"/>
        <v/>
      </c>
      <c r="B113" s="60">
        <f t="shared" si="81"/>
        <v>0</v>
      </c>
      <c r="C113" s="60">
        <f t="shared" si="81"/>
        <v>0</v>
      </c>
      <c r="D113" s="24">
        <f t="shared" si="86"/>
        <v>0</v>
      </c>
      <c r="H113" s="24">
        <f t="shared" si="87"/>
        <v>0.60606060606060608</v>
      </c>
      <c r="I113" s="22">
        <f t="shared" si="88"/>
        <v>0</v>
      </c>
      <c r="J113" s="24">
        <f t="shared" si="89"/>
        <v>0</v>
      </c>
      <c r="K113" s="22">
        <f t="shared" si="90"/>
        <v>0</v>
      </c>
      <c r="L113" s="22">
        <f t="shared" si="91"/>
        <v>0</v>
      </c>
      <c r="M113" s="226">
        <f t="shared" si="92"/>
        <v>0</v>
      </c>
      <c r="N113" s="228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56" t="str">
        <f t="shared" si="85"/>
        <v/>
      </c>
      <c r="B114" s="60">
        <f t="shared" si="81"/>
        <v>0</v>
      </c>
      <c r="C114" s="60">
        <f t="shared" si="81"/>
        <v>0</v>
      </c>
      <c r="D114" s="24">
        <f t="shared" si="86"/>
        <v>0</v>
      </c>
      <c r="H114" s="24">
        <f t="shared" si="87"/>
        <v>0.60606060606060608</v>
      </c>
      <c r="I114" s="22">
        <f t="shared" si="88"/>
        <v>0</v>
      </c>
      <c r="J114" s="24">
        <f t="shared" si="89"/>
        <v>0</v>
      </c>
      <c r="K114" s="22">
        <f t="shared" si="90"/>
        <v>0</v>
      </c>
      <c r="L114" s="22">
        <f t="shared" si="91"/>
        <v>0</v>
      </c>
      <c r="M114" s="226">
        <f t="shared" si="92"/>
        <v>0</v>
      </c>
      <c r="N114" s="228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56" t="str">
        <f t="shared" si="85"/>
        <v/>
      </c>
      <c r="B115" s="60">
        <f t="shared" si="81"/>
        <v>0</v>
      </c>
      <c r="C115" s="60">
        <f t="shared" si="81"/>
        <v>0</v>
      </c>
      <c r="D115" s="24">
        <f t="shared" si="86"/>
        <v>0</v>
      </c>
      <c r="H115" s="24">
        <f t="shared" si="87"/>
        <v>0.60606060606060608</v>
      </c>
      <c r="I115" s="22">
        <f t="shared" si="88"/>
        <v>0</v>
      </c>
      <c r="J115" s="24">
        <f t="shared" si="89"/>
        <v>0</v>
      </c>
      <c r="K115" s="22">
        <f t="shared" si="90"/>
        <v>0</v>
      </c>
      <c r="L115" s="22">
        <f t="shared" si="91"/>
        <v>0</v>
      </c>
      <c r="M115" s="226">
        <f t="shared" si="92"/>
        <v>0</v>
      </c>
      <c r="N115" s="228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56" t="str">
        <f t="shared" si="85"/>
        <v/>
      </c>
      <c r="B116" s="60">
        <f t="shared" si="81"/>
        <v>0</v>
      </c>
      <c r="C116" s="60">
        <f t="shared" si="81"/>
        <v>0</v>
      </c>
      <c r="D116" s="24">
        <f t="shared" si="86"/>
        <v>0</v>
      </c>
      <c r="H116" s="24">
        <f t="shared" si="87"/>
        <v>0.60606060606060608</v>
      </c>
      <c r="I116" s="22">
        <f t="shared" si="88"/>
        <v>0</v>
      </c>
      <c r="J116" s="24">
        <f t="shared" si="89"/>
        <v>0</v>
      </c>
      <c r="K116" s="22">
        <f t="shared" si="90"/>
        <v>0</v>
      </c>
      <c r="L116" s="22">
        <f t="shared" si="91"/>
        <v>0</v>
      </c>
      <c r="M116" s="226">
        <f t="shared" si="92"/>
        <v>0</v>
      </c>
      <c r="N116" s="2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56" t="str">
        <f t="shared" si="85"/>
        <v/>
      </c>
      <c r="B117" s="60">
        <f t="shared" si="81"/>
        <v>0</v>
      </c>
      <c r="C117" s="60">
        <f t="shared" si="81"/>
        <v>0</v>
      </c>
      <c r="D117" s="24">
        <f t="shared" si="86"/>
        <v>0</v>
      </c>
      <c r="H117" s="24">
        <f t="shared" si="87"/>
        <v>0.60606060606060608</v>
      </c>
      <c r="I117" s="22">
        <f t="shared" si="88"/>
        <v>0</v>
      </c>
      <c r="J117" s="24">
        <f t="shared" si="89"/>
        <v>0</v>
      </c>
      <c r="K117" s="22">
        <f t="shared" si="90"/>
        <v>0</v>
      </c>
      <c r="L117" s="22">
        <f t="shared" si="91"/>
        <v>0</v>
      </c>
      <c r="M117" s="226">
        <f t="shared" si="92"/>
        <v>0</v>
      </c>
      <c r="N117" s="2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56" t="str">
        <f t="shared" si="85"/>
        <v/>
      </c>
      <c r="B118" s="60">
        <f t="shared" si="81"/>
        <v>0</v>
      </c>
      <c r="C118" s="60">
        <f t="shared" si="81"/>
        <v>0</v>
      </c>
      <c r="D118" s="24">
        <f t="shared" si="86"/>
        <v>0</v>
      </c>
      <c r="H118" s="24">
        <f t="shared" si="87"/>
        <v>0.60606060606060608</v>
      </c>
      <c r="I118" s="22">
        <f t="shared" si="88"/>
        <v>0</v>
      </c>
      <c r="J118" s="24">
        <f t="shared" si="89"/>
        <v>0</v>
      </c>
      <c r="K118" s="22">
        <f t="shared" si="90"/>
        <v>0</v>
      </c>
      <c r="L118" s="22">
        <f t="shared" si="91"/>
        <v>0</v>
      </c>
      <c r="M118" s="226">
        <f t="shared" si="92"/>
        <v>0</v>
      </c>
      <c r="N118" s="2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56" t="s">
        <v>32</v>
      </c>
      <c r="B119" s="29">
        <f>SUM(B91:B118)</f>
        <v>8.7502781889204542</v>
      </c>
      <c r="C119" s="29">
        <f>SUM(C91:C118)</f>
        <v>0.1052379163537126</v>
      </c>
      <c r="D119" s="24">
        <f>SUM(D91:D118)</f>
        <v>8.855516105274166</v>
      </c>
      <c r="E119" s="22"/>
      <c r="F119" s="2"/>
      <c r="G119" s="2"/>
      <c r="H119" s="31"/>
      <c r="I119" s="22">
        <f>SUM(I91:I118)</f>
        <v>3.817275221825116</v>
      </c>
      <c r="J119" s="24">
        <f>SUM(J91:J118)</f>
        <v>3.817275221825116</v>
      </c>
      <c r="K119" s="22">
        <f>SUM(K91:K118)</f>
        <v>8.7502781889204542</v>
      </c>
      <c r="L119" s="22">
        <f>SUM(L91:L118)</f>
        <v>3.8320037260679061</v>
      </c>
      <c r="M119" s="57">
        <f t="shared" si="80"/>
        <v>3.817275221825116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61"/>
      <c r="B120" s="61"/>
      <c r="C120" s="61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55" t="str">
        <f>A67</f>
        <v>Expenditure : Poor HHs</v>
      </c>
      <c r="B121" s="56"/>
      <c r="C121" s="56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56"/>
      <c r="B122" s="59" t="s">
        <v>7</v>
      </c>
      <c r="C122" s="56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56" t="s">
        <v>44</v>
      </c>
      <c r="B123" s="59" t="s">
        <v>35</v>
      </c>
      <c r="C123" s="56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2.7065149411656972</v>
      </c>
      <c r="C124" s="56"/>
      <c r="D124" s="24"/>
      <c r="H124" s="96">
        <f>(E70*F70/G$37*F$7/F$9)</f>
        <v>0.84848484848484851</v>
      </c>
      <c r="I124" s="29">
        <f>IF(SUMPRODUCT($B$124:$B124,$H$124:$H124)&lt;I$119,($B124*$H124),I$119)</f>
        <v>2.2964369197769554</v>
      </c>
      <c r="J124" s="236">
        <f>IF(SUMPRODUCT($B$124:$B124,$H$124:$H124)&lt;J$119,($B124*$H124),J$119)</f>
        <v>2.2964369197769554</v>
      </c>
      <c r="K124" s="29">
        <f>(B124)</f>
        <v>2.7065149411656972</v>
      </c>
      <c r="L124" s="29">
        <f>IF(SUMPRODUCT($B$124:$B124,$H$124:$H124)&lt;L$119,($B124*$H124),L$119)</f>
        <v>2.2964369197769554</v>
      </c>
      <c r="M124" s="239">
        <f t="shared" si="93"/>
        <v>2.2964369197769554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2.2141421748132006</v>
      </c>
      <c r="C125" s="56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1.5208383020481606</v>
      </c>
      <c r="J125" s="236">
        <f>IF(SUMPRODUCT($B$124:$B125,$H$124:$H125)&lt;J$119,($B125*$H125),IF(SUMPRODUCT($B$124:$B124,$H$124:$H124)&lt;J$119,J$119-SUMPRODUCT($B$124:$B124,$H$124:$H124),0))</f>
        <v>1.5208383020481606</v>
      </c>
      <c r="K125" s="29">
        <f>(B125)</f>
        <v>2.2141421748132006</v>
      </c>
      <c r="L125" s="29">
        <f>IF(SUMPRODUCT($B$124:$B125,$H$124:$H125)&lt;L$119,($B125*$H125),IF(SUMPRODUCT($B$124:$B124,$H$124:$H124)&lt;L$119,L$119-SUMPRODUCT($B$124:$B124,$H$124:$H124),0))</f>
        <v>1.5355668062909507</v>
      </c>
      <c r="M125" s="239">
        <f t="shared" si="93"/>
        <v>1.5208383020481606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3.575898042029888</v>
      </c>
      <c r="C126" s="56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94">(B126)</f>
        <v>3.575898042029888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39">
        <f t="shared" si="93"/>
        <v>0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0.48784508683258099</v>
      </c>
      <c r="C127" s="56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94"/>
        <v>0.48784508683258099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39">
        <f t="shared" si="9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0.59392078206724785</v>
      </c>
      <c r="C128" s="56"/>
      <c r="D128" s="31"/>
      <c r="E128" s="2"/>
      <c r="F128" s="2"/>
      <c r="G128" s="2"/>
      <c r="H128" s="24"/>
      <c r="I128" s="29">
        <f>(I30)</f>
        <v>1.5208383020481606</v>
      </c>
      <c r="J128" s="227">
        <f>(J30)</f>
        <v>-2.5643504583786614E-2</v>
      </c>
      <c r="K128" s="29">
        <f>(B128)</f>
        <v>0.59392078206724785</v>
      </c>
      <c r="L128" s="29">
        <f>IF(L124=L119,0,(L119-L124)/(B119-B124)*K128)</f>
        <v>0.15090019266516355</v>
      </c>
      <c r="M128" s="239">
        <f t="shared" si="93"/>
        <v>-2.5643504583786614E-2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56"/>
      <c r="D129" s="31"/>
      <c r="E129" s="2"/>
      <c r="F129" s="2"/>
      <c r="G129" s="2"/>
      <c r="H129" s="24"/>
      <c r="I129" s="29"/>
      <c r="J129" s="227">
        <f>IF(SUM(J124:J128)&gt;J130,0,J130-SUM(J124:J128))</f>
        <v>2.5643504583786836E-2</v>
      </c>
      <c r="K129" s="29">
        <f>(B129)</f>
        <v>0</v>
      </c>
      <c r="L129" s="60">
        <f>IF(SUM(L124:L128)&gt;L130,0,L130-SUM(L124:L128))</f>
        <v>0</v>
      </c>
      <c r="M129" s="239">
        <f t="shared" si="93"/>
        <v>2.5643504583786836E-2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56" t="s">
        <v>32</v>
      </c>
      <c r="B130" s="29">
        <f>(B119)</f>
        <v>8.7502781889204542</v>
      </c>
      <c r="C130" s="56"/>
      <c r="D130" s="31"/>
      <c r="E130" s="2"/>
      <c r="F130" s="2"/>
      <c r="G130" s="2"/>
      <c r="H130" s="24"/>
      <c r="I130" s="29">
        <f>(I119)</f>
        <v>3.817275221825116</v>
      </c>
      <c r="J130" s="227">
        <f>(J119)</f>
        <v>3.817275221825116</v>
      </c>
      <c r="K130" s="29">
        <f>(B130)</f>
        <v>8.7502781889204542</v>
      </c>
      <c r="L130" s="29">
        <f>(L119)</f>
        <v>3.8320037260679061</v>
      </c>
      <c r="M130" s="239">
        <f t="shared" si="93"/>
        <v>3.817275221825116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56" t="s">
        <v>36</v>
      </c>
      <c r="B131" s="29"/>
      <c r="C131" s="56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1.5834471310785316</v>
      </c>
      <c r="J131" s="236">
        <f>IF(SUMPRODUCT($B124:$B125,$H124:$H125)&gt;(J119-J128),SUMPRODUCT($B124:$B125,$H124:$H125)+J128-J119,0)</f>
        <v>3.6965324446583736E-2</v>
      </c>
      <c r="K131" s="29"/>
      <c r="L131" s="29">
        <f>IF(I131&lt;SUM(L126:L127),0,I131-(SUM(L126:L127)))</f>
        <v>1.5834471310785316</v>
      </c>
      <c r="M131" s="236">
        <f>IF(I131&lt;SUM(M126:M127),0,I131-(SUM(M126:M127)))</f>
        <v>1.5834471310785316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54"/>
      <c r="B132" s="54"/>
      <c r="C132" s="5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56"/>
      <c r="B142" s="56"/>
      <c r="C142" s="56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9"/>
      <c r="C143" s="29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9"/>
      <c r="C144" s="29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9"/>
      <c r="C145" s="29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56"/>
      <c r="C146" s="56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9"/>
      <c r="C147" s="29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9"/>
      <c r="C148" s="29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9"/>
      <c r="C149" s="29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9"/>
      <c r="C150" s="29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9"/>
      <c r="C151" s="29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9"/>
      <c r="C152" s="29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56"/>
      <c r="B153" s="56"/>
      <c r="C153" s="56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70"/>
      <c r="B154" s="56"/>
      <c r="C154" s="56"/>
      <c r="D154" s="2"/>
      <c r="E154" s="2"/>
      <c r="F154" s="2"/>
      <c r="H154" s="2"/>
      <c r="I154" s="2"/>
      <c r="J154" s="2"/>
      <c r="L154" s="2"/>
      <c r="W154" s="71"/>
    </row>
    <row r="155" spans="1:33">
      <c r="A155" s="56"/>
      <c r="B155" s="56"/>
      <c r="C155" s="56"/>
      <c r="D155" s="2"/>
      <c r="E155" s="2"/>
      <c r="F155" s="2"/>
      <c r="H155" s="2"/>
      <c r="I155" s="2"/>
      <c r="J155" s="2"/>
      <c r="L155" s="2"/>
      <c r="W155" s="71"/>
    </row>
    <row r="156" spans="1:33">
      <c r="A156" s="56"/>
      <c r="B156" s="56"/>
      <c r="C156" s="56"/>
      <c r="D156" s="2"/>
      <c r="E156" s="2"/>
      <c r="F156" s="2"/>
      <c r="H156" s="2"/>
      <c r="I156" s="2"/>
      <c r="J156" s="2"/>
      <c r="L156" s="2"/>
      <c r="W156" s="71"/>
    </row>
    <row r="157" spans="1:33">
      <c r="A157" s="29"/>
      <c r="B157" s="56"/>
      <c r="C157" s="56"/>
      <c r="D157" s="2"/>
      <c r="E157" s="2"/>
      <c r="F157" s="2"/>
      <c r="H157" s="2"/>
      <c r="I157" s="2"/>
      <c r="J157" s="2"/>
      <c r="L157" s="2"/>
      <c r="W157" s="71"/>
    </row>
    <row r="158" spans="1:33">
      <c r="A158" s="56"/>
      <c r="B158" s="56"/>
      <c r="C158" s="56"/>
      <c r="D158" s="2"/>
      <c r="E158" s="2"/>
      <c r="F158" s="2"/>
      <c r="H158" s="2"/>
      <c r="I158" s="2"/>
      <c r="J158" s="2"/>
      <c r="L158" s="2"/>
      <c r="W158" s="71"/>
    </row>
    <row r="159" spans="1:33">
      <c r="A159" s="56"/>
      <c r="B159" s="56"/>
      <c r="C159" s="56"/>
      <c r="D159" s="2"/>
      <c r="E159" s="2"/>
      <c r="F159" s="2"/>
      <c r="H159" s="2"/>
      <c r="I159" s="2"/>
      <c r="J159" s="2"/>
      <c r="L159" s="2"/>
    </row>
    <row r="160" spans="1:33">
      <c r="A160" s="56"/>
      <c r="B160" s="56"/>
      <c r="C160" s="56"/>
      <c r="D160" s="2"/>
      <c r="E160" s="2"/>
      <c r="F160" s="2"/>
      <c r="H160" s="2"/>
      <c r="I160" s="2"/>
      <c r="J160" s="2"/>
      <c r="L160" s="2"/>
    </row>
    <row r="161" spans="1:28">
      <c r="A161" s="56"/>
      <c r="B161" s="56"/>
      <c r="C161" s="56"/>
      <c r="D161" s="2"/>
      <c r="E161" s="2"/>
      <c r="F161" s="2"/>
      <c r="H161" s="2"/>
      <c r="I161" s="2"/>
      <c r="J161" s="2"/>
      <c r="L161" s="2"/>
      <c r="AB161" s="71"/>
    </row>
    <row r="162" spans="1:28">
      <c r="A162" s="56"/>
      <c r="B162" s="56"/>
      <c r="C162" s="56"/>
      <c r="D162" s="2"/>
      <c r="E162" s="2"/>
      <c r="F162" s="2"/>
      <c r="H162" s="2"/>
      <c r="I162" s="2"/>
      <c r="J162" s="2"/>
      <c r="L162" s="2"/>
      <c r="AB162" s="71"/>
    </row>
    <row r="163" spans="1:28">
      <c r="A163" s="56"/>
      <c r="B163" s="56"/>
      <c r="C163" s="56"/>
      <c r="D163" s="2"/>
      <c r="E163" s="2"/>
      <c r="F163" s="2"/>
      <c r="H163" s="2"/>
      <c r="I163" s="2"/>
      <c r="J163" s="2"/>
      <c r="L163" s="2"/>
      <c r="AB163" s="71"/>
    </row>
    <row r="164" spans="1:28">
      <c r="A164" s="56"/>
      <c r="B164" s="56"/>
      <c r="C164" s="56"/>
      <c r="D164" s="2"/>
      <c r="E164" s="2"/>
      <c r="F164" s="2"/>
      <c r="H164" s="2"/>
      <c r="I164" s="2"/>
      <c r="J164" s="2"/>
      <c r="L164" s="2"/>
      <c r="AB164" s="71"/>
    </row>
    <row r="165" spans="1:28">
      <c r="A165" s="56"/>
      <c r="B165" s="56"/>
      <c r="C165" s="56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56"/>
      <c r="B166" s="56"/>
      <c r="C166" s="56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56"/>
      <c r="B167" s="56"/>
      <c r="C167" s="56"/>
      <c r="D167" s="2"/>
      <c r="E167" s="2"/>
      <c r="F167" s="2"/>
      <c r="H167" s="2"/>
      <c r="I167" s="2"/>
      <c r="J167" s="2"/>
      <c r="L167" s="2"/>
      <c r="AB167" s="71"/>
    </row>
    <row r="168" spans="1:28">
      <c r="A168" s="56"/>
      <c r="B168" s="56"/>
      <c r="C168" s="56"/>
      <c r="D168" s="2"/>
      <c r="E168" s="2"/>
      <c r="F168" s="2"/>
      <c r="H168" s="2"/>
      <c r="I168" s="2"/>
      <c r="J168" s="2"/>
      <c r="L168" s="2"/>
      <c r="AB168" s="71"/>
    </row>
    <row r="169" spans="1:28">
      <c r="A169" s="56"/>
      <c r="B169" s="56"/>
      <c r="C169" s="56"/>
      <c r="D169" s="2"/>
      <c r="E169" s="2"/>
      <c r="F169" s="2"/>
      <c r="H169" s="2"/>
      <c r="I169" s="2"/>
      <c r="J169" s="2"/>
      <c r="L169" s="2"/>
      <c r="AB169" s="71"/>
    </row>
    <row r="170" spans="1:28">
      <c r="A170" s="56"/>
      <c r="B170" s="56"/>
      <c r="C170" s="56"/>
      <c r="D170" s="2"/>
      <c r="E170" s="2"/>
      <c r="F170" s="2"/>
      <c r="H170" s="2"/>
      <c r="I170" s="2"/>
      <c r="J170" s="2"/>
      <c r="L170" s="2"/>
    </row>
    <row r="171" spans="1:28">
      <c r="A171" s="56"/>
      <c r="B171" s="56"/>
      <c r="C171" s="56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56"/>
      <c r="B172" s="56"/>
      <c r="C172" s="56"/>
      <c r="D172" s="2"/>
      <c r="E172" s="2"/>
      <c r="F172" s="2"/>
      <c r="H172" s="2"/>
      <c r="I172" s="2"/>
      <c r="J172" s="2"/>
      <c r="L172" s="2"/>
      <c r="W172" s="72"/>
    </row>
    <row r="173" spans="1:28">
      <c r="A173" s="56"/>
      <c r="B173" s="56"/>
      <c r="C173" s="56"/>
      <c r="D173" s="2"/>
      <c r="E173" s="2"/>
      <c r="F173" s="2"/>
      <c r="H173" s="2"/>
      <c r="I173" s="2"/>
      <c r="J173" s="2"/>
      <c r="L173" s="2"/>
    </row>
    <row r="174" spans="1:28">
      <c r="A174" s="56"/>
      <c r="B174" s="56"/>
      <c r="C174" s="56"/>
      <c r="D174" s="2"/>
      <c r="E174" s="2"/>
      <c r="F174" s="2"/>
      <c r="H174" s="2"/>
      <c r="I174" s="2"/>
      <c r="J174" s="2"/>
      <c r="L174" s="2"/>
    </row>
    <row r="175" spans="1:28">
      <c r="A175" s="56"/>
      <c r="B175" s="56"/>
      <c r="C175" s="56"/>
      <c r="D175" s="2"/>
      <c r="E175" s="2"/>
      <c r="F175" s="2"/>
      <c r="H175" s="2"/>
      <c r="I175" s="2"/>
      <c r="J175" s="2"/>
      <c r="L175" s="2"/>
      <c r="AB175" s="71"/>
    </row>
    <row r="176" spans="1:28">
      <c r="A176" s="56"/>
      <c r="B176" s="56"/>
      <c r="C176" s="56"/>
      <c r="D176" s="2"/>
      <c r="E176" s="2"/>
      <c r="F176" s="2"/>
      <c r="H176" s="2"/>
      <c r="I176" s="2"/>
      <c r="J176" s="2"/>
      <c r="L176" s="2"/>
      <c r="AB176" s="71"/>
    </row>
    <row r="177" spans="1:28">
      <c r="A177" s="56"/>
      <c r="B177" s="56"/>
      <c r="C177" s="56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56"/>
      <c r="B178" s="56"/>
      <c r="C178" s="56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56"/>
      <c r="B179" s="56"/>
      <c r="C179" s="56"/>
      <c r="D179" s="2"/>
      <c r="E179" s="2"/>
      <c r="F179" s="2"/>
      <c r="H179" s="2"/>
      <c r="I179" s="2"/>
      <c r="J179" s="2"/>
      <c r="L179" s="2"/>
      <c r="AB179" s="71"/>
    </row>
    <row r="180" spans="1:28">
      <c r="A180" s="56"/>
      <c r="B180" s="56"/>
      <c r="C180" s="56"/>
      <c r="D180" s="2"/>
      <c r="E180" s="2"/>
      <c r="F180" s="2"/>
      <c r="H180" s="2"/>
      <c r="I180" s="2"/>
      <c r="J180" s="2"/>
      <c r="L180" s="2"/>
      <c r="AB180" s="71"/>
    </row>
    <row r="181" spans="1:28">
      <c r="A181" s="56"/>
      <c r="B181" s="56"/>
      <c r="C181" s="56"/>
      <c r="D181" s="2"/>
      <c r="E181" s="2"/>
      <c r="F181" s="2"/>
      <c r="H181" s="2"/>
      <c r="I181" s="2"/>
      <c r="J181" s="2"/>
      <c r="L181" s="2"/>
    </row>
    <row r="182" spans="1:28">
      <c r="A182" s="56"/>
      <c r="B182" s="56"/>
      <c r="C182" s="56"/>
      <c r="D182" s="2"/>
      <c r="E182" s="2"/>
      <c r="F182" s="2"/>
      <c r="H182" s="2"/>
      <c r="I182" s="2"/>
      <c r="J182" s="2"/>
      <c r="L182" s="2"/>
    </row>
    <row r="183" spans="1:28">
      <c r="A183" s="56"/>
      <c r="B183" s="56"/>
      <c r="C183" s="56"/>
      <c r="D183" s="2"/>
      <c r="E183" s="2"/>
      <c r="F183" s="2"/>
      <c r="H183" s="2"/>
      <c r="I183" s="2"/>
      <c r="J183" s="2"/>
      <c r="L183" s="2"/>
    </row>
    <row r="184" spans="1:28">
      <c r="A184" s="56"/>
      <c r="B184" s="56"/>
      <c r="C184" s="56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Z1:AA1"/>
    <mergeCell ref="AB1:AC1"/>
    <mergeCell ref="AD1:AE1"/>
    <mergeCell ref="AF1:AG1"/>
    <mergeCell ref="Z2:AA2"/>
    <mergeCell ref="AB2:AC2"/>
    <mergeCell ref="AD2:AE2"/>
    <mergeCell ref="AF2:AG2"/>
  </mergeCells>
  <phoneticPr fontId="1" type="noConversion"/>
  <conditionalFormatting sqref="N27:N29 U7:U22">
    <cfRule type="cellIs" dxfId="392" priority="196" operator="equal">
      <formula>16</formula>
    </cfRule>
    <cfRule type="cellIs" dxfId="391" priority="197" operator="equal">
      <formula>15</formula>
    </cfRule>
    <cfRule type="cellIs" dxfId="390" priority="198" operator="equal">
      <formula>14</formula>
    </cfRule>
    <cfRule type="cellIs" dxfId="389" priority="199" operator="equal">
      <formula>13</formula>
    </cfRule>
    <cfRule type="cellIs" dxfId="388" priority="200" operator="equal">
      <formula>12</formula>
    </cfRule>
    <cfRule type="cellIs" dxfId="387" priority="201" operator="equal">
      <formula>11</formula>
    </cfRule>
    <cfRule type="cellIs" dxfId="386" priority="202" operator="equal">
      <formula>10</formula>
    </cfRule>
    <cfRule type="cellIs" dxfId="385" priority="203" operator="equal">
      <formula>9</formula>
    </cfRule>
    <cfRule type="cellIs" dxfId="384" priority="204" operator="equal">
      <formula>8</formula>
    </cfRule>
    <cfRule type="cellIs" dxfId="383" priority="205" operator="equal">
      <formula>7</formula>
    </cfRule>
    <cfRule type="cellIs" dxfId="382" priority="206" operator="equal">
      <formula>6</formula>
    </cfRule>
    <cfRule type="cellIs" dxfId="381" priority="207" operator="equal">
      <formula>5</formula>
    </cfRule>
    <cfRule type="cellIs" dxfId="380" priority="208" operator="equal">
      <formula>4</formula>
    </cfRule>
    <cfRule type="cellIs" dxfId="379" priority="209" operator="equal">
      <formula>3</formula>
    </cfRule>
    <cfRule type="cellIs" dxfId="378" priority="210" operator="equal">
      <formula>2</formula>
    </cfRule>
    <cfRule type="cellIs" dxfId="377" priority="211" operator="equal">
      <formula>1</formula>
    </cfRule>
  </conditionalFormatting>
  <conditionalFormatting sqref="N116:N118">
    <cfRule type="cellIs" dxfId="376" priority="132" operator="equal">
      <formula>16</formula>
    </cfRule>
    <cfRule type="cellIs" dxfId="375" priority="133" operator="equal">
      <formula>15</formula>
    </cfRule>
    <cfRule type="cellIs" dxfId="374" priority="134" operator="equal">
      <formula>14</formula>
    </cfRule>
    <cfRule type="cellIs" dxfId="373" priority="135" operator="equal">
      <formula>13</formula>
    </cfRule>
    <cfRule type="cellIs" dxfId="372" priority="136" operator="equal">
      <formula>12</formula>
    </cfRule>
    <cfRule type="cellIs" dxfId="371" priority="137" operator="equal">
      <formula>11</formula>
    </cfRule>
    <cfRule type="cellIs" dxfId="370" priority="138" operator="equal">
      <formula>10</formula>
    </cfRule>
    <cfRule type="cellIs" dxfId="369" priority="139" operator="equal">
      <formula>9</formula>
    </cfRule>
    <cfRule type="cellIs" dxfId="368" priority="140" operator="equal">
      <formula>8</formula>
    </cfRule>
    <cfRule type="cellIs" dxfId="367" priority="141" operator="equal">
      <formula>7</formula>
    </cfRule>
    <cfRule type="cellIs" dxfId="366" priority="142" operator="equal">
      <formula>6</formula>
    </cfRule>
    <cfRule type="cellIs" dxfId="365" priority="143" operator="equal">
      <formula>5</formula>
    </cfRule>
    <cfRule type="cellIs" dxfId="364" priority="144" operator="equal">
      <formula>4</formula>
    </cfRule>
    <cfRule type="cellIs" dxfId="363" priority="145" operator="equal">
      <formula>3</formula>
    </cfRule>
    <cfRule type="cellIs" dxfId="362" priority="146" operator="equal">
      <formula>2</formula>
    </cfRule>
    <cfRule type="cellIs" dxfId="361" priority="147" operator="equal">
      <formula>1</formula>
    </cfRule>
  </conditionalFormatting>
  <conditionalFormatting sqref="N6:N26">
    <cfRule type="cellIs" dxfId="360" priority="68" operator="equal">
      <formula>16</formula>
    </cfRule>
    <cfRule type="cellIs" dxfId="359" priority="69" operator="equal">
      <formula>15</formula>
    </cfRule>
    <cfRule type="cellIs" dxfId="358" priority="70" operator="equal">
      <formula>14</formula>
    </cfRule>
    <cfRule type="cellIs" dxfId="357" priority="71" operator="equal">
      <formula>13</formula>
    </cfRule>
    <cfRule type="cellIs" dxfId="356" priority="72" operator="equal">
      <formula>12</formula>
    </cfRule>
    <cfRule type="cellIs" dxfId="355" priority="73" operator="equal">
      <formula>11</formula>
    </cfRule>
    <cfRule type="cellIs" dxfId="354" priority="74" operator="equal">
      <formula>10</formula>
    </cfRule>
    <cfRule type="cellIs" dxfId="353" priority="75" operator="equal">
      <formula>9</formula>
    </cfRule>
    <cfRule type="cellIs" dxfId="352" priority="76" operator="equal">
      <formula>8</formula>
    </cfRule>
    <cfRule type="cellIs" dxfId="351" priority="77" operator="equal">
      <formula>7</formula>
    </cfRule>
    <cfRule type="cellIs" dxfId="350" priority="78" operator="equal">
      <formula>6</formula>
    </cfRule>
    <cfRule type="cellIs" dxfId="349" priority="79" operator="equal">
      <formula>5</formula>
    </cfRule>
    <cfRule type="cellIs" dxfId="348" priority="80" operator="equal">
      <formula>4</formula>
    </cfRule>
    <cfRule type="cellIs" dxfId="347" priority="81" operator="equal">
      <formula>3</formula>
    </cfRule>
    <cfRule type="cellIs" dxfId="346" priority="82" operator="equal">
      <formula>2</formula>
    </cfRule>
    <cfRule type="cellIs" dxfId="345" priority="83" operator="equal">
      <formula>1</formula>
    </cfRule>
  </conditionalFormatting>
  <conditionalFormatting sqref="N113:N115">
    <cfRule type="cellIs" dxfId="344" priority="52" operator="equal">
      <formula>16</formula>
    </cfRule>
    <cfRule type="cellIs" dxfId="343" priority="53" operator="equal">
      <formula>15</formula>
    </cfRule>
    <cfRule type="cellIs" dxfId="342" priority="54" operator="equal">
      <formula>14</formula>
    </cfRule>
    <cfRule type="cellIs" dxfId="341" priority="55" operator="equal">
      <formula>13</formula>
    </cfRule>
    <cfRule type="cellIs" dxfId="340" priority="56" operator="equal">
      <formula>12</formula>
    </cfRule>
    <cfRule type="cellIs" dxfId="339" priority="57" operator="equal">
      <formula>11</formula>
    </cfRule>
    <cfRule type="cellIs" dxfId="338" priority="58" operator="equal">
      <formula>10</formula>
    </cfRule>
    <cfRule type="cellIs" dxfId="337" priority="59" operator="equal">
      <formula>9</formula>
    </cfRule>
    <cfRule type="cellIs" dxfId="336" priority="60" operator="equal">
      <formula>8</formula>
    </cfRule>
    <cfRule type="cellIs" dxfId="335" priority="61" operator="equal">
      <formula>7</formula>
    </cfRule>
    <cfRule type="cellIs" dxfId="334" priority="62" operator="equal">
      <formula>6</formula>
    </cfRule>
    <cfRule type="cellIs" dxfId="333" priority="63" operator="equal">
      <formula>5</formula>
    </cfRule>
    <cfRule type="cellIs" dxfId="332" priority="64" operator="equal">
      <formula>4</formula>
    </cfRule>
    <cfRule type="cellIs" dxfId="331" priority="65" operator="equal">
      <formula>3</formula>
    </cfRule>
    <cfRule type="cellIs" dxfId="330" priority="66" operator="equal">
      <formula>2</formula>
    </cfRule>
    <cfRule type="cellIs" dxfId="329" priority="67" operator="equal">
      <formula>1</formula>
    </cfRule>
  </conditionalFormatting>
  <conditionalFormatting sqref="N112">
    <cfRule type="cellIs" dxfId="328" priority="36" operator="equal">
      <formula>16</formula>
    </cfRule>
    <cfRule type="cellIs" dxfId="327" priority="37" operator="equal">
      <formula>15</formula>
    </cfRule>
    <cfRule type="cellIs" dxfId="326" priority="38" operator="equal">
      <formula>14</formula>
    </cfRule>
    <cfRule type="cellIs" dxfId="325" priority="39" operator="equal">
      <formula>13</formula>
    </cfRule>
    <cfRule type="cellIs" dxfId="324" priority="40" operator="equal">
      <formula>12</formula>
    </cfRule>
    <cfRule type="cellIs" dxfId="323" priority="41" operator="equal">
      <formula>11</formula>
    </cfRule>
    <cfRule type="cellIs" dxfId="322" priority="42" operator="equal">
      <formula>10</formula>
    </cfRule>
    <cfRule type="cellIs" dxfId="321" priority="43" operator="equal">
      <formula>9</formula>
    </cfRule>
    <cfRule type="cellIs" dxfId="320" priority="44" operator="equal">
      <formula>8</formula>
    </cfRule>
    <cfRule type="cellIs" dxfId="319" priority="45" operator="equal">
      <formula>7</formula>
    </cfRule>
    <cfRule type="cellIs" dxfId="318" priority="46" operator="equal">
      <formula>6</formula>
    </cfRule>
    <cfRule type="cellIs" dxfId="317" priority="47" operator="equal">
      <formula>5</formula>
    </cfRule>
    <cfRule type="cellIs" dxfId="316" priority="48" operator="equal">
      <formula>4</formula>
    </cfRule>
    <cfRule type="cellIs" dxfId="315" priority="49" operator="equal">
      <formula>3</formula>
    </cfRule>
    <cfRule type="cellIs" dxfId="314" priority="50" operator="equal">
      <formula>2</formula>
    </cfRule>
    <cfRule type="cellIs" dxfId="313" priority="51" operator="equal">
      <formula>1</formula>
    </cfRule>
  </conditionalFormatting>
  <conditionalFormatting sqref="N91:N104">
    <cfRule type="cellIs" dxfId="312" priority="20" operator="equal">
      <formula>16</formula>
    </cfRule>
    <cfRule type="cellIs" dxfId="311" priority="21" operator="equal">
      <formula>15</formula>
    </cfRule>
    <cfRule type="cellIs" dxfId="310" priority="22" operator="equal">
      <formula>14</formula>
    </cfRule>
    <cfRule type="cellIs" dxfId="309" priority="23" operator="equal">
      <formula>13</formula>
    </cfRule>
    <cfRule type="cellIs" dxfId="308" priority="24" operator="equal">
      <formula>12</formula>
    </cfRule>
    <cfRule type="cellIs" dxfId="307" priority="25" operator="equal">
      <formula>11</formula>
    </cfRule>
    <cfRule type="cellIs" dxfId="306" priority="26" operator="equal">
      <formula>10</formula>
    </cfRule>
    <cfRule type="cellIs" dxfId="305" priority="27" operator="equal">
      <formula>9</formula>
    </cfRule>
    <cfRule type="cellIs" dxfId="304" priority="28" operator="equal">
      <formula>8</formula>
    </cfRule>
    <cfRule type="cellIs" dxfId="303" priority="29" operator="equal">
      <formula>7</formula>
    </cfRule>
    <cfRule type="cellIs" dxfId="302" priority="30" operator="equal">
      <formula>6</formula>
    </cfRule>
    <cfRule type="cellIs" dxfId="301" priority="31" operator="equal">
      <formula>5</formula>
    </cfRule>
    <cfRule type="cellIs" dxfId="300" priority="32" operator="equal">
      <formula>4</formula>
    </cfRule>
    <cfRule type="cellIs" dxfId="299" priority="33" operator="equal">
      <formula>3</formula>
    </cfRule>
    <cfRule type="cellIs" dxfId="298" priority="34" operator="equal">
      <formula>2</formula>
    </cfRule>
    <cfRule type="cellIs" dxfId="297" priority="35" operator="equal">
      <formula>1</formula>
    </cfRule>
  </conditionalFormatting>
  <conditionalFormatting sqref="N105:N111">
    <cfRule type="cellIs" dxfId="296" priority="4" operator="equal">
      <formula>16</formula>
    </cfRule>
    <cfRule type="cellIs" dxfId="295" priority="5" operator="equal">
      <formula>15</formula>
    </cfRule>
    <cfRule type="cellIs" dxfId="294" priority="6" operator="equal">
      <formula>14</formula>
    </cfRule>
    <cfRule type="cellIs" dxfId="293" priority="7" operator="equal">
      <formula>13</formula>
    </cfRule>
    <cfRule type="cellIs" dxfId="292" priority="8" operator="equal">
      <formula>12</formula>
    </cfRule>
    <cfRule type="cellIs" dxfId="291" priority="9" operator="equal">
      <formula>11</formula>
    </cfRule>
    <cfRule type="cellIs" dxfId="290" priority="10" operator="equal">
      <formula>10</formula>
    </cfRule>
    <cfRule type="cellIs" dxfId="289" priority="11" operator="equal">
      <formula>9</formula>
    </cfRule>
    <cfRule type="cellIs" dxfId="288" priority="12" operator="equal">
      <formula>8</formula>
    </cfRule>
    <cfRule type="cellIs" dxfId="287" priority="13" operator="equal">
      <formula>7</formula>
    </cfRule>
    <cfRule type="cellIs" dxfId="286" priority="14" operator="equal">
      <formula>6</formula>
    </cfRule>
    <cfRule type="cellIs" dxfId="285" priority="15" operator="equal">
      <formula>5</formula>
    </cfRule>
    <cfRule type="cellIs" dxfId="284" priority="16" operator="equal">
      <formula>4</formula>
    </cfRule>
    <cfRule type="cellIs" dxfId="283" priority="17" operator="equal">
      <formula>3</formula>
    </cfRule>
    <cfRule type="cellIs" dxfId="282" priority="18" operator="equal">
      <formula>2</formula>
    </cfRule>
    <cfRule type="cellIs" dxfId="281" priority="19" operator="equal">
      <formula>1</formula>
    </cfRule>
  </conditionalFormatting>
  <conditionalFormatting sqref="R31:T31">
    <cfRule type="cellIs" dxfId="280" priority="3" operator="greaterThan">
      <formula>0</formula>
    </cfRule>
  </conditionalFormatting>
  <conditionalFormatting sqref="R32:T32">
    <cfRule type="cellIs" dxfId="279" priority="2" operator="greaterThan">
      <formula>0</formula>
    </cfRule>
  </conditionalFormatting>
  <conditionalFormatting sqref="R30:T30">
    <cfRule type="cellIs" dxfId="278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36"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31" sqref="M31"/>
    </sheetView>
  </sheetViews>
  <sheetFormatPr baseColWidth="10" defaultColWidth="8" defaultRowHeight="15" x14ac:dyDescent="0"/>
  <cols>
    <col min="1" max="1" width="21.855468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ZALOI: 59302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8" t="str">
        <f>Poor!Z2</f>
        <v>Q1</v>
      </c>
      <c r="AA2" s="259"/>
      <c r="AB2" s="258" t="str">
        <f>Poor!AB2</f>
        <v>Q2</v>
      </c>
      <c r="AC2" s="259"/>
      <c r="AD2" s="258" t="str">
        <f>Poor!AD2</f>
        <v>Q3</v>
      </c>
      <c r="AE2" s="259"/>
      <c r="AF2" s="258" t="str">
        <f>Poor!AF2</f>
        <v>Q4</v>
      </c>
      <c r="AG2" s="259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46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101">
        <f>IF([1]Summ!$H1044="",0,[1]Summ!$H1044)</f>
        <v>2.8155317559153167E-2</v>
      </c>
      <c r="C6" s="102">
        <f>IF([1]Summ!$I1044="",0,[1]Summ!$I1044)</f>
        <v>0</v>
      </c>
      <c r="D6" s="24">
        <f t="shared" ref="D6:D29" si="0">(B6+C6)</f>
        <v>2.8155317559153167E-2</v>
      </c>
      <c r="E6" s="75">
        <f>Poor!E6</f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1.4077658779576584E-2</v>
      </c>
      <c r="J6" s="24">
        <f t="shared" ref="J6:J13" si="3">IF(I$32&lt;=1+I$131,I6,B6*H6+J$33*(I6-B6*H6))</f>
        <v>1.4077658779576584E-2</v>
      </c>
      <c r="K6" s="22">
        <f t="shared" ref="K6:K31" si="4">B6</f>
        <v>2.8155317559153167E-2</v>
      </c>
      <c r="L6" s="22">
        <f t="shared" ref="L6:L29" si="5">IF(K6="","",K6*H6)</f>
        <v>1.4077658779576584E-2</v>
      </c>
      <c r="M6" s="223">
        <f t="shared" ref="M6:M31" si="6">J6</f>
        <v>1.4077658779576584E-2</v>
      </c>
      <c r="N6" s="228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5.6310635118306335E-2</v>
      </c>
      <c r="Z6" s="156">
        <f>Poor!Z6</f>
        <v>0.17</v>
      </c>
      <c r="AA6" s="121">
        <f>$M6*Z6*4</f>
        <v>9.5728079701120784E-3</v>
      </c>
      <c r="AB6" s="156">
        <f>Poor!AB6</f>
        <v>0.17</v>
      </c>
      <c r="AC6" s="121">
        <f t="shared" ref="AC6:AC29" si="7">$M6*AB6*4</f>
        <v>9.5728079701120784E-3</v>
      </c>
      <c r="AD6" s="156">
        <f>Poor!AD6</f>
        <v>0.33</v>
      </c>
      <c r="AE6" s="121">
        <f t="shared" ref="AE6:AE29" si="8">$M6*AD6*4</f>
        <v>1.8582509589041091E-2</v>
      </c>
      <c r="AF6" s="122">
        <f>1-SUM(Z6,AB6,AD6)</f>
        <v>0.32999999999999996</v>
      </c>
      <c r="AG6" s="121">
        <f>$M6*AF6*4</f>
        <v>1.8582509589041087E-2</v>
      </c>
      <c r="AH6" s="123">
        <f>SUM(Z6,AB6,AD6,AF6)</f>
        <v>1</v>
      </c>
      <c r="AI6" s="183">
        <f>SUM(AA6,AC6,AE6,AG6)/4</f>
        <v>1.4077658779576584E-2</v>
      </c>
      <c r="AJ6" s="120">
        <f>(AA6+AC6)/2</f>
        <v>9.5728079701120784E-3</v>
      </c>
      <c r="AK6" s="119">
        <f>(AE6+AG6)/2</f>
        <v>1.8582509589041091E-2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Cows' milk - season 2</v>
      </c>
      <c r="B7" s="101">
        <f>IF([1]Summ!$H1045="",0,[1]Summ!$H1045)</f>
        <v>1.8770211706102116E-2</v>
      </c>
      <c r="C7" s="102">
        <f>IF([1]Summ!$I1045="",0,[1]Summ!$I1045)</f>
        <v>0</v>
      </c>
      <c r="D7" s="24">
        <f t="shared" si="0"/>
        <v>1.8770211706102116E-2</v>
      </c>
      <c r="E7" s="75">
        <f>Poor!E7</f>
        <v>0.5</v>
      </c>
      <c r="F7" s="27">
        <v>8800</v>
      </c>
      <c r="H7" s="24">
        <f t="shared" si="1"/>
        <v>0.5</v>
      </c>
      <c r="I7" s="22">
        <f t="shared" si="2"/>
        <v>9.3851058530510581E-3</v>
      </c>
      <c r="J7" s="24">
        <f t="shared" si="3"/>
        <v>9.3851058530510581E-3</v>
      </c>
      <c r="K7" s="22">
        <f t="shared" si="4"/>
        <v>1.8770211706102116E-2</v>
      </c>
      <c r="L7" s="22">
        <f t="shared" si="5"/>
        <v>9.3851058530510581E-3</v>
      </c>
      <c r="M7" s="223">
        <f t="shared" si="6"/>
        <v>9.3851058530510581E-3</v>
      </c>
      <c r="N7" s="228">
        <v>3</v>
      </c>
      <c r="O7" s="2"/>
      <c r="P7" s="22"/>
      <c r="Q7" s="59" t="s">
        <v>71</v>
      </c>
      <c r="R7" s="221">
        <f>IF($B$81=0,0,(SUMIF($N$6:$N$28,$U7,K$6:K$28)+SUMIF($N$91:$N$118,$U7,K$91:K$118))*$B$83*$H$84*Poor!$B$81/$B$81)</f>
        <v>5493.7993359155798</v>
      </c>
      <c r="S7" s="221">
        <f>IF($B$81=0,0,(SUMIF($N$6:$N$28,$U7,L$6:L$28)+SUMIF($N$91:$N$118,$U7,L$91:L$118))*$I$83*Poor!$B$81/$B$81)</f>
        <v>6653.114473321586</v>
      </c>
      <c r="T7" s="221">
        <f>IF($B$81=0,0,(SUMIF($N$6:$N$28,$U7,M$6:M$28)+SUMIF($N$91:$N$118,$U7,M$91:M$118))*$I$83*Poor!$B$81/$B$81)</f>
        <v>10229.996934657667</v>
      </c>
      <c r="U7" s="222">
        <v>1</v>
      </c>
      <c r="V7" s="56"/>
      <c r="W7" s="115"/>
      <c r="X7" s="118">
        <f>Poor!X7</f>
        <v>4</v>
      </c>
      <c r="Y7" s="183">
        <f t="shared" ref="Y7:Y29" si="9">M7*4</f>
        <v>3.7540423412204232E-2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3.7540423412204232E-2</v>
      </c>
      <c r="AH7" s="123">
        <f t="shared" ref="AH7:AH30" si="12">SUM(Z7,AB7,AD7,AF7)</f>
        <v>1</v>
      </c>
      <c r="AI7" s="183">
        <f t="shared" ref="AI7:AI30" si="13">SUM(AA7,AC7,AE7,AG7)/4</f>
        <v>9.3851058530510581E-3</v>
      </c>
      <c r="AJ7" s="120">
        <f t="shared" ref="AJ7:AJ31" si="14">(AA7+AC7)/2</f>
        <v>0</v>
      </c>
      <c r="AK7" s="119">
        <f t="shared" ref="AK7:AK31" si="15">(AE7+AG7)/2</f>
        <v>1.8770211706102116E-2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Own meat</v>
      </c>
      <c r="B8" s="101">
        <f>IF([1]Summ!$H1046="",0,[1]Summ!$H1046)</f>
        <v>5.906425124533001E-3</v>
      </c>
      <c r="C8" s="102">
        <f>IF([1]Summ!$I1046="",0,[1]Summ!$I1046)</f>
        <v>0</v>
      </c>
      <c r="D8" s="24">
        <f t="shared" si="0"/>
        <v>5.906425124533001E-3</v>
      </c>
      <c r="E8" s="75">
        <f>Poor!E8</f>
        <v>0.5</v>
      </c>
      <c r="F8" s="22" t="s">
        <v>23</v>
      </c>
      <c r="H8" s="24">
        <f t="shared" si="1"/>
        <v>0.5</v>
      </c>
      <c r="I8" s="22">
        <f t="shared" si="2"/>
        <v>2.9532125622665005E-3</v>
      </c>
      <c r="J8" s="24">
        <f t="shared" si="3"/>
        <v>2.9532125622665005E-3</v>
      </c>
      <c r="K8" s="22">
        <f t="shared" si="4"/>
        <v>5.906425124533001E-3</v>
      </c>
      <c r="L8" s="22">
        <f t="shared" si="5"/>
        <v>2.9532125622665005E-3</v>
      </c>
      <c r="M8" s="223">
        <f t="shared" si="6"/>
        <v>2.9532125622665005E-3</v>
      </c>
      <c r="N8" s="228">
        <v>3</v>
      </c>
      <c r="O8" s="2"/>
      <c r="P8" s="22"/>
      <c r="Q8" s="59" t="s">
        <v>72</v>
      </c>
      <c r="R8" s="221">
        <f>IF($B$81=0,0,(SUMIF($N$6:$N$28,$U8,K$6:K$28)+SUMIF($N$91:$N$118,$U8,K$91:K$118))*$B$83*$H$84*Poor!$B$81/$B$81)</f>
        <v>7824.2334266095804</v>
      </c>
      <c r="S8" s="221">
        <f>IF($B$81=0,0,(SUMIF($N$6:$N$28,$U8,L$6:L$28)+SUMIF($N$91:$N$118,$U8,L$91:L$118))*$I$83*Poor!$B$81/$B$81)</f>
        <v>7676.1999999999989</v>
      </c>
      <c r="T8" s="221">
        <f>IF($B$81=0,0,(SUMIF($N$6:$N$28,$U8,M$6:M$28)+SUMIF($N$91:$N$118,$U8,M$91:M$118))*$I$83*Poor!$B$81/$B$81)</f>
        <v>2476.2445739542432</v>
      </c>
      <c r="U8" s="222">
        <v>2</v>
      </c>
      <c r="V8" s="56"/>
      <c r="W8" s="115"/>
      <c r="X8" s="118">
        <f>Poor!X8</f>
        <v>1</v>
      </c>
      <c r="Y8" s="183">
        <f t="shared" si="9"/>
        <v>1.1812850249066002E-2</v>
      </c>
      <c r="Z8" s="125">
        <f>IF($Y8=0,0,AA8/$Y8)</f>
        <v>0.25909794718142298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3.0606852498945621E-3</v>
      </c>
      <c r="AB8" s="125">
        <f>IF($Y8=0,0,AC8/$Y8)</f>
        <v>0.26729406829902108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3.1575048012799562E-3</v>
      </c>
      <c r="AD8" s="125">
        <f>IF($Y8=0,0,AE8/$Y8)</f>
        <v>0.26885340543986769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3.1759250174125835E-3</v>
      </c>
      <c r="AF8" s="122">
        <f t="shared" si="10"/>
        <v>0.2047545790796883</v>
      </c>
      <c r="AG8" s="121">
        <f t="shared" si="11"/>
        <v>2.4187351804789005E-3</v>
      </c>
      <c r="AH8" s="123">
        <f t="shared" si="12"/>
        <v>1</v>
      </c>
      <c r="AI8" s="183">
        <f t="shared" si="13"/>
        <v>2.9532125622665005E-3</v>
      </c>
      <c r="AJ8" s="120">
        <f t="shared" si="14"/>
        <v>3.109095025587259E-3</v>
      </c>
      <c r="AK8" s="119">
        <f t="shared" si="15"/>
        <v>2.797330098945742E-3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Green cons - Season 1: no of months</v>
      </c>
      <c r="B9" s="101">
        <f>IF([1]Summ!$H1047="",0,[1]Summ!$H1047)</f>
        <v>0</v>
      </c>
      <c r="C9" s="102">
        <f>IF([1]Summ!$I1047="",0,[1]Summ!$I1047)</f>
        <v>0</v>
      </c>
      <c r="D9" s="24">
        <f t="shared" si="0"/>
        <v>0</v>
      </c>
      <c r="E9" s="75">
        <f>Poor!E9</f>
        <v>1</v>
      </c>
      <c r="F9" s="76">
        <f>Poor!F9</f>
        <v>8800</v>
      </c>
      <c r="H9" s="24">
        <f t="shared" si="1"/>
        <v>1</v>
      </c>
      <c r="I9" s="22">
        <f t="shared" si="2"/>
        <v>0</v>
      </c>
      <c r="J9" s="24">
        <f t="shared" si="3"/>
        <v>0</v>
      </c>
      <c r="K9" s="22">
        <f t="shared" si="4"/>
        <v>0</v>
      </c>
      <c r="L9" s="22">
        <f t="shared" si="5"/>
        <v>0</v>
      </c>
      <c r="M9" s="223">
        <f t="shared" si="6"/>
        <v>0</v>
      </c>
      <c r="N9" s="228">
        <v>1</v>
      </c>
      <c r="O9" s="2"/>
      <c r="P9" s="22"/>
      <c r="Q9" s="59" t="s">
        <v>73</v>
      </c>
      <c r="R9" s="221">
        <f>IF($B$81=0,0,(SUMIF($N$6:$N$28,$U9,K$6:K$28)+SUMIF($N$91:$N$118,$U9,K$91:K$118))*$B$83*$H$84*Poor!$B$81/$B$81)</f>
        <v>596.68339902004163</v>
      </c>
      <c r="S9" s="221">
        <f>IF($B$81=0,0,(SUMIF($N$6:$N$28,$U9,L$6:L$28)+SUMIF($N$91:$N$118,$U9,L$91:L$118))*$I$83*Poor!$B$81/$B$81)</f>
        <v>338.16960758493536</v>
      </c>
      <c r="T9" s="221">
        <f>IF($B$81=0,0,(SUMIF($N$6:$N$28,$U9,M$6:M$28)+SUMIF($N$91:$N$118,$U9,M$91:M$118))*$I$83*Poor!$B$81/$B$81)</f>
        <v>338.16960758493536</v>
      </c>
      <c r="U9" s="222">
        <v>3</v>
      </c>
      <c r="V9" s="56"/>
      <c r="W9" s="115"/>
      <c r="X9" s="118">
        <f>Poor!X9</f>
        <v>1</v>
      </c>
      <c r="Y9" s="183">
        <f t="shared" si="9"/>
        <v>0</v>
      </c>
      <c r="Z9" s="125">
        <f>IF($Y9=0,0,AA9/$Y9)</f>
        <v>0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1</v>
      </c>
      <c r="AG9" s="121">
        <f t="shared" si="11"/>
        <v>0</v>
      </c>
      <c r="AH9" s="123">
        <f t="shared" si="12"/>
        <v>1</v>
      </c>
      <c r="AI9" s="183">
        <f t="shared" si="13"/>
        <v>0</v>
      </c>
      <c r="AJ9" s="120">
        <f t="shared" si="14"/>
        <v>0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Maize: kg produced</v>
      </c>
      <c r="B10" s="101">
        <f>IF([1]Summ!$H1048="",0,[1]Summ!$H1048)</f>
        <v>0.32530145547945205</v>
      </c>
      <c r="C10" s="102">
        <f>IF([1]Summ!$I1048="",0,[1]Summ!$I1048)</f>
        <v>0.14194972602739725</v>
      </c>
      <c r="D10" s="24">
        <f t="shared" si="0"/>
        <v>0.4672511815068493</v>
      </c>
      <c r="E10" s="75">
        <f>Poor!E10</f>
        <v>1.0900000000000001</v>
      </c>
      <c r="H10" s="24">
        <f t="shared" si="1"/>
        <v>1.0900000000000001</v>
      </c>
      <c r="I10" s="22">
        <f t="shared" si="2"/>
        <v>0.50930378784246577</v>
      </c>
      <c r="J10" s="24">
        <f t="shared" si="3"/>
        <v>0.47729664730193094</v>
      </c>
      <c r="K10" s="22">
        <f t="shared" si="4"/>
        <v>0.32530145547945205</v>
      </c>
      <c r="L10" s="22">
        <f t="shared" si="5"/>
        <v>0.35457858647260276</v>
      </c>
      <c r="M10" s="223">
        <f t="shared" si="6"/>
        <v>0.47729664730193094</v>
      </c>
      <c r="N10" s="228">
        <v>1</v>
      </c>
      <c r="O10" s="2"/>
      <c r="P10" s="22"/>
      <c r="Q10" s="59" t="s">
        <v>74</v>
      </c>
      <c r="R10" s="221">
        <f>IF($B$81=0,0,(SUMIF($N$6:$N$28,$U10,K$6:K$28)+SUMIF($N$91:$N$118,$U10,K$91:K$118))*$B$83*$H$84*Poor!$B$81/$B$81)</f>
        <v>0</v>
      </c>
      <c r="S10" s="221">
        <f>IF($B$81=0,0,(SUMIF($N$6:$N$28,$U10,L$6:L$28)+SUMIF($N$91:$N$118,$U10,L$91:L$118))*$I$83*Poor!$B$81/$B$81)</f>
        <v>0</v>
      </c>
      <c r="T10" s="221">
        <f>IF($B$81=0,0,(SUMIF($N$6:$N$28,$U10,M$6:M$28)+SUMIF($N$91:$N$118,$U10,M$91:M$118))*$I$83*Poor!$B$81/$B$81)</f>
        <v>0</v>
      </c>
      <c r="U10" s="222">
        <v>4</v>
      </c>
      <c r="V10" s="56"/>
      <c r="W10" s="115"/>
      <c r="X10" s="118">
        <f>Poor!X10</f>
        <v>1</v>
      </c>
      <c r="Y10" s="183">
        <f t="shared" si="9"/>
        <v>1.9091865892077238</v>
      </c>
      <c r="Z10" s="125">
        <f>IF($Y10=0,0,AA10/$Y10)</f>
        <v>0.25909794718142298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0.49466632605002392</v>
      </c>
      <c r="AB10" s="125">
        <f>IF($Y10=0,0,AC10/$Y10)</f>
        <v>0.26729406829902108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0.51031425057126445</v>
      </c>
      <c r="AD10" s="125">
        <f>IF($Y10=0,0,AE10/$Y10)</f>
        <v>0.26885340543986763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0.51329131612862222</v>
      </c>
      <c r="AF10" s="122">
        <f t="shared" si="10"/>
        <v>0.2047545790796883</v>
      </c>
      <c r="AG10" s="121">
        <f t="shared" si="11"/>
        <v>0.39091469645781324</v>
      </c>
      <c r="AH10" s="123">
        <f t="shared" si="12"/>
        <v>1</v>
      </c>
      <c r="AI10" s="183">
        <f t="shared" si="13"/>
        <v>0.47729664730193089</v>
      </c>
      <c r="AJ10" s="120">
        <f t="shared" si="14"/>
        <v>0.50249028831064413</v>
      </c>
      <c r="AK10" s="119">
        <f t="shared" si="15"/>
        <v>0.45210300629321776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Maize (irrigated): kg produced</v>
      </c>
      <c r="B11" s="101">
        <f>IF([1]Summ!$H1049="",0,[1]Summ!$H1049)</f>
        <v>4.4359289383561637E-2</v>
      </c>
      <c r="C11" s="102">
        <f>IF([1]Summ!$I1049="",0,[1]Summ!$I1049)</f>
        <v>4.7316575342465764E-2</v>
      </c>
      <c r="D11" s="24">
        <f t="shared" si="0"/>
        <v>9.1675864726027401E-2</v>
      </c>
      <c r="E11" s="75">
        <f>Poor!E11</f>
        <v>1.0900000000000001</v>
      </c>
      <c r="H11" s="24">
        <f t="shared" si="1"/>
        <v>1.0900000000000001</v>
      </c>
      <c r="I11" s="22">
        <f t="shared" si="2"/>
        <v>9.9926692551369878E-2</v>
      </c>
      <c r="J11" s="24">
        <f t="shared" si="3"/>
        <v>8.9257645704524935E-2</v>
      </c>
      <c r="K11" s="22">
        <f t="shared" si="4"/>
        <v>4.4359289383561637E-2</v>
      </c>
      <c r="L11" s="22">
        <f t="shared" si="5"/>
        <v>4.835162542808219E-2</v>
      </c>
      <c r="M11" s="223">
        <f t="shared" si="6"/>
        <v>8.9257645704524935E-2</v>
      </c>
      <c r="N11" s="228">
        <v>1</v>
      </c>
      <c r="O11" s="2"/>
      <c r="P11" s="22"/>
      <c r="Q11" s="59" t="s">
        <v>75</v>
      </c>
      <c r="R11" s="221">
        <f>IF($B$81=0,0,(SUMIF($N$6:$N$28,$U11,K$6:K$28)+SUMIF($N$91:$N$118,$U11,K$91:K$118))*$B$83*$H$84*Poor!$B$81/$B$81)</f>
        <v>12809.907749611966</v>
      </c>
      <c r="S11" s="221">
        <f>IF($B$81=0,0,(SUMIF($N$6:$N$28,$U11,L$6:L$28)+SUMIF($N$91:$N$118,$U11,L$91:L$118))*$I$83*Poor!$B$81/$B$81)</f>
        <v>8307.1999999999989</v>
      </c>
      <c r="T11" s="221">
        <f>IF($B$81=0,0,(SUMIF($N$6:$N$28,$U11,M$6:M$28)+SUMIF($N$91:$N$118,$U11,M$91:M$118))*$I$83*Poor!$B$81/$B$81)</f>
        <v>9991.819951331745</v>
      </c>
      <c r="U11" s="222">
        <v>5</v>
      </c>
      <c r="V11" s="56"/>
      <c r="W11" s="115"/>
      <c r="X11" s="118">
        <f>Poor!X11</f>
        <v>1</v>
      </c>
      <c r="Y11" s="183">
        <f t="shared" si="9"/>
        <v>0.35703058281809974</v>
      </c>
      <c r="Z11" s="125">
        <f>IF($Y11=0,0,AA11/$Y11)</f>
        <v>0.25909794718142298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9.2505891089156675E-2</v>
      </c>
      <c r="AB11" s="125">
        <f>IF($Y11=0,0,AC11/$Y11)</f>
        <v>0.26729406829902108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9.5432156988620453E-2</v>
      </c>
      <c r="AD11" s="125">
        <f>IF($Y11=0,0,AE11/$Y11)</f>
        <v>0.26885340543986763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9.5988888036826814E-2</v>
      </c>
      <c r="AF11" s="122">
        <f t="shared" si="10"/>
        <v>0.2047545790796883</v>
      </c>
      <c r="AG11" s="121">
        <f t="shared" si="11"/>
        <v>7.3103646703495812E-2</v>
      </c>
      <c r="AH11" s="123">
        <f t="shared" si="12"/>
        <v>1</v>
      </c>
      <c r="AI11" s="183">
        <f t="shared" si="13"/>
        <v>8.9257645704524935E-2</v>
      </c>
      <c r="AJ11" s="120">
        <f t="shared" si="14"/>
        <v>9.3969024038888571E-2</v>
      </c>
      <c r="AK11" s="119">
        <f t="shared" si="15"/>
        <v>8.4546267370161313E-2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Cowpeas: kg produced</v>
      </c>
      <c r="B12" s="101">
        <f>IF([1]Summ!$H1050="",0,[1]Summ!$H1050)</f>
        <v>9.9716749688667488E-3</v>
      </c>
      <c r="C12" s="102">
        <f>IF([1]Summ!$I1050="",0,[1]Summ!$I1050)</f>
        <v>0</v>
      </c>
      <c r="D12" s="24">
        <f t="shared" si="0"/>
        <v>9.9716749688667488E-3</v>
      </c>
      <c r="E12" s="75">
        <f>Poor!E12</f>
        <v>1</v>
      </c>
      <c r="H12" s="24">
        <f t="shared" si="1"/>
        <v>1</v>
      </c>
      <c r="I12" s="22">
        <f t="shared" si="2"/>
        <v>9.9716749688667488E-3</v>
      </c>
      <c r="J12" s="24">
        <f t="shared" si="3"/>
        <v>9.9716749688667488E-3</v>
      </c>
      <c r="K12" s="22">
        <f t="shared" si="4"/>
        <v>9.9716749688667488E-3</v>
      </c>
      <c r="L12" s="22">
        <f t="shared" si="5"/>
        <v>9.9716749688667488E-3</v>
      </c>
      <c r="M12" s="223">
        <f t="shared" si="6"/>
        <v>9.9716749688667488E-3</v>
      </c>
      <c r="N12" s="228">
        <v>1</v>
      </c>
      <c r="O12" s="2"/>
      <c r="P12" s="22"/>
      <c r="Q12" s="126" t="s">
        <v>124</v>
      </c>
      <c r="R12" s="221">
        <f>IF($B$81=0,0,(SUMIF($N$6:$N$28,$U12,K$6:K$28)+SUMIF($N$91:$N$118,$U12,K$91:K$118))*$B$83*$H$84*Poor!$B$81/$B$81)</f>
        <v>0</v>
      </c>
      <c r="S12" s="221">
        <f>IF($B$81=0,0,(SUMIF($N$6:$N$28,$U12,L$6:L$28)+SUMIF($N$91:$N$118,$U12,L$91:L$118))*$I$83*Poor!$B$81/$B$81)</f>
        <v>0</v>
      </c>
      <c r="T12" s="221">
        <f>IF($B$81=0,0,(SUMIF($N$6:$N$28,$U12,M$6:M$28)+SUMIF($N$91:$N$118,$U12,M$91:M$118))*$I$83*Poor!$B$81/$B$81)</f>
        <v>0</v>
      </c>
      <c r="U12" s="222">
        <v>6</v>
      </c>
      <c r="V12" s="56"/>
      <c r="W12" s="117"/>
      <c r="X12" s="118"/>
      <c r="Y12" s="183">
        <f t="shared" si="9"/>
        <v>3.9886699875466995E-2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2.6724088916562888E-2</v>
      </c>
      <c r="AF12" s="122">
        <f>1-SUM(Z12,AB12,AD12)</f>
        <v>0.32999999999999996</v>
      </c>
      <c r="AG12" s="121">
        <f>$M12*AF12*4</f>
        <v>1.3162610958904107E-2</v>
      </c>
      <c r="AH12" s="123">
        <f t="shared" si="12"/>
        <v>1</v>
      </c>
      <c r="AI12" s="183">
        <f t="shared" si="13"/>
        <v>9.9716749688667488E-3</v>
      </c>
      <c r="AJ12" s="120">
        <f t="shared" si="14"/>
        <v>0</v>
      </c>
      <c r="AK12" s="119">
        <f t="shared" si="15"/>
        <v>1.9943349937733498E-2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Beans season 2: kg produced</v>
      </c>
      <c r="B13" s="101">
        <f>IF([1]Summ!$H1051="",0,[1]Summ!$H1051)</f>
        <v>0</v>
      </c>
      <c r="C13" s="102">
        <f>IF([1]Summ!$I1051="",0,[1]Summ!$I1051)</f>
        <v>1.6570577521793275E-2</v>
      </c>
      <c r="D13" s="24">
        <f t="shared" si="0"/>
        <v>1.6570577521793275E-2</v>
      </c>
      <c r="E13" s="75">
        <f>Poor!E13</f>
        <v>1</v>
      </c>
      <c r="H13" s="24">
        <f t="shared" si="1"/>
        <v>1</v>
      </c>
      <c r="I13" s="22">
        <f t="shared" si="2"/>
        <v>1.6570577521793275E-2</v>
      </c>
      <c r="J13" s="24">
        <f t="shared" si="3"/>
        <v>1.3142714453061345E-2</v>
      </c>
      <c r="K13" s="22">
        <f t="shared" si="4"/>
        <v>0</v>
      </c>
      <c r="L13" s="22">
        <f t="shared" si="5"/>
        <v>0</v>
      </c>
      <c r="M13" s="224">
        <f t="shared" si="6"/>
        <v>1.3142714453061345E-2</v>
      </c>
      <c r="N13" s="228">
        <v>1</v>
      </c>
      <c r="O13" s="2"/>
      <c r="P13" s="22"/>
      <c r="Q13" s="59" t="s">
        <v>76</v>
      </c>
      <c r="R13" s="221">
        <f>IF($B$81=0,0,(SUMIF($N$6:$N$28,$U13,K$6:K$28)+SUMIF($N$91:$N$118,$U13,K$91:K$118))*$B$83*$H$84*Poor!$B$81/$B$81)</f>
        <v>0</v>
      </c>
      <c r="S13" s="221">
        <f>IF($B$81=0,0,(SUMIF($N$6:$N$28,$U13,L$6:L$28)+SUMIF($N$91:$N$118,$U13,L$91:L$118))*$I$83*Poor!$B$81/$B$81)</f>
        <v>0</v>
      </c>
      <c r="T13" s="221">
        <f>IF($B$81=0,0,(SUMIF($N$6:$N$28,$U13,M$6:M$28)+SUMIF($N$91:$N$118,$U13,M$91:M$118))*$I$83*Poor!$B$81/$B$81)</f>
        <v>0</v>
      </c>
      <c r="U13" s="222">
        <v>7</v>
      </c>
      <c r="V13" s="56"/>
      <c r="W13" s="110"/>
      <c r="X13" s="118"/>
      <c r="Y13" s="183">
        <f t="shared" si="9"/>
        <v>5.2570857812245381E-2</v>
      </c>
      <c r="Z13" s="156">
        <f>Poor!Z13</f>
        <v>1</v>
      </c>
      <c r="AA13" s="121">
        <f>$M13*Z13*4</f>
        <v>5.2570857812245381E-2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1.3142714453061345E-2</v>
      </c>
      <c r="AJ13" s="120">
        <f t="shared" si="14"/>
        <v>2.628542890612269E-2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Water melon: no. local meas</v>
      </c>
      <c r="B14" s="101">
        <f>IF([1]Summ!$H1052="",0,[1]Summ!$H1052)</f>
        <v>1.1168041718555417E-2</v>
      </c>
      <c r="C14" s="102">
        <f>IF([1]Summ!$I1052="",0,[1]Summ!$I1052)</f>
        <v>0</v>
      </c>
      <c r="D14" s="24">
        <f t="shared" si="0"/>
        <v>1.1168041718555417E-2</v>
      </c>
      <c r="E14" s="75">
        <f>Poor!E14</f>
        <v>1</v>
      </c>
      <c r="F14" s="22"/>
      <c r="H14" s="24">
        <f t="shared" si="1"/>
        <v>1</v>
      </c>
      <c r="I14" s="22">
        <f t="shared" si="2"/>
        <v>1.1168041718555417E-2</v>
      </c>
      <c r="J14" s="24">
        <f>IF(I$32&lt;=1+I131,I14,B14*H14+J$33*(I14-B14*H14))</f>
        <v>1.1168041718555417E-2</v>
      </c>
      <c r="K14" s="22">
        <f t="shared" si="4"/>
        <v>1.1168041718555417E-2</v>
      </c>
      <c r="L14" s="22">
        <f t="shared" si="5"/>
        <v>1.1168041718555417E-2</v>
      </c>
      <c r="M14" s="224">
        <f t="shared" si="6"/>
        <v>1.1168041718555417E-2</v>
      </c>
      <c r="N14" s="228">
        <v>1</v>
      </c>
      <c r="O14" s="2"/>
      <c r="P14" s="22"/>
      <c r="Q14" s="126" t="s">
        <v>77</v>
      </c>
      <c r="R14" s="221">
        <f>IF($B$81=0,0,(SUMIF($N$6:$N$28,$U14,K$6:K$28)+SUMIF($N$91:$N$118,$U14,K$91:K$118))*$B$83*$H$84*Poor!$B$81/$B$81)</f>
        <v>113542.36414428789</v>
      </c>
      <c r="S14" s="221">
        <f>IF($B$81=0,0,(SUMIF($N$6:$N$28,$U14,L$6:L$28)+SUMIF($N$91:$N$118,$U14,L$91:L$118))*$I$83*Poor!$B$81/$B$81)</f>
        <v>73632</v>
      </c>
      <c r="T14" s="221">
        <f>IF($B$81=0,0,(SUMIF($N$6:$N$28,$U14,M$6:M$28)+SUMIF($N$91:$N$118,$U14,M$91:M$118))*$I$83*Poor!$B$81/$B$81)</f>
        <v>73632</v>
      </c>
      <c r="U14" s="222">
        <v>8</v>
      </c>
      <c r="V14" s="56"/>
      <c r="W14" s="110"/>
      <c r="X14" s="118"/>
      <c r="Y14" s="183">
        <f>M14*4</f>
        <v>4.4672166874221667E-2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4.4672166874221667E-2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1.1168041718555417E-2</v>
      </c>
      <c r="AJ14" s="120">
        <f t="shared" si="14"/>
        <v>2.2336083437110833E-2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Other root crops (sweet potato): no. local meas</v>
      </c>
      <c r="B15" s="101">
        <f>IF([1]Summ!$H1053="",0,[1]Summ!$H1053)</f>
        <v>1.8574688667496887E-2</v>
      </c>
      <c r="C15" s="102">
        <f>IF([1]Summ!$I1053="",0,[1]Summ!$I1053)</f>
        <v>9.2873443337484457E-2</v>
      </c>
      <c r="D15" s="24">
        <f t="shared" si="0"/>
        <v>0.11144813200498134</v>
      </c>
      <c r="E15" s="75">
        <f>Poor!E15</f>
        <v>1</v>
      </c>
      <c r="F15" s="22"/>
      <c r="H15" s="24">
        <f t="shared" si="1"/>
        <v>1</v>
      </c>
      <c r="I15" s="22">
        <f t="shared" si="2"/>
        <v>0.11144813200498134</v>
      </c>
      <c r="J15" s="24">
        <f>IF(I$32&lt;=1+I131,I15,B15*H15+J$33*(I15-B15*H15))</f>
        <v>9.2235920115333353E-2</v>
      </c>
      <c r="K15" s="22">
        <f t="shared" si="4"/>
        <v>1.8574688667496887E-2</v>
      </c>
      <c r="L15" s="22">
        <f t="shared" si="5"/>
        <v>1.8574688667496887E-2</v>
      </c>
      <c r="M15" s="225">
        <f t="shared" si="6"/>
        <v>9.2235920115333353E-2</v>
      </c>
      <c r="N15" s="228">
        <v>1</v>
      </c>
      <c r="O15" s="2"/>
      <c r="P15" s="22"/>
      <c r="Q15" s="59" t="s">
        <v>126</v>
      </c>
      <c r="R15" s="221">
        <f>IF($B$81=0,0,(SUMIF($N$6:$N$28,$U15,K$6:K$28)+SUMIF($N$91:$N$118,$U15,K$91:K$118))*$B$83*$H$84*Poor!$B$81/$B$81)</f>
        <v>0</v>
      </c>
      <c r="S15" s="221">
        <f>IF($B$81=0,0,(SUMIF($N$6:$N$28,$U15,L$6:L$28)+SUMIF($N$91:$N$118,$U15,L$91:L$118))*$I$83*Poor!$B$81/$B$81)</f>
        <v>0</v>
      </c>
      <c r="T15" s="221">
        <f>IF($B$81=0,0,(SUMIF($N$6:$N$28,$U15,M$6:M$28)+SUMIF($N$91:$N$118,$U15,M$91:M$118))*$I$83*Poor!$B$81/$B$81)</f>
        <v>0</v>
      </c>
      <c r="U15" s="222">
        <v>9</v>
      </c>
      <c r="V15" s="56"/>
      <c r="W15" s="110"/>
      <c r="X15" s="118"/>
      <c r="Y15" s="183">
        <f t="shared" si="9"/>
        <v>0.36894368046133341</v>
      </c>
      <c r="Z15" s="156">
        <f>Poor!Z15</f>
        <v>0.25</v>
      </c>
      <c r="AA15" s="121">
        <f t="shared" si="16"/>
        <v>9.2235920115333353E-2</v>
      </c>
      <c r="AB15" s="156">
        <f>Poor!AB15</f>
        <v>0.25</v>
      </c>
      <c r="AC15" s="121">
        <f t="shared" si="7"/>
        <v>9.2235920115333353E-2</v>
      </c>
      <c r="AD15" s="156">
        <f>Poor!AD15</f>
        <v>0.25</v>
      </c>
      <c r="AE15" s="121">
        <f t="shared" si="8"/>
        <v>9.2235920115333353E-2</v>
      </c>
      <c r="AF15" s="122">
        <f t="shared" si="10"/>
        <v>0.25</v>
      </c>
      <c r="AG15" s="121">
        <f t="shared" si="11"/>
        <v>9.2235920115333353E-2</v>
      </c>
      <c r="AH15" s="123">
        <f t="shared" si="12"/>
        <v>1</v>
      </c>
      <c r="AI15" s="183">
        <f t="shared" si="13"/>
        <v>9.2235920115333353E-2</v>
      </c>
      <c r="AJ15" s="120">
        <f t="shared" si="14"/>
        <v>9.2235920115333353E-2</v>
      </c>
      <c r="AK15" s="119">
        <f t="shared" si="15"/>
        <v>9.2235920115333353E-2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Groundnuts (dry): no. local meas</v>
      </c>
      <c r="B16" s="101">
        <f>IF([1]Summ!$H1054="",0,[1]Summ!$H1054)</f>
        <v>5.6331724782067244E-2</v>
      </c>
      <c r="C16" s="102">
        <f>IF([1]Summ!$I1054="",0,[1]Summ!$I1054)</f>
        <v>3.3799034869240352E-2</v>
      </c>
      <c r="D16" s="24">
        <f t="shared" si="0"/>
        <v>9.0130759651307596E-2</v>
      </c>
      <c r="E16" s="75">
        <f>Poor!E16</f>
        <v>1</v>
      </c>
      <c r="F16" s="22"/>
      <c r="H16" s="24">
        <f t="shared" si="1"/>
        <v>1</v>
      </c>
      <c r="I16" s="22">
        <f t="shared" si="2"/>
        <v>9.0130759651307596E-2</v>
      </c>
      <c r="J16" s="24">
        <f>IF(I$32&lt;=1+I131,I16,B16*H16+J$33*(I16-B16*H16))</f>
        <v>8.3138941578903225E-2</v>
      </c>
      <c r="K16" s="22">
        <f t="shared" si="4"/>
        <v>5.6331724782067244E-2</v>
      </c>
      <c r="L16" s="22">
        <f t="shared" si="5"/>
        <v>5.6331724782067244E-2</v>
      </c>
      <c r="M16" s="223">
        <f t="shared" si="6"/>
        <v>8.3138941578903225E-2</v>
      </c>
      <c r="N16" s="228">
        <v>1</v>
      </c>
      <c r="O16" s="2"/>
      <c r="P16" s="22"/>
      <c r="Q16" s="126" t="s">
        <v>78</v>
      </c>
      <c r="R16" s="221">
        <f>IF($B$81=0,0,(SUMIF($N$6:$N$28,$U16,K$6:K$28)+SUMIF($N$91:$N$118,$U16,K$91:K$118))*$B$83*$H$84*Poor!$B$81/$B$81)</f>
        <v>1746.8056022198136</v>
      </c>
      <c r="S16" s="221">
        <f>IF($B$81=0,0,(SUMIF($N$6:$N$28,$U16,L$6:L$28)+SUMIF($N$91:$N$118,$U16,L$91:L$118))*$I$83*Poor!$B$81/$B$81)</f>
        <v>959.99999999999977</v>
      </c>
      <c r="T16" s="221">
        <f>IF($B$81=0,0,(SUMIF($N$6:$N$28,$U16,M$6:M$28)+SUMIF($N$91:$N$118,$U16,M$91:M$118))*$I$83*Poor!$B$81/$B$81)</f>
        <v>1112.2820294989149</v>
      </c>
      <c r="U16" s="222">
        <v>10</v>
      </c>
      <c r="V16" s="56"/>
      <c r="W16" s="110"/>
      <c r="X16" s="118"/>
      <c r="Y16" s="183">
        <f t="shared" si="9"/>
        <v>0.3325557663156129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0.3325557663156129</v>
      </c>
      <c r="AH16" s="123">
        <f t="shared" si="12"/>
        <v>1</v>
      </c>
      <c r="AI16" s="183">
        <f t="shared" si="13"/>
        <v>8.3138941578903225E-2</v>
      </c>
      <c r="AJ16" s="120">
        <f t="shared" si="14"/>
        <v>0</v>
      </c>
      <c r="AK16" s="119">
        <f t="shared" si="15"/>
        <v>0.16627788315780645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>Other crop: Rape</v>
      </c>
      <c r="B17" s="101">
        <f>IF([1]Summ!$H1055="",0,[1]Summ!$H1055)</f>
        <v>2.072890722291407E-2</v>
      </c>
      <c r="C17" s="102">
        <f>IF([1]Summ!$I1055="",0,[1]Summ!$I1055)</f>
        <v>2.7377801992528039E-3</v>
      </c>
      <c r="D17" s="24">
        <f t="shared" si="0"/>
        <v>2.3466687422166874E-2</v>
      </c>
      <c r="E17" s="75">
        <f>Poor!E17</f>
        <v>1</v>
      </c>
      <c r="F17" s="22"/>
      <c r="H17" s="24">
        <f t="shared" si="1"/>
        <v>1</v>
      </c>
      <c r="I17" s="22">
        <f t="shared" si="2"/>
        <v>2.3466687422166874E-2</v>
      </c>
      <c r="J17" s="24">
        <f t="shared" ref="J17:J25" si="17">IF(I$32&lt;=1+I131,I17,B17*H17+J$33*(I17-B17*H17))</f>
        <v>2.2900338082623241E-2</v>
      </c>
      <c r="K17" s="22">
        <f t="shared" si="4"/>
        <v>2.072890722291407E-2</v>
      </c>
      <c r="L17" s="22">
        <f t="shared" si="5"/>
        <v>2.072890722291407E-2</v>
      </c>
      <c r="M17" s="224">
        <f t="shared" si="6"/>
        <v>2.2900338082623241E-2</v>
      </c>
      <c r="N17" s="228">
        <v>1</v>
      </c>
      <c r="O17" s="2"/>
      <c r="P17" s="22"/>
      <c r="Q17" s="126" t="s">
        <v>125</v>
      </c>
      <c r="R17" s="221">
        <f>IF($B$81=0,0,(SUMIF($N$6:$N$28,$U17,K$6:K$28)+SUMIF($N$91:$N$118,$U17,K$91:K$118))*$B$83*$H$84*Poor!$B$81/$B$81)</f>
        <v>0</v>
      </c>
      <c r="S17" s="221">
        <f>IF($B$81=0,0,(SUMIF($N$6:$N$28,$U17,L$6:L$28)+SUMIF($N$91:$N$118,$U17,L$91:L$118))*$I$83*Poor!$B$81/$B$81)</f>
        <v>0</v>
      </c>
      <c r="T17" s="221">
        <f>IF($B$81=0,0,(SUMIF($N$6:$N$28,$U17,M$6:M$28)+SUMIF($N$91:$N$118,$U17,M$91:M$118))*$I$83*Poor!$B$81/$B$81)</f>
        <v>0</v>
      </c>
      <c r="U17" s="222">
        <v>11</v>
      </c>
      <c r="V17" s="56"/>
      <c r="W17" s="110"/>
      <c r="X17" s="118"/>
      <c r="Y17" s="183">
        <f t="shared" si="9"/>
        <v>9.1601352330492963E-2</v>
      </c>
      <c r="Z17" s="156">
        <f>Poor!Z17</f>
        <v>0.29409999999999997</v>
      </c>
      <c r="AA17" s="121">
        <f t="shared" si="16"/>
        <v>2.6939957720397978E-2</v>
      </c>
      <c r="AB17" s="156">
        <f>Poor!AB17</f>
        <v>0.17649999999999999</v>
      </c>
      <c r="AC17" s="121">
        <f t="shared" si="7"/>
        <v>1.6167638686332007E-2</v>
      </c>
      <c r="AD17" s="156">
        <f>Poor!AD17</f>
        <v>0.23530000000000001</v>
      </c>
      <c r="AE17" s="121">
        <f t="shared" si="8"/>
        <v>2.1553798203364994E-2</v>
      </c>
      <c r="AF17" s="122">
        <f t="shared" si="10"/>
        <v>0.29410000000000003</v>
      </c>
      <c r="AG17" s="121">
        <f t="shared" si="11"/>
        <v>2.6939957720397985E-2</v>
      </c>
      <c r="AH17" s="123">
        <f t="shared" si="12"/>
        <v>1</v>
      </c>
      <c r="AI17" s="183">
        <f t="shared" si="13"/>
        <v>2.2900338082623241E-2</v>
      </c>
      <c r="AJ17" s="120">
        <f t="shared" si="14"/>
        <v>2.1553798203364991E-2</v>
      </c>
      <c r="AK17" s="119">
        <f t="shared" si="15"/>
        <v>2.4246877961881491E-2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>WILD FOODS -- see worksheet Data 3</v>
      </c>
      <c r="B18" s="101">
        <f>IF([1]Summ!$H1056="",0,[1]Summ!$H1056)</f>
        <v>0</v>
      </c>
      <c r="C18" s="102">
        <f>IF([1]Summ!$I1056="",0,[1]Summ!$I1056)</f>
        <v>0</v>
      </c>
      <c r="D18" s="24">
        <f t="shared" ref="D18:D25" si="18">(B18+C18)</f>
        <v>0</v>
      </c>
      <c r="E18" s="75">
        <f>Poor!E18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4">
        <f t="shared" ref="M18:M25" si="23">J18</f>
        <v>0</v>
      </c>
      <c r="N18" s="228">
        <v>6</v>
      </c>
      <c r="O18" s="2"/>
      <c r="P18" s="22"/>
      <c r="Q18" s="59" t="s">
        <v>79</v>
      </c>
      <c r="R18" s="221">
        <f>IF($B$81=0,0,(SUMIF($N$6:$N$28,$U18,K$6:K$28)+SUMIF($N$91:$N$118,$U18,K$91:K$118))*$B$83*$H$84*Poor!$B$81/$B$81)</f>
        <v>0</v>
      </c>
      <c r="S18" s="221">
        <f>IF($B$81=0,0,(SUMIF($N$6:$N$28,$U18,L$6:L$28)+SUMIF($N$91:$N$118,$U18,L$91:L$118))*$I$83*Poor!$B$81/$B$81)</f>
        <v>0</v>
      </c>
      <c r="T18" s="221">
        <f>IF($B$81=0,0,(SUMIF($N$6:$N$28,$U18,M$6:M$28)+SUMIF($N$91:$N$118,$U18,M$91:M$118))*$I$83*Poor!$B$81/$B$81)</f>
        <v>0</v>
      </c>
      <c r="U18" s="222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>Labour: Weeding, ploughing</v>
      </c>
      <c r="B19" s="101">
        <f>IF([1]Summ!$H1057="",0,[1]Summ!$H1057)</f>
        <v>0</v>
      </c>
      <c r="C19" s="102">
        <f>IF([1]Summ!$I1057="",0,[1]Summ!$I1057)</f>
        <v>0</v>
      </c>
      <c r="D19" s="24">
        <f t="shared" si="18"/>
        <v>0</v>
      </c>
      <c r="E19" s="75">
        <f>Poor!E19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4">
        <f t="shared" si="23"/>
        <v>0</v>
      </c>
      <c r="N19" s="228">
        <v>7</v>
      </c>
      <c r="O19" s="2"/>
      <c r="P19" s="22"/>
      <c r="Q19" s="59" t="s">
        <v>80</v>
      </c>
      <c r="R19" s="221">
        <f>IF($B$81=0,0,(SUMIF($N$6:$N$28,$U19,K$6:K$28)+SUMIF($N$91:$N$118,$U19,K$91:K$118))*$B$83*$H$84*Poor!$B$81/$B$81)</f>
        <v>106.58412481492928</v>
      </c>
      <c r="S19" s="221">
        <f>IF($B$81=0,0,(SUMIF($N$6:$N$28,$U19,L$6:L$28)+SUMIF($N$91:$N$118,$U19,L$91:L$118))*$I$83*Poor!$B$81/$B$81)</f>
        <v>120.8128522517777</v>
      </c>
      <c r="T19" s="221">
        <f>IF($B$81=0,0,(SUMIF($N$6:$N$28,$U19,M$6:M$28)+SUMIF($N$91:$N$118,$U19,M$91:M$118))*$I$83*Poor!$B$81/$B$81)</f>
        <v>120.8128522517777</v>
      </c>
      <c r="U19" s="222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>Gifts/remittances: cereal</v>
      </c>
      <c r="B20" s="101">
        <f>IF([1]Summ!$H1058="",0,[1]Summ!$H1058)</f>
        <v>9.4372453300124535E-3</v>
      </c>
      <c r="C20" s="102">
        <f>IF([1]Summ!$I1058="",0,[1]Summ!$I1058)</f>
        <v>0</v>
      </c>
      <c r="D20" s="24">
        <f t="shared" si="18"/>
        <v>9.4372453300124535E-3</v>
      </c>
      <c r="E20" s="75">
        <f>Poor!E20</f>
        <v>1</v>
      </c>
      <c r="F20" s="22"/>
      <c r="H20" s="24">
        <f t="shared" si="19"/>
        <v>1</v>
      </c>
      <c r="I20" s="22">
        <f t="shared" si="20"/>
        <v>9.4372453300124535E-3</v>
      </c>
      <c r="J20" s="24">
        <f t="shared" si="17"/>
        <v>9.4372453300124535E-3</v>
      </c>
      <c r="K20" s="22">
        <f t="shared" si="21"/>
        <v>9.4372453300124535E-3</v>
      </c>
      <c r="L20" s="22">
        <f t="shared" si="22"/>
        <v>9.4372453300124535E-3</v>
      </c>
      <c r="M20" s="224">
        <f t="shared" si="23"/>
        <v>9.4372453300124535E-3</v>
      </c>
      <c r="N20" s="228">
        <v>13</v>
      </c>
      <c r="O20" s="2"/>
      <c r="P20" s="22"/>
      <c r="Q20" s="59" t="s">
        <v>81</v>
      </c>
      <c r="R20" s="221">
        <f>IF($B$81=0,0,(SUMIF($N$6:$N$28,$U20,K$6:K$28)+SUMIF($N$91:$N$118,$U20,K$91:K$118))*$B$83*$H$84*Poor!$B$81/$B$81)</f>
        <v>11092.215574095817</v>
      </c>
      <c r="S20" s="221">
        <f>IF($B$81=0,0,(SUMIF($N$6:$N$28,$U20,L$6:L$28)+SUMIF($N$91:$N$118,$U20,L$91:L$118))*$I$83*Poor!$B$81/$B$81)</f>
        <v>0</v>
      </c>
      <c r="T20" s="221">
        <f>IF($B$81=0,0,(SUMIF($N$6:$N$28,$U20,M$6:M$28)+SUMIF($N$91:$N$118,$U20,M$91:M$118))*$I$83*Poor!$B$81/$B$81)</f>
        <v>0</v>
      </c>
      <c r="U20" s="222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101">
        <f>IF([1]Summ!$H1059="",0,[1]Summ!$H1059)</f>
        <v>0</v>
      </c>
      <c r="C21" s="102">
        <f>IF([1]Summ!$I1059="",0,[1]Summ!$I1059)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4">
        <f t="shared" si="23"/>
        <v>0</v>
      </c>
      <c r="N21" s="228"/>
      <c r="O21" s="2"/>
      <c r="P21" s="22"/>
      <c r="Q21" s="59" t="s">
        <v>82</v>
      </c>
      <c r="R21" s="221">
        <f>IF($B$81=0,0,(SUMIF($N$6:$N$28,$U21,K$6:K$28)+SUMIF($N$91:$N$118,$U21,K$91:K$118))*$B$83*$H$84*Poor!$B$81/$B$81)</f>
        <v>0</v>
      </c>
      <c r="S21" s="221">
        <f>IF($B$81=0,0,(SUMIF($N$6:$N$28,$U21,L$6:L$28)+SUMIF($N$91:$N$118,$U21,L$91:L$118))*$I$83*Poor!$B$81/$B$81)</f>
        <v>0</v>
      </c>
      <c r="T21" s="221">
        <f>IF($B$81=0,0,(SUMIF($N$6:$N$28,$U21,M$6:M$28)+SUMIF($N$91:$N$118,$U21,M$91:M$118))*$I$83*Poor!$B$81/$B$81)</f>
        <v>0</v>
      </c>
      <c r="U21" s="222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101">
        <f>IF([1]Summ!$H1060="",0,[1]Summ!$H1060)</f>
        <v>0</v>
      </c>
      <c r="C22" s="102">
        <f>IF([1]Summ!$I1060="",0,[1]Summ!$I1060)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4">
        <f t="shared" si="23"/>
        <v>0</v>
      </c>
      <c r="N22" s="228"/>
      <c r="O22" s="2"/>
      <c r="P22" s="22"/>
      <c r="Q22" s="59" t="s">
        <v>83</v>
      </c>
      <c r="R22" s="221">
        <f>IF($B$81=0,0,(SUMIF($N$6:$N$28,$U22,K$6:K$28)+SUMIF($N$91:$N$118,$U22,K$91:K$118))*$B$83*$H$84*Poor!$B$81/$B$81)</f>
        <v>0</v>
      </c>
      <c r="S22" s="221">
        <f>IF($B$81=0,0,(SUMIF($N$6:$N$28,$U22,L$6:L$28)+SUMIF($N$91:$N$118,$U22,L$91:L$118))*$I$83*Poor!$B$81/$B$81)</f>
        <v>0</v>
      </c>
      <c r="T22" s="221">
        <f>IF($B$81=0,0,(SUMIF($N$6:$N$28,$U22,M$6:M$28)+SUMIF($N$91:$N$118,$U22,M$91:M$118))*$I$83*Poor!$B$81/$B$81)</f>
        <v>0</v>
      </c>
      <c r="U22" s="222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101">
        <f>IF([1]Summ!$H1061="",0,[1]Summ!$H1061)</f>
        <v>0</v>
      </c>
      <c r="C23" s="102">
        <f>IF([1]Summ!$I1061="",0,[1]Summ!$I1061)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4">
        <f t="shared" si="23"/>
        <v>0</v>
      </c>
      <c r="N23" s="228"/>
      <c r="O23" s="2"/>
      <c r="P23" s="22"/>
      <c r="Q23" s="171" t="s">
        <v>100</v>
      </c>
      <c r="R23" s="179">
        <f>SUM(R7:R22)</f>
        <v>153212.59335657558</v>
      </c>
      <c r="S23" s="179">
        <f>SUM(S7:S22)</f>
        <v>97687.496933158298</v>
      </c>
      <c r="T23" s="179">
        <f>SUM(T7:T22)</f>
        <v>97901.3259492793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101">
        <f>IF([1]Summ!$H1062="",0,[1]Summ!$H1062)</f>
        <v>0</v>
      </c>
      <c r="C24" s="102">
        <f>IF([1]Summ!$I1062="",0,[1]Summ!$I1062)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4">
        <f t="shared" si="23"/>
        <v>0</v>
      </c>
      <c r="N24" s="228"/>
      <c r="O24" s="2"/>
      <c r="P24" s="22"/>
      <c r="Q24" s="59" t="s">
        <v>137</v>
      </c>
      <c r="R24" s="41">
        <f>IF($B$81=0,0,(SUM(($B$70*$H$70))+((1-$D$29)*$I$83))*Poor!$B$81/$B$81)</f>
        <v>39324.286292052799</v>
      </c>
      <c r="S24" s="41">
        <f>IF($B$81=0,0,(SUM(($B$70*$H$70))+((1-$D$29)*$I$83))*Poor!$B$81/$B$81)</f>
        <v>39324.286292052799</v>
      </c>
      <c r="T24" s="41">
        <f>IF($B$81=0,0,(SUM(($B$70*$H$70))+((1-$D$29)*$I$83))*Poor!$B$81/$B$81)</f>
        <v>39324.286292052799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101">
        <f>IF([1]Summ!$H1063="",0,[1]Summ!$H1063)</f>
        <v>0</v>
      </c>
      <c r="C25" s="102">
        <f>IF([1]Summ!$I1063="",0,[1]Summ!$I1063)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4">
        <f t="shared" si="23"/>
        <v>0</v>
      </c>
      <c r="N25" s="228"/>
      <c r="O25" s="2"/>
      <c r="P25" s="22"/>
      <c r="Q25" s="142" t="s">
        <v>138</v>
      </c>
      <c r="R25" s="41">
        <f>IF($B$81=0,0,(SUM(($B$70*$H$70),($B$71*$H$71))+((1-$D$29)*$I$83))*Poor!$B$81/$B$81)</f>
        <v>59595.112958719466</v>
      </c>
      <c r="S25" s="41">
        <f>IF($B$81=0,0,(SUM(($B$70*$H$70),($B$71*$H$71))+((1-$D$29)*$I$83))*Poor!$B$81/$B$81)</f>
        <v>59595.112958719466</v>
      </c>
      <c r="T25" s="41">
        <f>IF($B$81=0,0,(SUM(($B$70*$H$70),($B$71*$H$71))+((1-$D$29)*$I$83))*Poor!$B$81/$B$81)</f>
        <v>59595.112958719466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101">
        <f>IF([1]Summ!$H1064="",0,[1]Summ!$H1064)</f>
        <v>0</v>
      </c>
      <c r="C26" s="102">
        <f>IF([1]Summ!$I1064="",0,[1]Summ!$I1064)</f>
        <v>0</v>
      </c>
      <c r="D26" s="24">
        <f t="shared" si="0"/>
        <v>0</v>
      </c>
      <c r="E26" s="75">
        <f>Poor!E26</f>
        <v>1</v>
      </c>
      <c r="F26" s="22"/>
      <c r="H26" s="24">
        <f t="shared" si="1"/>
        <v>1</v>
      </c>
      <c r="I26" s="22">
        <f t="shared" si="2"/>
        <v>0</v>
      </c>
      <c r="J26" s="24">
        <f>IF(I$32&lt;=1+I131,I26,B26*H26+J$33*(I26-B26*H26))</f>
        <v>0</v>
      </c>
      <c r="K26" s="22">
        <f t="shared" si="4"/>
        <v>0</v>
      </c>
      <c r="L26" s="22">
        <f t="shared" si="5"/>
        <v>0</v>
      </c>
      <c r="M26" s="223">
        <f t="shared" si="6"/>
        <v>0</v>
      </c>
      <c r="N26" s="228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92333.032958719472</v>
      </c>
      <c r="S26" s="41">
        <f>IF($B$81=0,0,(SUM(($B$70*$H$70),($B$71*$H$71),($B$72*$H$72))+((1-$D$29)*$I$83))*Poor!$B$81/$B$81)</f>
        <v>92333.032958719472</v>
      </c>
      <c r="T26" s="41">
        <f>IF($B$81=0,0,(SUM(($B$70*$H$70),($B$71*$H$71),($B$72*$H$72))+((1-$D$29)*$I$83))*Poor!$B$81/$B$81)</f>
        <v>92333.032958719472</v>
      </c>
      <c r="U26" s="56"/>
      <c r="V26" s="56"/>
      <c r="W26" s="110"/>
      <c r="X26" s="118"/>
      <c r="Y26" s="183">
        <f t="shared" si="9"/>
        <v>0</v>
      </c>
      <c r="Z26" s="156">
        <f>Poor!Z26</f>
        <v>0.25</v>
      </c>
      <c r="AA26" s="121">
        <f t="shared" si="16"/>
        <v>0</v>
      </c>
      <c r="AB26" s="156">
        <f>Poor!AB26</f>
        <v>0.25</v>
      </c>
      <c r="AC26" s="121">
        <f t="shared" si="7"/>
        <v>0</v>
      </c>
      <c r="AD26" s="156">
        <f>Poor!AD26</f>
        <v>0.25</v>
      </c>
      <c r="AE26" s="121">
        <f t="shared" si="8"/>
        <v>0</v>
      </c>
      <c r="AF26" s="122">
        <f t="shared" si="10"/>
        <v>0.25</v>
      </c>
      <c r="AG26" s="121">
        <f t="shared" si="11"/>
        <v>0</v>
      </c>
      <c r="AH26" s="123">
        <f t="shared" si="12"/>
        <v>1</v>
      </c>
      <c r="AI26" s="183">
        <f t="shared" si="13"/>
        <v>0</v>
      </c>
      <c r="AJ26" s="120">
        <f t="shared" si="14"/>
        <v>0</v>
      </c>
      <c r="AK26" s="119">
        <f t="shared" si="15"/>
        <v>0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101">
        <f>IF([1]Summ!$H1065="",0,[1]Summ!$H1065)</f>
        <v>3.847124346201744E-2</v>
      </c>
      <c r="C27" s="102">
        <f>IF([1]Summ!$I1065="",0,[1]Summ!$I1065)</f>
        <v>-3.847124346201744E-2</v>
      </c>
      <c r="D27" s="24">
        <f>(B27+C27)</f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7.9583318383566401E-3</v>
      </c>
      <c r="K27" s="22">
        <f t="shared" si="4"/>
        <v>3.847124346201744E-2</v>
      </c>
      <c r="L27" s="22">
        <f t="shared" si="5"/>
        <v>3.847124346201744E-2</v>
      </c>
      <c r="M27" s="225">
        <f t="shared" si="6"/>
        <v>7.9583318383566401E-3</v>
      </c>
      <c r="N27" s="228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3.183332735342656E-2</v>
      </c>
      <c r="Z27" s="156">
        <f>Poor!Z27</f>
        <v>0.25</v>
      </c>
      <c r="AA27" s="121">
        <f t="shared" si="16"/>
        <v>7.9583318383566401E-3</v>
      </c>
      <c r="AB27" s="156">
        <f>Poor!AB27</f>
        <v>0.25</v>
      </c>
      <c r="AC27" s="121">
        <f t="shared" si="7"/>
        <v>7.9583318383566401E-3</v>
      </c>
      <c r="AD27" s="156">
        <f>Poor!AD27</f>
        <v>0.25</v>
      </c>
      <c r="AE27" s="121">
        <f t="shared" si="8"/>
        <v>7.9583318383566401E-3</v>
      </c>
      <c r="AF27" s="122">
        <f t="shared" si="10"/>
        <v>0.25</v>
      </c>
      <c r="AG27" s="121">
        <f t="shared" si="11"/>
        <v>7.9583318383566401E-3</v>
      </c>
      <c r="AH27" s="123">
        <f t="shared" si="12"/>
        <v>1</v>
      </c>
      <c r="AI27" s="183">
        <f t="shared" si="13"/>
        <v>7.9583318383566401E-3</v>
      </c>
      <c r="AJ27" s="120">
        <f t="shared" si="14"/>
        <v>7.9583318383566401E-3</v>
      </c>
      <c r="AK27" s="119">
        <f t="shared" si="15"/>
        <v>7.9583318383566401E-3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101">
        <f>IF([1]Summ!$H1066="",0,[1]Summ!$H1066)</f>
        <v>0</v>
      </c>
      <c r="C28" s="102">
        <f>IF([1]Summ!$I1066="",0,[1]Summ!$I1066)</f>
        <v>0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3">
        <f t="shared" si="6"/>
        <v>0</v>
      </c>
      <c r="N28" s="228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101">
        <f>IF([1]Summ!$H1067="",0,[1]Summ!$H1067)</f>
        <v>0.20458716080323786</v>
      </c>
      <c r="C29" s="102">
        <f>IF([1]Summ!$I1067="",0,[1]Summ!$I1067)</f>
        <v>2.0049613138759227E-2</v>
      </c>
      <c r="D29" s="24">
        <f t="shared" si="0"/>
        <v>0.22463677394199708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0.22463677394199708</v>
      </c>
      <c r="J29" s="24">
        <f>IF(I$32&lt;=1+I131,I29,B29*H29+J$33*(I29-B29*H29))</f>
        <v>0.22048922215447933</v>
      </c>
      <c r="K29" s="22">
        <f t="shared" si="4"/>
        <v>0.20458716080323786</v>
      </c>
      <c r="L29" s="22">
        <f t="shared" si="5"/>
        <v>0.20458716080323786</v>
      </c>
      <c r="M29" s="223">
        <f t="shared" si="6"/>
        <v>0.22048922215447933</v>
      </c>
      <c r="N29" s="228"/>
      <c r="P29" s="22"/>
      <c r="V29" s="56"/>
      <c r="W29" s="110"/>
      <c r="X29" s="118"/>
      <c r="Y29" s="183">
        <f t="shared" si="9"/>
        <v>0.88195688861791732</v>
      </c>
      <c r="Z29" s="156">
        <f>Poor!Z29</f>
        <v>0.25</v>
      </c>
      <c r="AA29" s="121">
        <f t="shared" si="16"/>
        <v>0.22048922215447933</v>
      </c>
      <c r="AB29" s="156">
        <f>Poor!AB29</f>
        <v>0.25</v>
      </c>
      <c r="AC29" s="121">
        <f t="shared" si="7"/>
        <v>0.22048922215447933</v>
      </c>
      <c r="AD29" s="156">
        <f>Poor!AD29</f>
        <v>0.25</v>
      </c>
      <c r="AE29" s="121">
        <f t="shared" si="8"/>
        <v>0.22048922215447933</v>
      </c>
      <c r="AF29" s="122">
        <f t="shared" si="10"/>
        <v>0.25</v>
      </c>
      <c r="AG29" s="121">
        <f t="shared" si="11"/>
        <v>0.22048922215447933</v>
      </c>
      <c r="AH29" s="123">
        <f t="shared" si="12"/>
        <v>1</v>
      </c>
      <c r="AI29" s="183">
        <f t="shared" si="13"/>
        <v>0.22048922215447933</v>
      </c>
      <c r="AJ29" s="120">
        <f t="shared" si="14"/>
        <v>0.22048922215447933</v>
      </c>
      <c r="AK29" s="119">
        <f t="shared" si="15"/>
        <v>0.22048922215447933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IF([1]Summ!$H1068="",0,[1]Summ!$H1068)</f>
        <v>0.63544987546699883</v>
      </c>
      <c r="C30" s="103"/>
      <c r="D30" s="24">
        <f>(D119-B124)</f>
        <v>10.041901845785581</v>
      </c>
      <c r="E30" s="75">
        <f>Poor!E30</f>
        <v>1</v>
      </c>
      <c r="H30" s="96">
        <f>(E30*F$7/F$9)</f>
        <v>1</v>
      </c>
      <c r="I30" s="29">
        <f>IF(E30&gt;=1,I119-I124,MIN(I119-I124,B30*H30))</f>
        <v>4.4476010515946056</v>
      </c>
      <c r="J30" s="230">
        <f>IF(I$32&lt;=1,I30,1-SUM(J6:J29))</f>
        <v>-6.3412700441541681E-2</v>
      </c>
      <c r="K30" s="22">
        <f t="shared" si="4"/>
        <v>0.63544987546699883</v>
      </c>
      <c r="L30" s="22">
        <f>IF(L124=L119,0,IF(K30="",0,(L119-L124)/(B119-B124)*K30))</f>
        <v>0.29452133686805465</v>
      </c>
      <c r="M30" s="175">
        <f t="shared" si="6"/>
        <v>-6.3412700441541681E-2</v>
      </c>
      <c r="N30" s="166" t="s">
        <v>86</v>
      </c>
      <c r="O30" s="2"/>
      <c r="P30" s="22"/>
      <c r="Q30" s="233" t="s">
        <v>141</v>
      </c>
      <c r="R30" s="233">
        <f t="shared" ref="R30:T32" si="24">IF(R24&gt;R$23,R24-R$23,0)</f>
        <v>0</v>
      </c>
      <c r="S30" s="233">
        <f t="shared" si="24"/>
        <v>0</v>
      </c>
      <c r="T30" s="233">
        <f t="shared" si="24"/>
        <v>0</v>
      </c>
      <c r="V30" s="56"/>
      <c r="W30" s="110"/>
      <c r="X30" s="118"/>
      <c r="Y30" s="183">
        <f>M30*4</f>
        <v>-0.25365080176616672</v>
      </c>
      <c r="Z30" s="122">
        <f>IF($Y30=0,0,AA30/($Y$30))</f>
        <v>-8.753948474790462E-16</v>
      </c>
      <c r="AA30" s="187">
        <f>IF(AA79*4/$I$84+SUM(AA6:AA29)&lt;1,AA79*4/$I$84,1-SUM(AA6:AA29))</f>
        <v>2.2204460492503131E-16</v>
      </c>
      <c r="AB30" s="122">
        <f>IF($Y30=0,0,AC30/($Y$30))</f>
        <v>-8.753948474790462E-16</v>
      </c>
      <c r="AC30" s="187">
        <f>IF(AC79*4/$I$84+SUM(AC6:AC29)&lt;1,AC79*4/$I$84,1-SUM(AC6:AC29))</f>
        <v>2.2204460492503131E-16</v>
      </c>
      <c r="AD30" s="122">
        <f>IF($Y30=0,0,AE30/($Y$30))</f>
        <v>-8.753948474790462E-16</v>
      </c>
      <c r="AE30" s="187">
        <f>IF(AE79*4/$I$84+SUM(AE6:AE29)&lt;1,AE79*4/$I$84,1-SUM(AE6:AE29))</f>
        <v>2.2204460492503131E-16</v>
      </c>
      <c r="AF30" s="122">
        <f>IF($Y30=0,0,AG30/($Y$30))</f>
        <v>0.85117736251096576</v>
      </c>
      <c r="AG30" s="187">
        <f>IF(AG79*4/$I$84+SUM(AG6:AG29)&lt;1,AG79*4/$I$84,1-SUM(AG6:AG29))</f>
        <v>-0.21590182044611761</v>
      </c>
      <c r="AH30" s="123">
        <f t="shared" si="12"/>
        <v>0.8511773625109631</v>
      </c>
      <c r="AI30" s="183">
        <f t="shared" si="13"/>
        <v>-5.3975455111529236E-2</v>
      </c>
      <c r="AJ30" s="120">
        <f t="shared" si="14"/>
        <v>2.2204460492503131E-16</v>
      </c>
      <c r="AK30" s="119">
        <f t="shared" si="15"/>
        <v>-0.10795091022305869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1" t="str">
        <f>IF(1-$B$32&gt;0,1-$B$32,"")</f>
        <v/>
      </c>
      <c r="C31" s="77"/>
      <c r="D31" s="24"/>
      <c r="E31" s="22"/>
      <c r="F31" s="22"/>
      <c r="H31" s="24"/>
      <c r="I31" s="22"/>
      <c r="J31" s="231">
        <f>(1-SUM(J6:J30))</f>
        <v>0</v>
      </c>
      <c r="K31" s="22" t="str">
        <f t="shared" si="4"/>
        <v/>
      </c>
      <c r="L31" s="22">
        <f>(1-SUM(L6:L30))</f>
        <v>-9.3138212918801866E-2</v>
      </c>
      <c r="M31" s="178">
        <f t="shared" si="6"/>
        <v>0</v>
      </c>
      <c r="N31" s="167">
        <f>M31*I83</f>
        <v>0</v>
      </c>
      <c r="P31" s="22"/>
      <c r="Q31" s="237" t="s">
        <v>142</v>
      </c>
      <c r="R31" s="233">
        <f t="shared" si="24"/>
        <v>0</v>
      </c>
      <c r="S31" s="233">
        <f t="shared" si="24"/>
        <v>0</v>
      </c>
      <c r="T31" s="233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1.4272132616749689</v>
      </c>
      <c r="C32" s="77">
        <f>SUM(C6:C31)</f>
        <v>0.31682550697437567</v>
      </c>
      <c r="D32" s="24">
        <f>SUM(D6:D30)</f>
        <v>11.150490738967926</v>
      </c>
      <c r="E32" s="2"/>
      <c r="F32" s="2"/>
      <c r="H32" s="17"/>
      <c r="I32" s="22">
        <f>SUM(I6:I30)</f>
        <v>5.5800774017430159</v>
      </c>
      <c r="J32" s="17"/>
      <c r="L32" s="22">
        <f>SUM(L6:L30)</f>
        <v>1.0931382129188019</v>
      </c>
      <c r="M32" s="23"/>
      <c r="N32" s="56"/>
      <c r="O32" s="2"/>
      <c r="P32" s="22"/>
      <c r="Q32" s="233" t="s">
        <v>143</v>
      </c>
      <c r="R32" s="233">
        <f t="shared" si="24"/>
        <v>0</v>
      </c>
      <c r="S32" s="233">
        <f t="shared" si="24"/>
        <v>0</v>
      </c>
      <c r="T32" s="233">
        <f t="shared" si="24"/>
        <v>0</v>
      </c>
      <c r="V32" s="56"/>
      <c r="W32" s="110"/>
      <c r="X32" s="118"/>
      <c r="Y32" s="115">
        <f>SUM(Y6:Y31)</f>
        <v>3.9622510186799502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0.793135570306848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47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74" t="str">
        <f>IF(Poor!A37=0,"",Poor!A37)</f>
        <v>Pig sales: no sold</v>
      </c>
      <c r="B37" s="104">
        <f>IF([1]Summ!$H1072="",0,[1]Summ!$H1072)</f>
        <v>2800</v>
      </c>
      <c r="C37" s="104">
        <f>IF([1]Summ!$I1072="",0,[1]Summ!$I1072)</f>
        <v>0</v>
      </c>
      <c r="D37" s="38">
        <f t="shared" ref="D37:D64" si="25">B37+C37</f>
        <v>2800</v>
      </c>
      <c r="E37" s="75">
        <f>Poor!E37</f>
        <v>0.8</v>
      </c>
      <c r="F37" s="75">
        <f>Poor!F37</f>
        <v>1.18</v>
      </c>
      <c r="G37" s="75">
        <f>Poor!G37</f>
        <v>1.65</v>
      </c>
      <c r="H37" s="24">
        <f t="shared" ref="H37" si="26">(E37*F37)</f>
        <v>0.94399999999999995</v>
      </c>
      <c r="I37" s="39">
        <f t="shared" ref="I37" si="27">D37*H37</f>
        <v>2643.2</v>
      </c>
      <c r="J37" s="38">
        <f>J91*I$83</f>
        <v>2643.2</v>
      </c>
      <c r="K37" s="40">
        <f>(B37/B$65)</f>
        <v>2.7724144759641568E-2</v>
      </c>
      <c r="L37" s="22">
        <f t="shared" ref="L37" si="28">(K37*H37)</f>
        <v>2.6171592653101639E-2</v>
      </c>
      <c r="M37" s="24">
        <f>J37/B$65</f>
        <v>2.6171592653101636E-2</v>
      </c>
      <c r="N37" s="2"/>
      <c r="O37" s="2"/>
      <c r="P37" s="2"/>
      <c r="Q37" s="59"/>
      <c r="R37" s="251"/>
      <c r="S37" s="251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2643.2</v>
      </c>
      <c r="AH37" s="123">
        <f>SUM(Z37,AB37,AD37,AF37)</f>
        <v>1</v>
      </c>
      <c r="AI37" s="112">
        <f>SUM(AA37,AC37,AE37,AG37)</f>
        <v>2643.2</v>
      </c>
      <c r="AJ37" s="148">
        <f>(AA37+AC37)</f>
        <v>0</v>
      </c>
      <c r="AK37" s="147">
        <f>(AE37+AG37)</f>
        <v>2643.2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74" t="str">
        <f>IF(Poor!A38=0,"",Poor!A38)</f>
        <v>Cattle sales - local: no. sold</v>
      </c>
      <c r="B38" s="104">
        <f>IF([1]Summ!$H1073="",0,[1]Summ!$H1073)</f>
        <v>5000</v>
      </c>
      <c r="C38" s="104">
        <f>IF([1]Summ!$I1073="",0,[1]Summ!$I1073)</f>
        <v>2500</v>
      </c>
      <c r="D38" s="38">
        <f t="shared" si="25"/>
        <v>7500</v>
      </c>
      <c r="E38" s="75">
        <f>Poor!E38</f>
        <v>0.8</v>
      </c>
      <c r="F38" s="75">
        <f>Poor!F38</f>
        <v>1.18</v>
      </c>
      <c r="G38" s="75">
        <f>Poor!G38</f>
        <v>1.65</v>
      </c>
      <c r="H38" s="24">
        <f t="shared" ref="H38:H64" si="30">(E38*F38)</f>
        <v>0.94399999999999995</v>
      </c>
      <c r="I38" s="39">
        <f t="shared" ref="I38:I64" si="31">D38*H38</f>
        <v>7080</v>
      </c>
      <c r="J38" s="38">
        <f t="shared" ref="J38:J64" si="32">J92*I$83</f>
        <v>6591.799945924161</v>
      </c>
      <c r="K38" s="40">
        <f t="shared" ref="K38:K64" si="33">(B38/B$65)</f>
        <v>4.9507401356502799E-2</v>
      </c>
      <c r="L38" s="22">
        <f t="shared" ref="L38:L64" si="34">(K38*H38)</f>
        <v>4.6734986880538641E-2</v>
      </c>
      <c r="M38" s="24">
        <f t="shared" ref="M38:M64" si="35">J38/B$65</f>
        <v>6.526857711692817E-2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6591.799945924161</v>
      </c>
      <c r="AH38" s="123">
        <f t="shared" ref="AH38:AI58" si="37">SUM(Z38,AB38,AD38,AF38)</f>
        <v>1</v>
      </c>
      <c r="AI38" s="112">
        <f t="shared" si="37"/>
        <v>6591.799945924161</v>
      </c>
      <c r="AJ38" s="148">
        <f t="shared" ref="AJ38:AJ64" si="38">(AA38+AC38)</f>
        <v>0</v>
      </c>
      <c r="AK38" s="147">
        <f t="shared" ref="AK38:AK64" si="39">(AE38+AG38)</f>
        <v>6591.799945924161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74" t="str">
        <f>IF(Poor!A39=0,"",Poor!A39)</f>
        <v>Goat sales - local: no. sold</v>
      </c>
      <c r="B39" s="104">
        <f>IF([1]Summ!$H1074="",0,[1]Summ!$H1074)</f>
        <v>1000</v>
      </c>
      <c r="C39" s="104">
        <f>IF([1]Summ!$I1074="",0,[1]Summ!$I1074)</f>
        <v>-250</v>
      </c>
      <c r="D39" s="38">
        <f t="shared" si="25"/>
        <v>750</v>
      </c>
      <c r="E39" s="75">
        <f>Poor!E39</f>
        <v>0.8</v>
      </c>
      <c r="F39" s="75">
        <f>Poor!F39</f>
        <v>1.18</v>
      </c>
      <c r="G39" s="75">
        <f>Poor!G39</f>
        <v>1.65</v>
      </c>
      <c r="H39" s="24">
        <f t="shared" si="30"/>
        <v>0.94399999999999995</v>
      </c>
      <c r="I39" s="39">
        <f t="shared" si="31"/>
        <v>708</v>
      </c>
      <c r="J39" s="38">
        <f t="shared" si="32"/>
        <v>756.82000540758384</v>
      </c>
      <c r="K39" s="40">
        <f t="shared" si="33"/>
        <v>9.9014802713005591E-3</v>
      </c>
      <c r="L39" s="22">
        <f t="shared" si="34"/>
        <v>9.3469973761077275E-3</v>
      </c>
      <c r="M39" s="24">
        <f t="shared" si="35"/>
        <v>7.4936383524687742E-3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94">
        <f>X8</f>
        <v>1</v>
      </c>
      <c r="Y39" s="110"/>
      <c r="Z39" s="122">
        <f>Z8</f>
        <v>0.25909794718142298</v>
      </c>
      <c r="AA39" s="147">
        <f t="shared" ref="AA39:AA64" si="40">$J39*Z39</f>
        <v>196.09050978693841</v>
      </c>
      <c r="AB39" s="122">
        <f>AB8</f>
        <v>0.26729406829902108</v>
      </c>
      <c r="AC39" s="147">
        <f t="shared" ref="AC39:AC64" si="41">$J39*AB39</f>
        <v>202.29349821548021</v>
      </c>
      <c r="AD39" s="122">
        <f>AD8</f>
        <v>0.26885340543986769</v>
      </c>
      <c r="AE39" s="147">
        <f t="shared" ref="AE39:AE64" si="42">$J39*AD39</f>
        <v>203.47363575884799</v>
      </c>
      <c r="AF39" s="122">
        <f t="shared" si="29"/>
        <v>0.2047545790796883</v>
      </c>
      <c r="AG39" s="147">
        <f t="shared" si="36"/>
        <v>154.96236164631725</v>
      </c>
      <c r="AH39" s="123">
        <f t="shared" si="37"/>
        <v>1</v>
      </c>
      <c r="AI39" s="112">
        <f t="shared" si="37"/>
        <v>756.82000540758395</v>
      </c>
      <c r="AJ39" s="148">
        <f t="shared" si="38"/>
        <v>398.38400800241862</v>
      </c>
      <c r="AK39" s="147">
        <f t="shared" si="39"/>
        <v>358.43599740516527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74" t="str">
        <f>IF(Poor!A40=0,"",Poor!A40)</f>
        <v>Maize: kg produced</v>
      </c>
      <c r="B40" s="104">
        <f>IF([1]Summ!$H1075="",0,[1]Summ!$H1075)</f>
        <v>900</v>
      </c>
      <c r="C40" s="104">
        <f>IF([1]Summ!$I1075="",0,[1]Summ!$I1075)</f>
        <v>-900</v>
      </c>
      <c r="D40" s="38">
        <f t="shared" si="25"/>
        <v>0</v>
      </c>
      <c r="E40" s="75">
        <f>Poor!E40</f>
        <v>1.0900000000000001</v>
      </c>
      <c r="F40" s="75">
        <f>Poor!F40</f>
        <v>1.4</v>
      </c>
      <c r="G40" s="75">
        <f>Poor!G40</f>
        <v>1.65</v>
      </c>
      <c r="H40" s="24">
        <f t="shared" si="30"/>
        <v>1.526</v>
      </c>
      <c r="I40" s="39">
        <f t="shared" si="31"/>
        <v>0</v>
      </c>
      <c r="J40" s="38">
        <f t="shared" si="32"/>
        <v>284.10760774057491</v>
      </c>
      <c r="K40" s="40">
        <f t="shared" si="33"/>
        <v>8.9113322441705042E-3</v>
      </c>
      <c r="L40" s="22">
        <f t="shared" si="34"/>
        <v>1.3598693004604191E-2</v>
      </c>
      <c r="M40" s="24">
        <f t="shared" si="35"/>
        <v>2.8130858729697003E-3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94">
        <f>X9</f>
        <v>1</v>
      </c>
      <c r="Y40" s="110"/>
      <c r="Z40" s="122">
        <f>Z9</f>
        <v>0</v>
      </c>
      <c r="AA40" s="147">
        <f t="shared" si="40"/>
        <v>0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1</v>
      </c>
      <c r="AG40" s="147">
        <f t="shared" si="36"/>
        <v>284.10760774057491</v>
      </c>
      <c r="AH40" s="123">
        <f t="shared" si="37"/>
        <v>1</v>
      </c>
      <c r="AI40" s="112">
        <f t="shared" si="37"/>
        <v>284.10760774057491</v>
      </c>
      <c r="AJ40" s="148">
        <f t="shared" si="38"/>
        <v>0</v>
      </c>
      <c r="AK40" s="147">
        <f t="shared" si="39"/>
        <v>284.10760774057491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74" t="str">
        <f>IF(Poor!A41=0,"",Poor!A41)</f>
        <v>Maize (irrigated): kg produced</v>
      </c>
      <c r="B41" s="104">
        <f>IF([1]Summ!$H1076="",0,[1]Summ!$H1076)</f>
        <v>300</v>
      </c>
      <c r="C41" s="104">
        <f>IF([1]Summ!$I1076="",0,[1]Summ!$I1076)</f>
        <v>-300</v>
      </c>
      <c r="D41" s="38">
        <f t="shared" si="25"/>
        <v>0</v>
      </c>
      <c r="E41" s="75">
        <f>Poor!E41</f>
        <v>1.0900000000000001</v>
      </c>
      <c r="F41" s="75">
        <f>Poor!F41</f>
        <v>1.4</v>
      </c>
      <c r="G41" s="75">
        <f>Poor!G41</f>
        <v>1.65</v>
      </c>
      <c r="H41" s="24">
        <f t="shared" si="30"/>
        <v>1.526</v>
      </c>
      <c r="I41" s="39">
        <f t="shared" si="31"/>
        <v>0</v>
      </c>
      <c r="J41" s="38">
        <f t="shared" si="32"/>
        <v>94.702535913524969</v>
      </c>
      <c r="K41" s="40">
        <f t="shared" si="33"/>
        <v>2.9704440813901676E-3</v>
      </c>
      <c r="L41" s="22">
        <f t="shared" si="34"/>
        <v>4.5328976682013963E-3</v>
      </c>
      <c r="M41" s="24">
        <f t="shared" si="35"/>
        <v>9.3769529098990014E-4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94">
        <f>X11</f>
        <v>1</v>
      </c>
      <c r="Y41" s="110"/>
      <c r="Z41" s="122">
        <f>Z11</f>
        <v>0.25909794718142298</v>
      </c>
      <c r="AA41" s="147">
        <f t="shared" si="40"/>
        <v>24.537232648069306</v>
      </c>
      <c r="AB41" s="122">
        <f>AB11</f>
        <v>0.26729406829902108</v>
      </c>
      <c r="AC41" s="147">
        <f t="shared" si="41"/>
        <v>25.313426102560239</v>
      </c>
      <c r="AD41" s="122">
        <f>AD11</f>
        <v>0.26885340543986763</v>
      </c>
      <c r="AE41" s="147">
        <f t="shared" si="42"/>
        <v>25.461099284142552</v>
      </c>
      <c r="AF41" s="122">
        <f t="shared" si="29"/>
        <v>0.2047545790796883</v>
      </c>
      <c r="AG41" s="147">
        <f t="shared" si="36"/>
        <v>19.390777878752871</v>
      </c>
      <c r="AH41" s="123">
        <f t="shared" si="37"/>
        <v>1</v>
      </c>
      <c r="AI41" s="112">
        <f t="shared" si="37"/>
        <v>94.702535913524969</v>
      </c>
      <c r="AJ41" s="148">
        <f t="shared" si="38"/>
        <v>49.850658750629549</v>
      </c>
      <c r="AK41" s="147">
        <f t="shared" si="39"/>
        <v>44.85187716289542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74" t="str">
        <f>IF(Poor!A42=0,"",Poor!A42)</f>
        <v>Beans season 2: kg produced</v>
      </c>
      <c r="B42" s="104">
        <f>IF([1]Summ!$H1077="",0,[1]Summ!$H1077)</f>
        <v>300</v>
      </c>
      <c r="C42" s="104">
        <f>IF([1]Summ!$I1077="",0,[1]Summ!$I1077)</f>
        <v>-300</v>
      </c>
      <c r="D42" s="38">
        <f t="shared" si="25"/>
        <v>0</v>
      </c>
      <c r="E42" s="75">
        <f>Poor!E42</f>
        <v>1</v>
      </c>
      <c r="F42" s="75">
        <f>Poor!F42</f>
        <v>1.4</v>
      </c>
      <c r="G42" s="75">
        <f>Poor!G42</f>
        <v>1.65</v>
      </c>
      <c r="H42" s="24">
        <f t="shared" si="30"/>
        <v>1.4</v>
      </c>
      <c r="I42" s="39">
        <f t="shared" si="31"/>
        <v>0</v>
      </c>
      <c r="J42" s="38">
        <f t="shared" si="32"/>
        <v>86.883060471123827</v>
      </c>
      <c r="K42" s="40">
        <f t="shared" si="33"/>
        <v>2.9704440813901676E-3</v>
      </c>
      <c r="L42" s="22">
        <f t="shared" si="34"/>
        <v>4.1586217139462341E-3</v>
      </c>
      <c r="M42" s="24">
        <f t="shared" si="35"/>
        <v>8.6027090916504609E-4</v>
      </c>
      <c r="N42" s="2"/>
      <c r="O42" s="2"/>
      <c r="P42" s="2"/>
      <c r="Q42" s="41"/>
      <c r="R42" s="41"/>
      <c r="S42" s="253"/>
      <c r="T42" s="253"/>
      <c r="U42" s="56"/>
      <c r="V42" s="56"/>
      <c r="W42" s="115"/>
      <c r="X42" s="118"/>
      <c r="Y42" s="110"/>
      <c r="Z42" s="156">
        <f>Poor!Z42</f>
        <v>0.25</v>
      </c>
      <c r="AA42" s="147">
        <f t="shared" si="40"/>
        <v>21.720765117780957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43.441530235561913</v>
      </c>
      <c r="AF42" s="122">
        <f t="shared" si="29"/>
        <v>0.25</v>
      </c>
      <c r="AG42" s="147">
        <f t="shared" si="36"/>
        <v>21.720765117780957</v>
      </c>
      <c r="AH42" s="123">
        <f t="shared" si="37"/>
        <v>1</v>
      </c>
      <c r="AI42" s="112">
        <f t="shared" si="37"/>
        <v>86.883060471123827</v>
      </c>
      <c r="AJ42" s="148">
        <f t="shared" si="38"/>
        <v>21.720765117780957</v>
      </c>
      <c r="AK42" s="147">
        <f t="shared" si="39"/>
        <v>65.16229535334287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74" t="str">
        <f>IF(Poor!A43=0,"",Poor!A43)</f>
        <v>Other root crops (sweet potato): no. local meas</v>
      </c>
      <c r="B43" s="104">
        <f>IF([1]Summ!$H1078="",0,[1]Summ!$H1078)</f>
        <v>2000</v>
      </c>
      <c r="C43" s="104">
        <f>IF([1]Summ!$I1078="",0,[1]Summ!$I1078)</f>
        <v>-2000</v>
      </c>
      <c r="D43" s="38">
        <f t="shared" si="25"/>
        <v>0</v>
      </c>
      <c r="E43" s="75">
        <f>Poor!E43</f>
        <v>1</v>
      </c>
      <c r="F43" s="75">
        <f>Poor!F43</f>
        <v>1.4</v>
      </c>
      <c r="G43" s="75">
        <f>Poor!G43</f>
        <v>1.65</v>
      </c>
      <c r="H43" s="24">
        <f t="shared" si="30"/>
        <v>1.4</v>
      </c>
      <c r="I43" s="39">
        <f t="shared" si="31"/>
        <v>0</v>
      </c>
      <c r="J43" s="38">
        <f t="shared" si="32"/>
        <v>579.22040314082562</v>
      </c>
      <c r="K43" s="40">
        <f t="shared" si="33"/>
        <v>1.9802960542601118E-2</v>
      </c>
      <c r="L43" s="22">
        <f t="shared" si="34"/>
        <v>2.7724144759641564E-2</v>
      </c>
      <c r="M43" s="24">
        <f t="shared" si="35"/>
        <v>5.7351393944336413E-3</v>
      </c>
      <c r="N43" s="2"/>
      <c r="O43" s="2"/>
      <c r="P43" s="2"/>
      <c r="Q43" s="41"/>
      <c r="R43" s="41"/>
      <c r="S43" s="220"/>
      <c r="T43" s="220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144.80510078520641</v>
      </c>
      <c r="AB43" s="156">
        <f>Poor!AB43</f>
        <v>0.25</v>
      </c>
      <c r="AC43" s="147">
        <f t="shared" si="41"/>
        <v>144.80510078520641</v>
      </c>
      <c r="AD43" s="156">
        <f>Poor!AD43</f>
        <v>0.25</v>
      </c>
      <c r="AE43" s="147">
        <f t="shared" si="42"/>
        <v>144.80510078520641</v>
      </c>
      <c r="AF43" s="122">
        <f t="shared" si="29"/>
        <v>0.25</v>
      </c>
      <c r="AG43" s="147">
        <f t="shared" si="36"/>
        <v>144.80510078520641</v>
      </c>
      <c r="AH43" s="123">
        <f t="shared" si="37"/>
        <v>1</v>
      </c>
      <c r="AI43" s="112">
        <f t="shared" si="37"/>
        <v>579.22040314082562</v>
      </c>
      <c r="AJ43" s="148">
        <f t="shared" si="38"/>
        <v>289.61020157041281</v>
      </c>
      <c r="AK43" s="147">
        <f t="shared" si="39"/>
        <v>289.61020157041281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74" t="str">
        <f>IF(Poor!A44=0,"",Poor!A44)</f>
        <v>Groundnuts (dry): no. local meas</v>
      </c>
      <c r="B44" s="104">
        <f>IF([1]Summ!$H1079="",0,[1]Summ!$H1079)</f>
        <v>900</v>
      </c>
      <c r="C44" s="104">
        <f>IF([1]Summ!$I1079="",0,[1]Summ!$I1079)</f>
        <v>-900</v>
      </c>
      <c r="D44" s="38">
        <f t="shared" si="25"/>
        <v>0</v>
      </c>
      <c r="E44" s="75">
        <f>Poor!E44</f>
        <v>1</v>
      </c>
      <c r="F44" s="75">
        <f>Poor!F44</f>
        <v>1.4</v>
      </c>
      <c r="G44" s="75">
        <f>Poor!G44</f>
        <v>1.65</v>
      </c>
      <c r="H44" s="24">
        <f t="shared" si="30"/>
        <v>1.4</v>
      </c>
      <c r="I44" s="39">
        <f t="shared" si="31"/>
        <v>0</v>
      </c>
      <c r="J44" s="38">
        <f t="shared" si="32"/>
        <v>260.64918141337148</v>
      </c>
      <c r="K44" s="40">
        <f t="shared" si="33"/>
        <v>8.9113322441705042E-3</v>
      </c>
      <c r="L44" s="22">
        <f t="shared" si="34"/>
        <v>1.2475865141838705E-2</v>
      </c>
      <c r="M44" s="24">
        <f t="shared" si="35"/>
        <v>2.5808127274951384E-3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65.16229535334287</v>
      </c>
      <c r="AB44" s="156">
        <f>Poor!AB44</f>
        <v>0.25</v>
      </c>
      <c r="AC44" s="147">
        <f t="shared" si="41"/>
        <v>65.16229535334287</v>
      </c>
      <c r="AD44" s="156">
        <f>Poor!AD44</f>
        <v>0.25</v>
      </c>
      <c r="AE44" s="147">
        <f t="shared" si="42"/>
        <v>65.16229535334287</v>
      </c>
      <c r="AF44" s="122">
        <f t="shared" si="29"/>
        <v>0.25</v>
      </c>
      <c r="AG44" s="147">
        <f t="shared" si="36"/>
        <v>65.16229535334287</v>
      </c>
      <c r="AH44" s="123">
        <f t="shared" si="37"/>
        <v>1</v>
      </c>
      <c r="AI44" s="112">
        <f t="shared" si="37"/>
        <v>260.64918141337148</v>
      </c>
      <c r="AJ44" s="148">
        <f t="shared" si="38"/>
        <v>130.32459070668574</v>
      </c>
      <c r="AK44" s="147">
        <f t="shared" si="39"/>
        <v>130.32459070668574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74" t="str">
        <f>IF(Poor!A45=0,"",Poor!A45)</f>
        <v>Other crop: Rape</v>
      </c>
      <c r="B45" s="104">
        <f>IF([1]Summ!$H1080="",0,[1]Summ!$H1080)</f>
        <v>175</v>
      </c>
      <c r="C45" s="104">
        <f>IF([1]Summ!$I1080="",0,[1]Summ!$I1080)</f>
        <v>-175</v>
      </c>
      <c r="D45" s="38">
        <f t="shared" si="25"/>
        <v>0</v>
      </c>
      <c r="E45" s="75">
        <f>Poor!E45</f>
        <v>1</v>
      </c>
      <c r="F45" s="75">
        <f>Poor!F45</f>
        <v>1.4</v>
      </c>
      <c r="G45" s="75">
        <f>Poor!G45</f>
        <v>1.65</v>
      </c>
      <c r="H45" s="24">
        <f t="shared" si="30"/>
        <v>1.4</v>
      </c>
      <c r="I45" s="39">
        <f t="shared" si="31"/>
        <v>0</v>
      </c>
      <c r="J45" s="38">
        <f t="shared" si="32"/>
        <v>50.681785274822225</v>
      </c>
      <c r="K45" s="40">
        <f t="shared" si="33"/>
        <v>1.732759047477598E-3</v>
      </c>
      <c r="L45" s="22">
        <f t="shared" si="34"/>
        <v>2.4258626664686372E-3</v>
      </c>
      <c r="M45" s="24">
        <f t="shared" si="35"/>
        <v>5.0182469701294345E-4</v>
      </c>
      <c r="N45" s="2"/>
      <c r="O45" s="2"/>
      <c r="P45" s="2"/>
      <c r="Q45" s="254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12.670446318705556</v>
      </c>
      <c r="AB45" s="156">
        <f>Poor!AB45</f>
        <v>0.25</v>
      </c>
      <c r="AC45" s="147">
        <f t="shared" si="41"/>
        <v>12.670446318705556</v>
      </c>
      <c r="AD45" s="156">
        <f>Poor!AD45</f>
        <v>0.25</v>
      </c>
      <c r="AE45" s="147">
        <f t="shared" si="42"/>
        <v>12.670446318705556</v>
      </c>
      <c r="AF45" s="122">
        <f t="shared" si="29"/>
        <v>0.25</v>
      </c>
      <c r="AG45" s="147">
        <f t="shared" si="36"/>
        <v>12.670446318705556</v>
      </c>
      <c r="AH45" s="123">
        <f t="shared" si="37"/>
        <v>1</v>
      </c>
      <c r="AI45" s="112">
        <f t="shared" si="37"/>
        <v>50.681785274822225</v>
      </c>
      <c r="AJ45" s="148">
        <f t="shared" si="38"/>
        <v>25.340892637411113</v>
      </c>
      <c r="AK45" s="147">
        <f t="shared" si="39"/>
        <v>25.340892637411113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74" t="str">
        <f>IF(Poor!A46=0,"",Poor!A46)</f>
        <v>Other cashcrop (cabbage): kg produced</v>
      </c>
      <c r="B46" s="104">
        <f>IF([1]Summ!$H1081="",0,[1]Summ!$H1081)</f>
        <v>800</v>
      </c>
      <c r="C46" s="104">
        <f>IF([1]Summ!$I1081="",0,[1]Summ!$I1081)</f>
        <v>0</v>
      </c>
      <c r="D46" s="38">
        <f t="shared" si="25"/>
        <v>800</v>
      </c>
      <c r="E46" s="75">
        <f>Poor!E46</f>
        <v>1</v>
      </c>
      <c r="F46" s="75">
        <f>Poor!F46</f>
        <v>1.4</v>
      </c>
      <c r="G46" s="75">
        <f>Poor!G46</f>
        <v>1.65</v>
      </c>
      <c r="H46" s="24">
        <f t="shared" si="30"/>
        <v>1.4</v>
      </c>
      <c r="I46" s="39">
        <f t="shared" si="31"/>
        <v>1120</v>
      </c>
      <c r="J46" s="38">
        <f t="shared" si="32"/>
        <v>1120</v>
      </c>
      <c r="K46" s="40">
        <f t="shared" si="33"/>
        <v>7.9211842170404476E-3</v>
      </c>
      <c r="L46" s="22">
        <f t="shared" si="34"/>
        <v>1.1089657903856626E-2</v>
      </c>
      <c r="M46" s="24">
        <f t="shared" si="35"/>
        <v>1.1089657903856626E-2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280</v>
      </c>
      <c r="AB46" s="156">
        <f>Poor!AB46</f>
        <v>0.25</v>
      </c>
      <c r="AC46" s="147">
        <f t="shared" si="41"/>
        <v>280</v>
      </c>
      <c r="AD46" s="156">
        <f>Poor!AD46</f>
        <v>0.25</v>
      </c>
      <c r="AE46" s="147">
        <f t="shared" si="42"/>
        <v>280</v>
      </c>
      <c r="AF46" s="122">
        <f t="shared" si="29"/>
        <v>0.25</v>
      </c>
      <c r="AG46" s="147">
        <f t="shared" si="36"/>
        <v>280</v>
      </c>
      <c r="AH46" s="123">
        <f t="shared" si="37"/>
        <v>1</v>
      </c>
      <c r="AI46" s="112">
        <f t="shared" si="37"/>
        <v>1120</v>
      </c>
      <c r="AJ46" s="148">
        <f t="shared" si="38"/>
        <v>560</v>
      </c>
      <c r="AK46" s="147">
        <f t="shared" si="39"/>
        <v>560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74" t="str">
        <f>IF(Poor!A47=0,"",Poor!A47)</f>
        <v>FISHING -- see worksheet Data 3</v>
      </c>
      <c r="B47" s="104">
        <f>IF([1]Summ!$H1082="",0,[1]Summ!$H1082)</f>
        <v>0</v>
      </c>
      <c r="C47" s="104">
        <f>IF([1]Summ!$I1082="",0,[1]Summ!$I1082)</f>
        <v>0</v>
      </c>
      <c r="D47" s="38">
        <f t="shared" si="25"/>
        <v>0</v>
      </c>
      <c r="E47" s="75">
        <f>Poor!E47</f>
        <v>1</v>
      </c>
      <c r="F47" s="75">
        <f>Poor!F47</f>
        <v>1.18</v>
      </c>
      <c r="G47" s="75">
        <f>Poor!G47</f>
        <v>1.65</v>
      </c>
      <c r="H47" s="24">
        <f t="shared" si="30"/>
        <v>1.18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R47" s="242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74" t="str">
        <f>IF(Poor!A48=0,"",Poor!A48)</f>
        <v>WILD FOODS -- see worksheet Data 3</v>
      </c>
      <c r="B48" s="104">
        <f>IF([1]Summ!$H1083="",0,[1]Summ!$H1083)</f>
        <v>0</v>
      </c>
      <c r="C48" s="104">
        <f>IF([1]Summ!$I1083="",0,[1]Summ!$I1083)</f>
        <v>0</v>
      </c>
      <c r="D48" s="38">
        <f t="shared" si="25"/>
        <v>0</v>
      </c>
      <c r="E48" s="75">
        <f>Poor!E48</f>
        <v>1</v>
      </c>
      <c r="F48" s="75">
        <f>Poor!F48</f>
        <v>1.18</v>
      </c>
      <c r="G48" s="75">
        <f>Poor!G48</f>
        <v>1.65</v>
      </c>
      <c r="H48" s="24">
        <f t="shared" si="30"/>
        <v>1.18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Q48" s="254"/>
      <c r="R48" s="251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0</v>
      </c>
      <c r="AB48" s="156">
        <f>Poor!AB48</f>
        <v>0.25</v>
      </c>
      <c r="AC48" s="147">
        <f t="shared" si="41"/>
        <v>0</v>
      </c>
      <c r="AD48" s="156">
        <f>Poor!AD48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74" t="str">
        <f>IF(Poor!A49=0,"",Poor!A49)</f>
        <v>Agricultural casual work -- see Data2</v>
      </c>
      <c r="B49" s="104">
        <f>IF([1]Summ!$H1084="",0,[1]Summ!$H1084)</f>
        <v>0</v>
      </c>
      <c r="C49" s="104">
        <f>IF([1]Summ!$I1084="",0,[1]Summ!$I1084)</f>
        <v>0</v>
      </c>
      <c r="D49" s="38">
        <f t="shared" si="25"/>
        <v>0</v>
      </c>
      <c r="E49" s="75">
        <f>Poor!E49</f>
        <v>1</v>
      </c>
      <c r="F49" s="75">
        <f>Poor!F49</f>
        <v>1.1100000000000001</v>
      </c>
      <c r="G49" s="75">
        <f>Poor!G49</f>
        <v>1.65</v>
      </c>
      <c r="H49" s="24">
        <f t="shared" si="30"/>
        <v>1.1100000000000001</v>
      </c>
      <c r="I49" s="39">
        <f t="shared" si="31"/>
        <v>0</v>
      </c>
      <c r="J49" s="38">
        <f t="shared" si="32"/>
        <v>0</v>
      </c>
      <c r="K49" s="40">
        <f t="shared" si="33"/>
        <v>0</v>
      </c>
      <c r="L49" s="22">
        <f t="shared" si="34"/>
        <v>0</v>
      </c>
      <c r="M49" s="24">
        <f t="shared" si="35"/>
        <v>0</v>
      </c>
      <c r="N49" s="2"/>
      <c r="O49" s="2"/>
      <c r="P49" s="2"/>
      <c r="Q49" s="254"/>
      <c r="R49" s="251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40"/>
        <v>0</v>
      </c>
      <c r="AB49" s="156">
        <f>Poor!AB49</f>
        <v>0.25</v>
      </c>
      <c r="AC49" s="147">
        <f t="shared" si="41"/>
        <v>0</v>
      </c>
      <c r="AD49" s="156">
        <f>Poor!AD49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74" t="str">
        <f>IF(Poor!A50=0,"",Poor!A50)</f>
        <v>Construction casual work -- see Data2</v>
      </c>
      <c r="B50" s="104">
        <f>IF([1]Summ!$H1085="",0,[1]Summ!$H1085)</f>
        <v>0</v>
      </c>
      <c r="C50" s="104">
        <f>IF([1]Summ!$I1085="",0,[1]Summ!$I1085)</f>
        <v>0</v>
      </c>
      <c r="D50" s="38">
        <f t="shared" si="25"/>
        <v>0</v>
      </c>
      <c r="E50" s="75">
        <f>Poor!E50</f>
        <v>1</v>
      </c>
      <c r="F50" s="75">
        <f>Poor!F50</f>
        <v>1.1100000000000001</v>
      </c>
      <c r="G50" s="75">
        <f>Poor!G50</f>
        <v>1.65</v>
      </c>
      <c r="H50" s="24">
        <f t="shared" si="30"/>
        <v>1.1100000000000001</v>
      </c>
      <c r="I50" s="39">
        <f t="shared" si="31"/>
        <v>0</v>
      </c>
      <c r="J50" s="38">
        <f t="shared" si="32"/>
        <v>0</v>
      </c>
      <c r="K50" s="40">
        <f t="shared" si="33"/>
        <v>0</v>
      </c>
      <c r="L50" s="22">
        <f t="shared" si="34"/>
        <v>0</v>
      </c>
      <c r="M50" s="24">
        <f t="shared" si="35"/>
        <v>0</v>
      </c>
      <c r="N50" s="2"/>
      <c r="O50" s="2"/>
      <c r="P50" s="2"/>
      <c r="Q50" s="254"/>
      <c r="R50" s="251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40"/>
        <v>0</v>
      </c>
      <c r="AB50" s="156">
        <f>Poor!AB55</f>
        <v>0.25</v>
      </c>
      <c r="AC50" s="147">
        <f t="shared" si="41"/>
        <v>0</v>
      </c>
      <c r="AD50" s="156">
        <f>Poor!AD55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74" t="str">
        <f>IF(Poor!A51=0,"",Poor!A51)</f>
        <v>Domestic casual work -- see Data2</v>
      </c>
      <c r="B51" s="104">
        <f>IF([1]Summ!$H1086="",0,[1]Summ!$H1086)</f>
        <v>0</v>
      </c>
      <c r="C51" s="104">
        <f>IF([1]Summ!$I1086="",0,[1]Summ!$I1086)</f>
        <v>0</v>
      </c>
      <c r="D51" s="38">
        <f t="shared" si="25"/>
        <v>0</v>
      </c>
      <c r="E51" s="75">
        <f>Poor!E51</f>
        <v>1</v>
      </c>
      <c r="F51" s="75">
        <f>Poor!F51</f>
        <v>1.1100000000000001</v>
      </c>
      <c r="G51" s="75">
        <f>Poor!G51</f>
        <v>1.65</v>
      </c>
      <c r="H51" s="24">
        <f t="shared" si="30"/>
        <v>1.1100000000000001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Q51" s="254"/>
      <c r="R51" s="251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74" t="str">
        <f>IF(Poor!A52=0,"",Poor!A52)</f>
        <v>Labour migration: no. people per HH</v>
      </c>
      <c r="B52" s="104">
        <f>IF([1]Summ!$H1087="",0,[1]Summ!$H1087)</f>
        <v>42000</v>
      </c>
      <c r="C52" s="104">
        <f>IF([1]Summ!$I1087="",0,[1]Summ!$I1087)</f>
        <v>0</v>
      </c>
      <c r="D52" s="38">
        <f t="shared" si="25"/>
        <v>42000</v>
      </c>
      <c r="E52" s="75">
        <f>Poor!E52</f>
        <v>0.8</v>
      </c>
      <c r="F52" s="75">
        <f>Poor!F52</f>
        <v>1.18</v>
      </c>
      <c r="G52" s="75">
        <f>Poor!G52</f>
        <v>1.65</v>
      </c>
      <c r="H52" s="24">
        <f t="shared" si="30"/>
        <v>0.94399999999999995</v>
      </c>
      <c r="I52" s="39">
        <f t="shared" si="31"/>
        <v>39648</v>
      </c>
      <c r="J52" s="38">
        <f t="shared" si="32"/>
        <v>39648</v>
      </c>
      <c r="K52" s="40">
        <f t="shared" si="33"/>
        <v>0.4158621713946235</v>
      </c>
      <c r="L52" s="22">
        <f t="shared" si="34"/>
        <v>0.39257388979652458</v>
      </c>
      <c r="M52" s="24">
        <f t="shared" si="35"/>
        <v>0.39257388979652458</v>
      </c>
      <c r="N52" s="2"/>
      <c r="O52" s="2"/>
      <c r="P52" s="2"/>
      <c r="Q52" s="41"/>
      <c r="R52" s="241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9912</v>
      </c>
      <c r="AB52" s="156">
        <f>Poor!AB57</f>
        <v>0.25</v>
      </c>
      <c r="AC52" s="147">
        <f t="shared" si="41"/>
        <v>9912</v>
      </c>
      <c r="AD52" s="156">
        <f>Poor!AD57</f>
        <v>0.25</v>
      </c>
      <c r="AE52" s="147">
        <f t="shared" si="42"/>
        <v>9912</v>
      </c>
      <c r="AF52" s="122">
        <f t="shared" si="29"/>
        <v>0.25</v>
      </c>
      <c r="AG52" s="147">
        <f t="shared" si="36"/>
        <v>9912</v>
      </c>
      <c r="AH52" s="123">
        <f t="shared" si="37"/>
        <v>1</v>
      </c>
      <c r="AI52" s="112">
        <f t="shared" si="37"/>
        <v>39648</v>
      </c>
      <c r="AJ52" s="148">
        <f t="shared" si="38"/>
        <v>19824</v>
      </c>
      <c r="AK52" s="147">
        <f t="shared" si="39"/>
        <v>19824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74" t="str">
        <f>IF(Poor!A53=0,"",Poor!A53)</f>
        <v>Formal Employment (e.g. teachers, salaried staff, etc.)</v>
      </c>
      <c r="B53" s="104">
        <f>IF([1]Summ!$H1088="",0,[1]Summ!$H1088)</f>
        <v>36000</v>
      </c>
      <c r="C53" s="104">
        <f>IF([1]Summ!$I1088="",0,[1]Summ!$I1088)</f>
        <v>0</v>
      </c>
      <c r="D53" s="38">
        <f t="shared" si="25"/>
        <v>36000</v>
      </c>
      <c r="E53" s="75">
        <f>Poor!E53</f>
        <v>0.8</v>
      </c>
      <c r="F53" s="75">
        <f>Poor!F53</f>
        <v>1.18</v>
      </c>
      <c r="G53" s="75">
        <f>Poor!G53</f>
        <v>1.65</v>
      </c>
      <c r="H53" s="24">
        <f t="shared" si="30"/>
        <v>0.94399999999999995</v>
      </c>
      <c r="I53" s="39">
        <f t="shared" si="31"/>
        <v>33984</v>
      </c>
      <c r="J53" s="38">
        <f t="shared" si="32"/>
        <v>33984</v>
      </c>
      <c r="K53" s="40">
        <f t="shared" si="33"/>
        <v>0.35645328976682011</v>
      </c>
      <c r="L53" s="22">
        <f t="shared" si="34"/>
        <v>0.33649190553987818</v>
      </c>
      <c r="M53" s="24">
        <f t="shared" si="35"/>
        <v>0.33649190553987823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74" t="str">
        <f>IF(Poor!A54=0,"",Poor!A54)</f>
        <v>Self-employment -- see Data2</v>
      </c>
      <c r="B54" s="104">
        <f>IF([1]Summ!$H1089="",0,[1]Summ!$H1089)</f>
        <v>1200</v>
      </c>
      <c r="C54" s="104">
        <f>IF([1]Summ!$I1089="",0,[1]Summ!$I1089)</f>
        <v>240</v>
      </c>
      <c r="D54" s="38">
        <f t="shared" si="25"/>
        <v>1440</v>
      </c>
      <c r="E54" s="75">
        <f>Poor!E54</f>
        <v>0.8</v>
      </c>
      <c r="F54" s="75">
        <f>Poor!F54</f>
        <v>1</v>
      </c>
      <c r="G54" s="75">
        <f>Poor!G54</f>
        <v>1.65</v>
      </c>
      <c r="H54" s="24">
        <f t="shared" si="30"/>
        <v>0.8</v>
      </c>
      <c r="I54" s="39">
        <f t="shared" si="31"/>
        <v>1152</v>
      </c>
      <c r="J54" s="38">
        <f t="shared" si="32"/>
        <v>1112.2820294989149</v>
      </c>
      <c r="K54" s="40">
        <f t="shared" si="33"/>
        <v>1.1881776325560671E-2</v>
      </c>
      <c r="L54" s="22">
        <f t="shared" si="34"/>
        <v>9.5054210604485368E-3</v>
      </c>
      <c r="M54" s="24">
        <f t="shared" si="35"/>
        <v>1.1013238571205652E-2</v>
      </c>
      <c r="N54" s="2"/>
      <c r="O54" s="2"/>
      <c r="P54" s="2"/>
      <c r="Q54" s="2"/>
      <c r="R54" s="2"/>
      <c r="S54" s="2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74" t="str">
        <f>IF(Poor!A55=0,"",Poor!A55)</f>
        <v>Small business -- see Data2</v>
      </c>
      <c r="B55" s="104">
        <f>IF([1]Summ!$H1090="",0,[1]Summ!$H1090)</f>
        <v>0</v>
      </c>
      <c r="C55" s="104">
        <f>IF([1]Summ!$I1090="",0,[1]Summ!$I1090)</f>
        <v>0</v>
      </c>
      <c r="D55" s="38">
        <f t="shared" si="25"/>
        <v>0</v>
      </c>
      <c r="E55" s="75">
        <f>Poor!E55</f>
        <v>0.8</v>
      </c>
      <c r="F55" s="75">
        <f>Poor!F55</f>
        <v>1.18</v>
      </c>
      <c r="G55" s="75">
        <f>Poor!G55</f>
        <v>1.65</v>
      </c>
      <c r="H55" s="24">
        <f t="shared" si="30"/>
        <v>0.94399999999999995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2"/>
      <c r="R55" s="2"/>
      <c r="S55" s="2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74" t="str">
        <f>IF(Poor!A56=0,"",Poor!A56)</f>
        <v>Social Cash Transfers -- see Data2</v>
      </c>
      <c r="B56" s="104">
        <f>IF([1]Summ!$H1091="",0,[1]Summ!$H1091)</f>
        <v>7620</v>
      </c>
      <c r="C56" s="104">
        <f>IF([1]Summ!$I1091="",0,[1]Summ!$I1091)</f>
        <v>0</v>
      </c>
      <c r="D56" s="38">
        <f t="shared" si="25"/>
        <v>7620</v>
      </c>
      <c r="E56" s="75">
        <f>Poor!E56</f>
        <v>0</v>
      </c>
      <c r="F56" s="75">
        <f>Poor!F56</f>
        <v>1.18</v>
      </c>
      <c r="G56" s="75">
        <f>Poor!G56</f>
        <v>1.65</v>
      </c>
      <c r="H56" s="24">
        <f t="shared" si="30"/>
        <v>0</v>
      </c>
      <c r="I56" s="39">
        <f t="shared" si="31"/>
        <v>0</v>
      </c>
      <c r="J56" s="38">
        <f t="shared" si="32"/>
        <v>0</v>
      </c>
      <c r="K56" s="40">
        <f t="shared" si="33"/>
        <v>7.5449279667310257E-2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2"/>
      <c r="R56" s="2"/>
      <c r="S56" s="2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74" t="str">
        <f>IF(Poor!A57=0,"",Poor!A57)</f>
        <v>Remittances: no. times per year</v>
      </c>
      <c r="B57" s="104">
        <f>IF([1]Summ!$H1092="",0,[1]Summ!$H1092)</f>
        <v>0</v>
      </c>
      <c r="C57" s="104">
        <f>IF([1]Summ!$I1092="",0,[1]Summ!$I1092)</f>
        <v>0</v>
      </c>
      <c r="D57" s="38">
        <f t="shared" si="25"/>
        <v>0</v>
      </c>
      <c r="E57" s="75">
        <f>Poor!E57</f>
        <v>1</v>
      </c>
      <c r="F57" s="75">
        <f>Poor!F57</f>
        <v>1.1100000000000001</v>
      </c>
      <c r="G57" s="75">
        <f>Poor!G57</f>
        <v>1.65</v>
      </c>
      <c r="H57" s="24">
        <f t="shared" si="30"/>
        <v>1.1100000000000001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2"/>
      <c r="R57" s="2"/>
      <c r="S57" s="2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74" t="str">
        <f>IF(Poor!A58=0,"",Poor!A58)</f>
        <v/>
      </c>
      <c r="B58" s="104">
        <f>IF([1]Summ!$H1093="",0,[1]Summ!$H1093)</f>
        <v>0</v>
      </c>
      <c r="C58" s="104">
        <f>IF([1]Summ!$I1093="",0,[1]Summ!$I1093)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"/>
      <c r="S58" s="2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74" t="str">
        <f>IF(Poor!A59=0,"",Poor!A59)</f>
        <v/>
      </c>
      <c r="B59" s="104">
        <f>IF([1]Summ!$H1094="",0,[1]Summ!$H1094)</f>
        <v>0</v>
      </c>
      <c r="C59" s="104">
        <f>IF([1]Summ!$I1094="",0,[1]Summ!$I1094)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74" t="str">
        <f>IF(Poor!A60=0,"",Poor!A60)</f>
        <v/>
      </c>
      <c r="B60" s="104">
        <f>IF([1]Summ!$H1095="",0,[1]Summ!$H1095)</f>
        <v>0</v>
      </c>
      <c r="C60" s="104">
        <f>IF([1]Summ!$I1095="",0,[1]Summ!$I1095)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74" t="str">
        <f>IF(Poor!A61=0,"",Poor!A61)</f>
        <v/>
      </c>
      <c r="B61" s="104">
        <f>IF([1]Summ!$H1096="",0,[1]Summ!$H1096)</f>
        <v>0</v>
      </c>
      <c r="C61" s="104">
        <f>IF([1]Summ!$I1096="",0,[1]Summ!$I1096)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74" t="str">
        <f>IF(Poor!A62=0,"",Poor!A62)</f>
        <v/>
      </c>
      <c r="B62" s="104">
        <f>IF([1]Summ!$H1097="",0,[1]Summ!$H1097)</f>
        <v>0</v>
      </c>
      <c r="C62" s="104">
        <f>IF([1]Summ!$I1097="",0,[1]Summ!$I1097)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74" t="str">
        <f>IF(Poor!A63=0,"",Poor!A63)</f>
        <v/>
      </c>
      <c r="B63" s="104">
        <f>IF([1]Summ!$H1098="",0,[1]Summ!$H1098)</f>
        <v>0</v>
      </c>
      <c r="C63" s="104">
        <f>IF([1]Summ!$I1098="",0,[1]Summ!$I1098)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74" t="str">
        <f>IF(Poor!A64=0,"",Poor!A64)</f>
        <v/>
      </c>
      <c r="B64" s="104">
        <f>IF([1]Summ!$H1099="",0,[1]Summ!$H1099)</f>
        <v>0</v>
      </c>
      <c r="C64" s="104">
        <f>IF([1]Summ!$I1099="",0,[1]Summ!$I1099)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100995</v>
      </c>
      <c r="C65" s="39">
        <f>SUM(C37:C64)</f>
        <v>-2085</v>
      </c>
      <c r="D65" s="42">
        <f>SUM(D37:D64)</f>
        <v>98910</v>
      </c>
      <c r="E65" s="32"/>
      <c r="F65" s="32"/>
      <c r="G65" s="32"/>
      <c r="H65" s="31"/>
      <c r="I65" s="39">
        <f>SUM(I37:I64)</f>
        <v>86335.2</v>
      </c>
      <c r="J65" s="39">
        <f>SUM(J37:J64)</f>
        <v>87212.346554784905</v>
      </c>
      <c r="K65" s="40">
        <f>SUM(K37:K64)</f>
        <v>1</v>
      </c>
      <c r="L65" s="22">
        <f>SUM(L37:L64)</f>
        <v>0.89683053616515662</v>
      </c>
      <c r="M65" s="24">
        <f>SUM(M37:M64)</f>
        <v>0.86353132882603001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10656.986350010044</v>
      </c>
      <c r="AB65" s="137"/>
      <c r="AC65" s="153">
        <f>SUM(AC37:AC64)</f>
        <v>10642.244766775295</v>
      </c>
      <c r="AD65" s="137"/>
      <c r="AE65" s="153">
        <f>SUM(AE37:AE64)</f>
        <v>10687.014107735808</v>
      </c>
      <c r="AF65" s="137"/>
      <c r="AG65" s="153">
        <f>SUM(AG37:AG64)</f>
        <v>20129.819300764841</v>
      </c>
      <c r="AH65" s="137"/>
      <c r="AI65" s="153">
        <f>SUM(AI37:AI64)</f>
        <v>52116.064525285983</v>
      </c>
      <c r="AJ65" s="153">
        <f>SUM(AJ37:AJ64)</f>
        <v>21299.23111678534</v>
      </c>
      <c r="AK65" s="153">
        <f>SUM(AK37:AK64)</f>
        <v>30816.833408500646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48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[1]Summ!$H1031</f>
        <v>20998.795168409197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29398.313235772875</v>
      </c>
      <c r="J70" s="51">
        <f t="shared" ref="J70:J77" si="44">J124*I$83</f>
        <v>29398.313235772875</v>
      </c>
      <c r="K70" s="40">
        <f>B70/B$76</f>
        <v>0.20791915608108516</v>
      </c>
      <c r="L70" s="22">
        <f t="shared" ref="L70:L75" si="45">(L124*G$37*F$9/F$7)/B$130</f>
        <v>0.29108681851351931</v>
      </c>
      <c r="M70" s="24">
        <f>J70/B$76</f>
        <v>0.29108681851351925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7349.5783089432189</v>
      </c>
      <c r="AB70" s="156">
        <f>Poor!AB70</f>
        <v>0.25</v>
      </c>
      <c r="AC70" s="147">
        <f>$J70*AB70</f>
        <v>7349.5783089432189</v>
      </c>
      <c r="AD70" s="156">
        <f>Poor!AD70</f>
        <v>0.25</v>
      </c>
      <c r="AE70" s="147">
        <f>$J70*AD70</f>
        <v>7349.5783089432189</v>
      </c>
      <c r="AF70" s="156">
        <f>Poor!AF70</f>
        <v>0.25</v>
      </c>
      <c r="AG70" s="147">
        <f>$J70*AF70</f>
        <v>7349.5783089432189</v>
      </c>
      <c r="AH70" s="155">
        <f>SUM(Z70,AB70,AD70,AF70)</f>
        <v>1</v>
      </c>
      <c r="AI70" s="147">
        <f>SUM(AA70,AC70,AE70,AG70)</f>
        <v>29398.313235772875</v>
      </c>
      <c r="AJ70" s="148">
        <f>(AA70+AC70)</f>
        <v>14699.156617886438</v>
      </c>
      <c r="AK70" s="147">
        <f>(AE70+AG70)</f>
        <v>14699.156617886438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[1]Summ!$H1032</f>
        <v>17178.666666666668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20270.826666666664</v>
      </c>
      <c r="J71" s="51">
        <f t="shared" si="44"/>
        <v>20270.826666666664</v>
      </c>
      <c r="K71" s="40">
        <f t="shared" ref="K71:K72" si="47">B71/B$76</f>
        <v>0.17009422908724856</v>
      </c>
      <c r="L71" s="22">
        <f t="shared" si="45"/>
        <v>0.20071119032295331</v>
      </c>
      <c r="M71" s="24">
        <f t="shared" ref="M71:M72" si="48">J71/B$76</f>
        <v>0.20071119032295326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[1]Summ!$H1033</f>
        <v>27744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32737.919999999998</v>
      </c>
      <c r="K72" s="40">
        <f t="shared" si="47"/>
        <v>0.27470666864696275</v>
      </c>
      <c r="L72" s="22">
        <f t="shared" si="45"/>
        <v>0.32415386900341603</v>
      </c>
      <c r="M72" s="24">
        <f t="shared" si="48"/>
        <v>0.32415386900341597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[1]Summ!$H1034</f>
        <v>40390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5617.0774812820955</v>
      </c>
      <c r="K73" s="40">
        <f>B73/B$76</f>
        <v>0.39992078815782961</v>
      </c>
      <c r="L73" s="22">
        <f t="shared" si="45"/>
        <v>4.3546355314917108E-2</v>
      </c>
      <c r="M73" s="24">
        <f>J73/B$76</f>
        <v>5.5617381863281308E-2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4289.4179999999997</v>
      </c>
      <c r="AB73" s="156">
        <f>Poor!AB73</f>
        <v>0.09</v>
      </c>
      <c r="AC73" s="147">
        <f>$H$73*$B$73*AB73</f>
        <v>4289.4179999999997</v>
      </c>
      <c r="AD73" s="156">
        <f>Poor!AD73</f>
        <v>0.23</v>
      </c>
      <c r="AE73" s="147">
        <f>$H$73*$B$73*AD73</f>
        <v>10961.846</v>
      </c>
      <c r="AF73" s="156">
        <f>Poor!AF73</f>
        <v>0.59</v>
      </c>
      <c r="AG73" s="147">
        <f>$H$73*$B$73*AF73</f>
        <v>28119.517999999996</v>
      </c>
      <c r="AH73" s="155">
        <f>SUM(Z73,AB73,AD73,AF73)</f>
        <v>1</v>
      </c>
      <c r="AI73" s="147">
        <f>SUM(AA73,AC73,AE73,AG73)</f>
        <v>47660.2</v>
      </c>
      <c r="AJ73" s="148">
        <f>(AA73+AC73)</f>
        <v>8578.8359999999993</v>
      </c>
      <c r="AK73" s="147">
        <f>(AE73+AG73)</f>
        <v>39081.363999999994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4930.2080589939433</v>
      </c>
      <c r="C74" s="39"/>
      <c r="D74" s="38"/>
      <c r="E74" s="32"/>
      <c r="F74" s="32"/>
      <c r="G74" s="32"/>
      <c r="H74" s="31"/>
      <c r="I74" s="39">
        <f>I128*I$83</f>
        <v>56936.886764227114</v>
      </c>
      <c r="J74" s="51">
        <f t="shared" si="44"/>
        <v>-811.79082893674274</v>
      </c>
      <c r="K74" s="40">
        <f>B74/B$76</f>
        <v>4.8816357829535556E-2</v>
      </c>
      <c r="L74" s="22">
        <f t="shared" si="45"/>
        <v>3.733230301035103E-2</v>
      </c>
      <c r="M74" s="24">
        <f>J74/B$76</f>
        <v>-8.0379308771398855E-3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AA30*$I$84/4</f>
        <v>2.182936403419422E-12</v>
      </c>
      <c r="AB74" s="156"/>
      <c r="AC74" s="147">
        <f>AC30*$I$84/4</f>
        <v>2.182936403419422E-12</v>
      </c>
      <c r="AD74" s="156"/>
      <c r="AE74" s="147">
        <f>AE30*$I$84/4</f>
        <v>2.182936403419422E-12</v>
      </c>
      <c r="AF74" s="156"/>
      <c r="AG74" s="147">
        <f>AG30*$I$84/4</f>
        <v>-2122.5462495496267</v>
      </c>
      <c r="AH74" s="155"/>
      <c r="AI74" s="147">
        <f>SUM(AA74,AC74,AE74,AG74)</f>
        <v>-2122.5462495496204</v>
      </c>
      <c r="AJ74" s="148">
        <f>(AA74+AC74)</f>
        <v>4.365872806838844E-12</v>
      </c>
      <c r="AK74" s="147">
        <f>(AE74+AG74)</f>
        <v>-2122.5462495496245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 t="shared" si="45"/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16778.627009573411</v>
      </c>
      <c r="AB75" s="158"/>
      <c r="AC75" s="149">
        <f>AA75+AC65-SUM(AC70,AC74)</f>
        <v>20071.293467405485</v>
      </c>
      <c r="AD75" s="158"/>
      <c r="AE75" s="149">
        <f>AC75+AE65-SUM(AE70,AE74)</f>
        <v>23408.729266198068</v>
      </c>
      <c r="AF75" s="158"/>
      <c r="AG75" s="149">
        <f>IF(SUM(AG6:AG29)+((AG65-AG70-$J$75)*4/I$83)&lt;1,0,AG65-AG70-$J$75-(1-SUM(AG6:AG29))*I$83/4)</f>
        <v>13471.21896850659</v>
      </c>
      <c r="AH75" s="134"/>
      <c r="AI75" s="149">
        <f>AI76-SUM(AI70,AI74)</f>
        <v>24840.297539062729</v>
      </c>
      <c r="AJ75" s="151">
        <f>AJ76-SUM(AJ70,AJ74)</f>
        <v>6600.074498898899</v>
      </c>
      <c r="AK75" s="149">
        <f>AJ75+AK76-SUM(AK70,AK74)</f>
        <v>24840.29753906274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100995</v>
      </c>
      <c r="C76" s="39"/>
      <c r="D76" s="38"/>
      <c r="E76" s="32"/>
      <c r="F76" s="32"/>
      <c r="G76" s="32"/>
      <c r="H76" s="31"/>
      <c r="I76" s="39">
        <f>I130*I$83</f>
        <v>86335.2</v>
      </c>
      <c r="J76" s="51">
        <f t="shared" si="44"/>
        <v>87212.34655478489</v>
      </c>
      <c r="K76" s="40">
        <f>SUM(K70:K75)</f>
        <v>1.1014571998026617</v>
      </c>
      <c r="L76" s="22">
        <f>SUM(L70:L75)</f>
        <v>0.89683053616515684</v>
      </c>
      <c r="M76" s="24">
        <f>SUM(M70:M75)</f>
        <v>0.8635313288260299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10656.986350010044</v>
      </c>
      <c r="AB76" s="137"/>
      <c r="AC76" s="153">
        <f>AC65</f>
        <v>10642.244766775295</v>
      </c>
      <c r="AD76" s="137"/>
      <c r="AE76" s="153">
        <f>AE65</f>
        <v>10687.014107735808</v>
      </c>
      <c r="AF76" s="137"/>
      <c r="AG76" s="153">
        <f>AG65</f>
        <v>20129.819300764841</v>
      </c>
      <c r="AH76" s="137"/>
      <c r="AI76" s="153">
        <f>SUM(AA76,AC76,AE76,AG76)</f>
        <v>52116.064525285983</v>
      </c>
      <c r="AJ76" s="154">
        <f>SUM(AA76,AC76)</f>
        <v>21299.23111678534</v>
      </c>
      <c r="AK76" s="154">
        <f>SUM(AE76,AG76)</f>
        <v>30816.83340850065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20270.826666666679</v>
      </c>
      <c r="J77" s="100">
        <f t="shared" si="44"/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AA31*$I$84/4</f>
        <v>0</v>
      </c>
      <c r="AB77" s="112"/>
      <c r="AC77" s="111">
        <f>AC31*$I$84/4</f>
        <v>0</v>
      </c>
      <c r="AD77" s="112"/>
      <c r="AE77" s="111">
        <f>AE31*$I$84/4</f>
        <v>0</v>
      </c>
      <c r="AF77" s="112"/>
      <c r="AG77" s="111">
        <f>AG31*$I$84/4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13471.21896850659</v>
      </c>
      <c r="AB78" s="112"/>
      <c r="AC78" s="112">
        <f>IF(AA75&lt;0,0,AA75)</f>
        <v>16778.627009573411</v>
      </c>
      <c r="AD78" s="112"/>
      <c r="AE78" s="112">
        <f>AC75</f>
        <v>20071.293467405485</v>
      </c>
      <c r="AF78" s="112"/>
      <c r="AG78" s="112">
        <f>AE75</f>
        <v>23408.729266198068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29" t="str">
        <f>[1]Summ!$H1037</f>
        <v>maize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16778.627009573414</v>
      </c>
      <c r="AB79" s="112"/>
      <c r="AC79" s="112">
        <f>AA79-AA74+AC65-AC70</f>
        <v>20071.293467405489</v>
      </c>
      <c r="AD79" s="112"/>
      <c r="AE79" s="112">
        <f>AC79-AC74+AE65-AE70</f>
        <v>23408.729266198072</v>
      </c>
      <c r="AF79" s="112"/>
      <c r="AG79" s="112">
        <f>AE79-AE74+AG65-AG70</f>
        <v>36188.97025801969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[1]Summ!$H1038</f>
        <v>0.58123152089493346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9">
        <f>[1]Summ!$H1039</f>
        <v>8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[1]Summ!$H1040</f>
        <v>4.5714285714285712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7758.6104732032263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12801.707280785322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$I$84*Z82/4</f>
        <v>9831.0715730131997</v>
      </c>
      <c r="AB83" s="112"/>
      <c r="AC83" s="165">
        <f>$I$84*AB82/4</f>
        <v>9831.0715730131997</v>
      </c>
      <c r="AD83" s="112"/>
      <c r="AE83" s="165">
        <f>$I$84*AD82/4</f>
        <v>9831.0715730131997</v>
      </c>
      <c r="AF83" s="112"/>
      <c r="AG83" s="165">
        <f>$I$84*AF82/4</f>
        <v>9831.0715730131997</v>
      </c>
      <c r="AH83" s="165">
        <f>SUM(AA83,AC83,AE83,AG83)</f>
        <v>39324.286292052799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3">
        <f>B70+((1-D29)*B83)</f>
        <v>27014.536414639457</v>
      </c>
      <c r="C84" s="46"/>
      <c r="D84" s="234"/>
      <c r="E84" s="64"/>
      <c r="F84" s="64"/>
      <c r="G84" s="64"/>
      <c r="H84" s="235">
        <f>IF(B84=0,0,I84/B84)</f>
        <v>1.455671335183178</v>
      </c>
      <c r="I84" s="233">
        <f>(B70*H70)+((1-(D29*H29))*I83)</f>
        <v>39324.286292052799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[1]Summ!$J$892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Middle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Pig sales: no sold</v>
      </c>
      <c r="B91" s="75">
        <f t="shared" ref="B91:C118" si="50">(B37/$B$83)</f>
        <v>0.36088936410336242</v>
      </c>
      <c r="C91" s="75">
        <f t="shared" si="50"/>
        <v>0</v>
      </c>
      <c r="D91" s="24">
        <f t="shared" ref="D91" si="51">(B91+C91)</f>
        <v>0.36088936410336242</v>
      </c>
      <c r="H91" s="24">
        <f>(E37*F37/G37*F$7/F$9)</f>
        <v>0.57212121212121214</v>
      </c>
      <c r="I91" s="22">
        <f t="shared" ref="I91" si="52">(D91*H91)</f>
        <v>0.20647246043246917</v>
      </c>
      <c r="J91" s="24">
        <f>IF(I$32&lt;=1+I$131,I91,L91+J$33*(I91-L91))</f>
        <v>0.20647246043246917</v>
      </c>
      <c r="K91" s="22">
        <f t="shared" ref="K91" si="53">(B91)</f>
        <v>0.36088936410336242</v>
      </c>
      <c r="L91" s="22">
        <f t="shared" ref="L91" si="54">(K91*H91)</f>
        <v>0.20647246043246917</v>
      </c>
      <c r="M91" s="226">
        <f t="shared" si="49"/>
        <v>0.20647246043246917</v>
      </c>
      <c r="N91" s="228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Cattle sales - local: no. sold</v>
      </c>
      <c r="B92" s="75">
        <f t="shared" si="50"/>
        <v>0.6444452930417186</v>
      </c>
      <c r="C92" s="75">
        <f t="shared" si="50"/>
        <v>0.3222226465208593</v>
      </c>
      <c r="D92" s="24">
        <f t="shared" ref="D92:D118" si="56">(B92+C92)</f>
        <v>0.9666679395625779</v>
      </c>
      <c r="H92" s="24">
        <f t="shared" ref="H92:H118" si="57">(E38*F38/G38*F$7/F$9)</f>
        <v>0.57212121212121214</v>
      </c>
      <c r="I92" s="22">
        <f t="shared" ref="I92:I118" si="58">(D92*H92)</f>
        <v>0.55305123330125672</v>
      </c>
      <c r="J92" s="24">
        <f t="shared" ref="J92:J118" si="59">IF(I$32&lt;=1+I$131,I92,L92+J$33*(I92-L92))</f>
        <v>0.51491569064527043</v>
      </c>
      <c r="K92" s="22">
        <f t="shared" ref="K92:K118" si="60">(B92)</f>
        <v>0.6444452930417186</v>
      </c>
      <c r="L92" s="22">
        <f t="shared" ref="L92:L118" si="61">(K92*H92)</f>
        <v>0.36870082220083783</v>
      </c>
      <c r="M92" s="226">
        <f t="shared" ref="M92:M118" si="62">(J92)</f>
        <v>0.51491569064527043</v>
      </c>
      <c r="N92" s="228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Goat sales - local: no. sold</v>
      </c>
      <c r="B93" s="75">
        <f t="shared" si="50"/>
        <v>0.12888905860834371</v>
      </c>
      <c r="C93" s="75">
        <f t="shared" si="50"/>
        <v>-3.2222264652085927E-2</v>
      </c>
      <c r="D93" s="24">
        <f t="shared" si="56"/>
        <v>9.6666793956257782E-2</v>
      </c>
      <c r="H93" s="24">
        <f t="shared" si="57"/>
        <v>0.57212121212121214</v>
      </c>
      <c r="I93" s="22">
        <f t="shared" si="58"/>
        <v>5.5305123330125668E-2</v>
      </c>
      <c r="J93" s="24">
        <f t="shared" si="59"/>
        <v>5.9118677595724298E-2</v>
      </c>
      <c r="K93" s="22">
        <f t="shared" si="60"/>
        <v>0.12888905860834371</v>
      </c>
      <c r="L93" s="22">
        <f t="shared" si="61"/>
        <v>7.3740164440167552E-2</v>
      </c>
      <c r="M93" s="226">
        <f t="shared" si="62"/>
        <v>5.9118677595724298E-2</v>
      </c>
      <c r="N93" s="228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Maize: kg produced</v>
      </c>
      <c r="B94" s="75">
        <f t="shared" si="50"/>
        <v>0.11600015274750934</v>
      </c>
      <c r="C94" s="75">
        <f t="shared" si="50"/>
        <v>-0.11600015274750934</v>
      </c>
      <c r="D94" s="24">
        <f t="shared" si="56"/>
        <v>0</v>
      </c>
      <c r="H94" s="24">
        <f t="shared" si="57"/>
        <v>0.92484848484848492</v>
      </c>
      <c r="I94" s="22">
        <f t="shared" si="58"/>
        <v>0</v>
      </c>
      <c r="J94" s="24">
        <f t="shared" si="59"/>
        <v>2.2192946730394722E-2</v>
      </c>
      <c r="K94" s="22">
        <f t="shared" si="60"/>
        <v>0.11600015274750934</v>
      </c>
      <c r="L94" s="22">
        <f t="shared" si="61"/>
        <v>0.10728256551072683</v>
      </c>
      <c r="M94" s="226">
        <f t="shared" si="62"/>
        <v>2.2192946730394722E-2</v>
      </c>
      <c r="N94" s="228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Maize (irrigated): kg produced</v>
      </c>
      <c r="B95" s="75">
        <f t="shared" si="50"/>
        <v>3.8666717582503111E-2</v>
      </c>
      <c r="C95" s="75">
        <f t="shared" si="50"/>
        <v>-3.8666717582503111E-2</v>
      </c>
      <c r="D95" s="24">
        <f t="shared" si="56"/>
        <v>0</v>
      </c>
      <c r="H95" s="24">
        <f t="shared" si="57"/>
        <v>0.92484848484848492</v>
      </c>
      <c r="I95" s="22">
        <f t="shared" si="58"/>
        <v>0</v>
      </c>
      <c r="J95" s="24">
        <f t="shared" si="59"/>
        <v>7.397648910131574E-3</v>
      </c>
      <c r="K95" s="22">
        <f t="shared" si="60"/>
        <v>3.8666717582503111E-2</v>
      </c>
      <c r="L95" s="22">
        <f t="shared" si="61"/>
        <v>3.5760855170242273E-2</v>
      </c>
      <c r="M95" s="226">
        <f t="shared" si="62"/>
        <v>7.397648910131574E-3</v>
      </c>
      <c r="N95" s="228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Beans season 2: kg produced</v>
      </c>
      <c r="B96" s="75">
        <f t="shared" si="50"/>
        <v>3.8666717582503111E-2</v>
      </c>
      <c r="C96" s="75">
        <f t="shared" si="50"/>
        <v>-3.8666717582503111E-2</v>
      </c>
      <c r="D96" s="24">
        <f t="shared" si="56"/>
        <v>0</v>
      </c>
      <c r="H96" s="24">
        <f t="shared" si="57"/>
        <v>0.84848484848484851</v>
      </c>
      <c r="I96" s="22">
        <f t="shared" si="58"/>
        <v>0</v>
      </c>
      <c r="J96" s="24">
        <f t="shared" si="59"/>
        <v>6.7868338625060309E-3</v>
      </c>
      <c r="K96" s="22">
        <f t="shared" si="60"/>
        <v>3.8666717582503111E-2</v>
      </c>
      <c r="L96" s="22">
        <f t="shared" si="61"/>
        <v>3.2808124009396582E-2</v>
      </c>
      <c r="M96" s="226">
        <f t="shared" si="62"/>
        <v>6.7868338625060309E-3</v>
      </c>
      <c r="N96" s="228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Other root crops (sweet potato): no. local meas</v>
      </c>
      <c r="B97" s="75">
        <f t="shared" si="50"/>
        <v>0.25777811721668742</v>
      </c>
      <c r="C97" s="75">
        <f t="shared" si="50"/>
        <v>-0.25777811721668742</v>
      </c>
      <c r="D97" s="24">
        <f t="shared" si="56"/>
        <v>0</v>
      </c>
      <c r="H97" s="24">
        <f t="shared" si="57"/>
        <v>0.84848484848484851</v>
      </c>
      <c r="I97" s="22">
        <f t="shared" si="58"/>
        <v>0</v>
      </c>
      <c r="J97" s="24">
        <f t="shared" si="59"/>
        <v>4.5245559083373549E-2</v>
      </c>
      <c r="K97" s="22">
        <f t="shared" si="60"/>
        <v>0.25777811721668742</v>
      </c>
      <c r="L97" s="22">
        <f t="shared" si="61"/>
        <v>0.21872082672931054</v>
      </c>
      <c r="M97" s="226">
        <f t="shared" si="62"/>
        <v>4.5245559083373549E-2</v>
      </c>
      <c r="N97" s="228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Groundnuts (dry): no. local meas</v>
      </c>
      <c r="B98" s="75">
        <f t="shared" si="50"/>
        <v>0.11600015274750934</v>
      </c>
      <c r="C98" s="75">
        <f t="shared" si="50"/>
        <v>-0.11600015274750934</v>
      </c>
      <c r="D98" s="24">
        <f t="shared" si="56"/>
        <v>0</v>
      </c>
      <c r="H98" s="24">
        <f t="shared" si="57"/>
        <v>0.84848484848484851</v>
      </c>
      <c r="I98" s="22">
        <f t="shared" si="58"/>
        <v>0</v>
      </c>
      <c r="J98" s="24">
        <f t="shared" si="59"/>
        <v>2.0360501587518093E-2</v>
      </c>
      <c r="K98" s="22">
        <f t="shared" si="60"/>
        <v>0.11600015274750934</v>
      </c>
      <c r="L98" s="22">
        <f t="shared" si="61"/>
        <v>9.8424372028189752E-2</v>
      </c>
      <c r="M98" s="226">
        <f t="shared" si="62"/>
        <v>2.0360501587518093E-2</v>
      </c>
      <c r="N98" s="228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Other crop: Rape</v>
      </c>
      <c r="B99" s="75">
        <f t="shared" si="50"/>
        <v>2.2555585256460151E-2</v>
      </c>
      <c r="C99" s="75">
        <f t="shared" si="50"/>
        <v>-2.2555585256460151E-2</v>
      </c>
      <c r="D99" s="24">
        <f t="shared" si="56"/>
        <v>0</v>
      </c>
      <c r="H99" s="24">
        <f t="shared" si="57"/>
        <v>0.84848484848484851</v>
      </c>
      <c r="I99" s="22">
        <f t="shared" si="58"/>
        <v>0</v>
      </c>
      <c r="J99" s="24">
        <f t="shared" si="59"/>
        <v>3.9589864197951841E-3</v>
      </c>
      <c r="K99" s="22">
        <f t="shared" si="60"/>
        <v>2.2555585256460151E-2</v>
      </c>
      <c r="L99" s="22">
        <f t="shared" si="61"/>
        <v>1.9138072338814673E-2</v>
      </c>
      <c r="M99" s="226">
        <f t="shared" si="62"/>
        <v>3.9589864197951841E-3</v>
      </c>
      <c r="N99" s="228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Other cashcrop (cabbage): kg produced</v>
      </c>
      <c r="B100" s="75">
        <f t="shared" si="50"/>
        <v>0.10311124688667497</v>
      </c>
      <c r="C100" s="75">
        <f t="shared" si="50"/>
        <v>0</v>
      </c>
      <c r="D100" s="24">
        <f t="shared" si="56"/>
        <v>0.10311124688667497</v>
      </c>
      <c r="H100" s="24">
        <f t="shared" si="57"/>
        <v>0.84848484848484851</v>
      </c>
      <c r="I100" s="22">
        <f t="shared" si="58"/>
        <v>8.7488330691724223E-2</v>
      </c>
      <c r="J100" s="24">
        <f t="shared" si="59"/>
        <v>8.7488330691724223E-2</v>
      </c>
      <c r="K100" s="22">
        <f t="shared" si="60"/>
        <v>0.10311124688667497</v>
      </c>
      <c r="L100" s="22">
        <f t="shared" si="61"/>
        <v>8.7488330691724223E-2</v>
      </c>
      <c r="M100" s="226">
        <f t="shared" si="62"/>
        <v>8.7488330691724223E-2</v>
      </c>
      <c r="N100" s="228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FISHING -- see worksheet Data 3</v>
      </c>
      <c r="B101" s="75">
        <f t="shared" si="50"/>
        <v>0</v>
      </c>
      <c r="C101" s="75">
        <f t="shared" si="50"/>
        <v>0</v>
      </c>
      <c r="D101" s="24">
        <f t="shared" si="56"/>
        <v>0</v>
      </c>
      <c r="H101" s="24">
        <f t="shared" si="57"/>
        <v>0.7151515151515152</v>
      </c>
      <c r="I101" s="22">
        <f t="shared" si="58"/>
        <v>0</v>
      </c>
      <c r="J101" s="24">
        <f t="shared" si="59"/>
        <v>0</v>
      </c>
      <c r="K101" s="22">
        <f t="shared" si="60"/>
        <v>0</v>
      </c>
      <c r="L101" s="22">
        <f t="shared" si="61"/>
        <v>0</v>
      </c>
      <c r="M101" s="226">
        <f t="shared" si="62"/>
        <v>0</v>
      </c>
      <c r="N101" s="228">
        <v>6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WILD FOODS -- see worksheet Data 3</v>
      </c>
      <c r="B102" s="75">
        <f t="shared" si="50"/>
        <v>0</v>
      </c>
      <c r="C102" s="75">
        <f t="shared" si="50"/>
        <v>0</v>
      </c>
      <c r="D102" s="24">
        <f t="shared" si="56"/>
        <v>0</v>
      </c>
      <c r="H102" s="24">
        <f t="shared" si="57"/>
        <v>0.7151515151515152</v>
      </c>
      <c r="I102" s="22">
        <f t="shared" si="58"/>
        <v>0</v>
      </c>
      <c r="J102" s="24">
        <f t="shared" si="59"/>
        <v>0</v>
      </c>
      <c r="K102" s="22">
        <f t="shared" si="60"/>
        <v>0</v>
      </c>
      <c r="L102" s="22">
        <f t="shared" si="61"/>
        <v>0</v>
      </c>
      <c r="M102" s="226">
        <f t="shared" si="62"/>
        <v>0</v>
      </c>
      <c r="N102" s="228">
        <v>6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Agricultural casual work -- see Data2</v>
      </c>
      <c r="B103" s="75">
        <f t="shared" si="50"/>
        <v>0</v>
      </c>
      <c r="C103" s="75">
        <f t="shared" si="50"/>
        <v>0</v>
      </c>
      <c r="D103" s="24">
        <f t="shared" si="56"/>
        <v>0</v>
      </c>
      <c r="H103" s="24">
        <f t="shared" si="57"/>
        <v>0.67272727272727284</v>
      </c>
      <c r="I103" s="22">
        <f t="shared" si="58"/>
        <v>0</v>
      </c>
      <c r="J103" s="24">
        <f t="shared" si="59"/>
        <v>0</v>
      </c>
      <c r="K103" s="22">
        <f t="shared" si="60"/>
        <v>0</v>
      </c>
      <c r="L103" s="22">
        <f t="shared" si="61"/>
        <v>0</v>
      </c>
      <c r="M103" s="226">
        <f t="shared" si="62"/>
        <v>0</v>
      </c>
      <c r="N103" s="228">
        <v>7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Construction casual work -- see Data2</v>
      </c>
      <c r="B104" s="75">
        <f t="shared" si="50"/>
        <v>0</v>
      </c>
      <c r="C104" s="75">
        <f t="shared" si="50"/>
        <v>0</v>
      </c>
      <c r="D104" s="24">
        <f t="shared" si="56"/>
        <v>0</v>
      </c>
      <c r="H104" s="24">
        <f t="shared" si="57"/>
        <v>0.67272727272727284</v>
      </c>
      <c r="I104" s="22">
        <f t="shared" si="58"/>
        <v>0</v>
      </c>
      <c r="J104" s="24">
        <f t="shared" si="59"/>
        <v>0</v>
      </c>
      <c r="K104" s="22">
        <f t="shared" si="60"/>
        <v>0</v>
      </c>
      <c r="L104" s="22">
        <f t="shared" si="61"/>
        <v>0</v>
      </c>
      <c r="M104" s="226">
        <f t="shared" si="62"/>
        <v>0</v>
      </c>
      <c r="N104" s="228">
        <v>7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Domestic casual work -- see Data2</v>
      </c>
      <c r="B105" s="75">
        <f t="shared" si="50"/>
        <v>0</v>
      </c>
      <c r="C105" s="75">
        <f t="shared" si="50"/>
        <v>0</v>
      </c>
      <c r="D105" s="24">
        <f t="shared" si="56"/>
        <v>0</v>
      </c>
      <c r="H105" s="24">
        <f t="shared" si="57"/>
        <v>0.67272727272727284</v>
      </c>
      <c r="I105" s="22">
        <f t="shared" si="58"/>
        <v>0</v>
      </c>
      <c r="J105" s="24">
        <f t="shared" si="59"/>
        <v>0</v>
      </c>
      <c r="K105" s="22">
        <f t="shared" si="60"/>
        <v>0</v>
      </c>
      <c r="L105" s="22">
        <f t="shared" si="61"/>
        <v>0</v>
      </c>
      <c r="M105" s="226">
        <f t="shared" si="62"/>
        <v>0</v>
      </c>
      <c r="N105" s="228">
        <v>7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Labour migration: no. people per HH</v>
      </c>
      <c r="B106" s="75">
        <f t="shared" si="50"/>
        <v>5.4133404615504359</v>
      </c>
      <c r="C106" s="75">
        <f t="shared" si="50"/>
        <v>0</v>
      </c>
      <c r="D106" s="24">
        <f t="shared" si="56"/>
        <v>5.4133404615504359</v>
      </c>
      <c r="H106" s="24">
        <f t="shared" si="57"/>
        <v>0.57212121212121214</v>
      </c>
      <c r="I106" s="22">
        <f t="shared" si="58"/>
        <v>3.0970869064870374</v>
      </c>
      <c r="J106" s="24">
        <f t="shared" si="59"/>
        <v>3.0970869064870374</v>
      </c>
      <c r="K106" s="22">
        <f t="shared" si="60"/>
        <v>5.4133404615504359</v>
      </c>
      <c r="L106" s="22">
        <f t="shared" si="61"/>
        <v>3.0970869064870374</v>
      </c>
      <c r="M106" s="226">
        <f t="shared" si="62"/>
        <v>3.0970869064870374</v>
      </c>
      <c r="N106" s="228">
        <v>8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>Formal Employment (e.g. teachers, salaried staff, etc.)</v>
      </c>
      <c r="B107" s="75">
        <f t="shared" si="50"/>
        <v>4.6400061099003738</v>
      </c>
      <c r="C107" s="75">
        <f t="shared" si="50"/>
        <v>0</v>
      </c>
      <c r="D107" s="24">
        <f t="shared" si="56"/>
        <v>4.6400061099003738</v>
      </c>
      <c r="H107" s="24">
        <f t="shared" si="57"/>
        <v>0.57212121212121214</v>
      </c>
      <c r="I107" s="22">
        <f t="shared" si="58"/>
        <v>2.6546459198460322</v>
      </c>
      <c r="J107" s="24">
        <f t="shared" si="59"/>
        <v>2.6546459198460322</v>
      </c>
      <c r="K107" s="22">
        <f t="shared" si="60"/>
        <v>4.6400061099003738</v>
      </c>
      <c r="L107" s="22">
        <f t="shared" si="61"/>
        <v>2.6546459198460322</v>
      </c>
      <c r="M107" s="226">
        <f t="shared" si="62"/>
        <v>2.6546459198460322</v>
      </c>
      <c r="N107" s="228">
        <v>8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>Self-employment -- see Data2</v>
      </c>
      <c r="B108" s="75">
        <f t="shared" si="50"/>
        <v>0.15466687033001245</v>
      </c>
      <c r="C108" s="75">
        <f t="shared" si="50"/>
        <v>3.0933374066002491E-2</v>
      </c>
      <c r="D108" s="24">
        <f t="shared" si="56"/>
        <v>0.18560024439601494</v>
      </c>
      <c r="H108" s="24">
        <f t="shared" si="57"/>
        <v>0.48484848484848486</v>
      </c>
      <c r="I108" s="22">
        <f t="shared" si="58"/>
        <v>8.9987997282916343E-2</v>
      </c>
      <c r="J108" s="24">
        <f t="shared" si="59"/>
        <v>8.6885444660056446E-2</v>
      </c>
      <c r="K108" s="22">
        <f t="shared" si="60"/>
        <v>0.15466687033001245</v>
      </c>
      <c r="L108" s="22">
        <f t="shared" si="61"/>
        <v>7.4989997735763606E-2</v>
      </c>
      <c r="M108" s="226">
        <f t="shared" si="62"/>
        <v>8.6885444660056446E-2</v>
      </c>
      <c r="N108" s="228">
        <v>10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>Small business -- see Data2</v>
      </c>
      <c r="B109" s="75">
        <f t="shared" si="50"/>
        <v>0</v>
      </c>
      <c r="C109" s="75">
        <f t="shared" si="50"/>
        <v>0</v>
      </c>
      <c r="D109" s="24">
        <f t="shared" si="56"/>
        <v>0</v>
      </c>
      <c r="H109" s="24">
        <f t="shared" si="57"/>
        <v>0.57212121212121214</v>
      </c>
      <c r="I109" s="22">
        <f t="shared" si="58"/>
        <v>0</v>
      </c>
      <c r="J109" s="24">
        <f t="shared" si="59"/>
        <v>0</v>
      </c>
      <c r="K109" s="22">
        <f t="shared" si="60"/>
        <v>0</v>
      </c>
      <c r="L109" s="22">
        <f t="shared" si="61"/>
        <v>0</v>
      </c>
      <c r="M109" s="226">
        <f t="shared" si="62"/>
        <v>0</v>
      </c>
      <c r="N109" s="228">
        <v>11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>Social Cash Transfers -- see Data2</v>
      </c>
      <c r="B110" s="75">
        <f t="shared" si="50"/>
        <v>0.98213462659557915</v>
      </c>
      <c r="C110" s="75">
        <f t="shared" si="50"/>
        <v>0</v>
      </c>
      <c r="D110" s="24">
        <f t="shared" si="56"/>
        <v>0.98213462659557915</v>
      </c>
      <c r="H110" s="24">
        <f t="shared" si="57"/>
        <v>0</v>
      </c>
      <c r="I110" s="22">
        <f t="shared" si="58"/>
        <v>0</v>
      </c>
      <c r="J110" s="24">
        <f t="shared" si="59"/>
        <v>0</v>
      </c>
      <c r="K110" s="22">
        <f t="shared" si="60"/>
        <v>0.98213462659557915</v>
      </c>
      <c r="L110" s="22">
        <f t="shared" si="61"/>
        <v>0</v>
      </c>
      <c r="M110" s="226">
        <f t="shared" si="62"/>
        <v>0</v>
      </c>
      <c r="N110" s="228">
        <v>14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>Remittances: no. times per year</v>
      </c>
      <c r="B111" s="75">
        <f t="shared" si="50"/>
        <v>0</v>
      </c>
      <c r="C111" s="75">
        <f t="shared" si="50"/>
        <v>0</v>
      </c>
      <c r="D111" s="24">
        <f t="shared" si="56"/>
        <v>0</v>
      </c>
      <c r="H111" s="24">
        <f t="shared" si="57"/>
        <v>0.67272727272727284</v>
      </c>
      <c r="I111" s="22">
        <f t="shared" si="58"/>
        <v>0</v>
      </c>
      <c r="J111" s="24">
        <f t="shared" si="59"/>
        <v>0</v>
      </c>
      <c r="K111" s="22">
        <f t="shared" si="60"/>
        <v>0</v>
      </c>
      <c r="L111" s="22">
        <f t="shared" si="61"/>
        <v>0</v>
      </c>
      <c r="M111" s="226">
        <f t="shared" si="62"/>
        <v>0</v>
      </c>
      <c r="N111" s="228">
        <v>15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si="50"/>
        <v>0</v>
      </c>
      <c r="C112" s="75">
        <f t="shared" si="50"/>
        <v>0</v>
      </c>
      <c r="D112" s="24">
        <f t="shared" si="56"/>
        <v>0</v>
      </c>
      <c r="H112" s="24">
        <f t="shared" si="57"/>
        <v>0.60606060606060608</v>
      </c>
      <c r="I112" s="22">
        <f t="shared" si="58"/>
        <v>0</v>
      </c>
      <c r="J112" s="24">
        <f t="shared" si="59"/>
        <v>0</v>
      </c>
      <c r="K112" s="22">
        <f t="shared" si="60"/>
        <v>0</v>
      </c>
      <c r="L112" s="22">
        <f t="shared" si="61"/>
        <v>0</v>
      </c>
      <c r="M112" s="226">
        <f t="shared" si="62"/>
        <v>0</v>
      </c>
      <c r="N112" s="228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si="50"/>
        <v>0</v>
      </c>
      <c r="C113" s="75">
        <f t="shared" si="50"/>
        <v>0</v>
      </c>
      <c r="D113" s="24">
        <f t="shared" si="56"/>
        <v>0</v>
      </c>
      <c r="H113" s="24">
        <f t="shared" si="57"/>
        <v>0.60606060606060608</v>
      </c>
      <c r="I113" s="22">
        <f t="shared" si="58"/>
        <v>0</v>
      </c>
      <c r="J113" s="24">
        <f t="shared" si="59"/>
        <v>0</v>
      </c>
      <c r="K113" s="22">
        <f t="shared" si="60"/>
        <v>0</v>
      </c>
      <c r="L113" s="22">
        <f t="shared" si="61"/>
        <v>0</v>
      </c>
      <c r="M113" s="226">
        <f t="shared" si="62"/>
        <v>0</v>
      </c>
      <c r="N113" s="228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si="50"/>
        <v>0</v>
      </c>
      <c r="C114" s="75">
        <f t="shared" si="50"/>
        <v>0</v>
      </c>
      <c r="D114" s="24">
        <f t="shared" si="56"/>
        <v>0</v>
      </c>
      <c r="H114" s="24">
        <f t="shared" si="57"/>
        <v>0.60606060606060608</v>
      </c>
      <c r="I114" s="22">
        <f t="shared" si="58"/>
        <v>0</v>
      </c>
      <c r="J114" s="24">
        <f t="shared" si="59"/>
        <v>0</v>
      </c>
      <c r="K114" s="22">
        <f t="shared" si="60"/>
        <v>0</v>
      </c>
      <c r="L114" s="22">
        <f t="shared" si="61"/>
        <v>0</v>
      </c>
      <c r="M114" s="226">
        <f t="shared" si="62"/>
        <v>0</v>
      </c>
      <c r="N114" s="228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si="50"/>
        <v>0</v>
      </c>
      <c r="C115" s="75">
        <f t="shared" si="50"/>
        <v>0</v>
      </c>
      <c r="D115" s="24">
        <f t="shared" si="56"/>
        <v>0</v>
      </c>
      <c r="H115" s="24">
        <f t="shared" si="57"/>
        <v>0.60606060606060608</v>
      </c>
      <c r="I115" s="22">
        <f t="shared" si="58"/>
        <v>0</v>
      </c>
      <c r="J115" s="24">
        <f t="shared" si="59"/>
        <v>0</v>
      </c>
      <c r="K115" s="22">
        <f t="shared" si="60"/>
        <v>0</v>
      </c>
      <c r="L115" s="22">
        <f t="shared" si="61"/>
        <v>0</v>
      </c>
      <c r="M115" s="226">
        <f t="shared" si="62"/>
        <v>0</v>
      </c>
      <c r="N115" s="228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si="50"/>
        <v>0</v>
      </c>
      <c r="C116" s="75">
        <f t="shared" si="50"/>
        <v>0</v>
      </c>
      <c r="D116" s="24">
        <f t="shared" si="56"/>
        <v>0</v>
      </c>
      <c r="H116" s="24">
        <f t="shared" si="57"/>
        <v>0.60606060606060608</v>
      </c>
      <c r="I116" s="22">
        <f t="shared" si="58"/>
        <v>0</v>
      </c>
      <c r="J116" s="24">
        <f t="shared" si="59"/>
        <v>0</v>
      </c>
      <c r="K116" s="22">
        <f t="shared" si="60"/>
        <v>0</v>
      </c>
      <c r="L116" s="22">
        <f t="shared" si="61"/>
        <v>0</v>
      </c>
      <c r="M116" s="226">
        <f t="shared" si="62"/>
        <v>0</v>
      </c>
      <c r="N116" s="2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si="50"/>
        <v>0</v>
      </c>
      <c r="C117" s="75">
        <f t="shared" si="50"/>
        <v>0</v>
      </c>
      <c r="D117" s="24">
        <f t="shared" si="56"/>
        <v>0</v>
      </c>
      <c r="H117" s="24">
        <f t="shared" si="57"/>
        <v>0.60606060606060608</v>
      </c>
      <c r="I117" s="22">
        <f t="shared" si="58"/>
        <v>0</v>
      </c>
      <c r="J117" s="24">
        <f t="shared" si="59"/>
        <v>0</v>
      </c>
      <c r="K117" s="22">
        <f t="shared" si="60"/>
        <v>0</v>
      </c>
      <c r="L117" s="22">
        <f t="shared" si="61"/>
        <v>0</v>
      </c>
      <c r="M117" s="226">
        <f t="shared" si="62"/>
        <v>0</v>
      </c>
      <c r="N117" s="2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si="50"/>
        <v>0</v>
      </c>
      <c r="C118" s="75">
        <f t="shared" si="50"/>
        <v>0</v>
      </c>
      <c r="D118" s="24">
        <f t="shared" si="56"/>
        <v>0</v>
      </c>
      <c r="H118" s="24">
        <f t="shared" si="57"/>
        <v>0.60606060606060608</v>
      </c>
      <c r="I118" s="22">
        <f t="shared" si="58"/>
        <v>0</v>
      </c>
      <c r="J118" s="24">
        <f t="shared" si="59"/>
        <v>0</v>
      </c>
      <c r="K118" s="22">
        <f t="shared" si="60"/>
        <v>0</v>
      </c>
      <c r="L118" s="22">
        <f t="shared" si="61"/>
        <v>0</v>
      </c>
      <c r="M118" s="226">
        <f t="shared" si="62"/>
        <v>0</v>
      </c>
      <c r="N118" s="2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13.017150474149673</v>
      </c>
      <c r="C119" s="22">
        <f>SUM(C91:C118)</f>
        <v>-0.26873368719839669</v>
      </c>
      <c r="D119" s="24">
        <f>SUM(D91:D118)</f>
        <v>12.748416786951278</v>
      </c>
      <c r="E119" s="22"/>
      <c r="F119" s="2"/>
      <c r="G119" s="2"/>
      <c r="H119" s="31"/>
      <c r="I119" s="22">
        <f>SUM(I91:I118)</f>
        <v>6.7440379713715615</v>
      </c>
      <c r="J119" s="24">
        <f>SUM(J91:J118)</f>
        <v>6.8125559069520332</v>
      </c>
      <c r="K119" s="22">
        <f>SUM(K91:K118)</f>
        <v>13.017150474149673</v>
      </c>
      <c r="L119" s="22">
        <f>SUM(L91:L118)</f>
        <v>7.0752594176207131</v>
      </c>
      <c r="M119" s="57">
        <f t="shared" si="49"/>
        <v>6.8125559069520332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Middle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B70/B83</f>
        <v>2.7065149411656977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2.2964369197769559</v>
      </c>
      <c r="J124" s="236">
        <f>IF(SUMPRODUCT($B$124:$B124,$H$124:$H124)&lt;J$119,($B124*$H124),J$119)</f>
        <v>2.2964369197769559</v>
      </c>
      <c r="K124" s="22">
        <f>(B124)</f>
        <v>2.7065149411656977</v>
      </c>
      <c r="L124" s="29">
        <f>IF(SUMPRODUCT($B$124:$B124,$H$124:$H124)&lt;L$119,($B124*$H124),L$119)</f>
        <v>2.2964369197769559</v>
      </c>
      <c r="M124" s="57">
        <f t="shared" si="63"/>
        <v>2.2964369197769559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2.2141421748132006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1.5834471310785314</v>
      </c>
      <c r="J125" s="236">
        <f>IF(SUMPRODUCT($B$124:$B125,$H$124:$H125)&lt;J$119,($B125*$H125),IF(SUMPRODUCT($B$124:$B124,$H$124:$H124)&lt;J$119,J$119-SUMPRODUCT($B$124:$B124,$H$124:$H124),0))</f>
        <v>1.5834471310785314</v>
      </c>
      <c r="K125" s="22">
        <f t="shared" ref="K125:K126" si="64">(B125)</f>
        <v>2.2141421748132006</v>
      </c>
      <c r="L125" s="29">
        <f>IF(SUMPRODUCT($B$124:$B125,$H$124:$H125)&lt;L$119,($B125*$H125),IF(SUMPRODUCT($B$124:$B124,$H$124:$H124)&lt;L$119,L$119-SUMPRODUCT($B$124:$B124,$H$124:$H124),0))</f>
        <v>1.5834471310785314</v>
      </c>
      <c r="M125" s="57">
        <f t="shared" ref="M125:M126" si="65">(J125)</f>
        <v>1.5834471310785314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3.575898042029888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2.5573089027850111</v>
      </c>
      <c r="K126" s="22">
        <f t="shared" si="64"/>
        <v>3.575898042029888</v>
      </c>
      <c r="L126" s="29">
        <f>IF(SUMPRODUCT($B$124:$B126,$H$124:$H126)&lt;(L$119-L$128),($B126*$H126),IF(SUMPRODUCT($B$124:$B125,$H$124:$H125)&lt;(L$119-L$128),L$119-L$128-SUMPRODUCT($B$124:$B125,$H$124:$H125),0))</f>
        <v>2.5573089027850111</v>
      </c>
      <c r="M126" s="57">
        <f t="shared" si="65"/>
        <v>2.5573089027850111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5.2058290771910025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0.43877565375307626</v>
      </c>
      <c r="K127" s="22">
        <f>(B127)</f>
        <v>5.2058290771910025</v>
      </c>
      <c r="L127" s="29">
        <f>IF(SUMPRODUCT($B$124:$B127,$H$124:$H127)&lt;(L$119-L$128),($B127*$H127),IF(SUMPRODUCT($B$124:$B126,$H$124:$H126)&lt;(L$119-L128),L$119-L$128-SUMPRODUCT($B$124:$B126,$H$124:$H126),0))</f>
        <v>0.34354512711215968</v>
      </c>
      <c r="M127" s="57">
        <f t="shared" si="63"/>
        <v>0.43877565375307626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0.63544987546699883</v>
      </c>
      <c r="C128" s="2"/>
      <c r="D128" s="31"/>
      <c r="E128" s="2"/>
      <c r="F128" s="2"/>
      <c r="G128" s="2"/>
      <c r="H128" s="24"/>
      <c r="I128" s="29">
        <f>(I30)</f>
        <v>4.4476010515946056</v>
      </c>
      <c r="J128" s="227">
        <f>(J30)</f>
        <v>-6.3412700441541681E-2</v>
      </c>
      <c r="K128" s="22">
        <f>(B128)</f>
        <v>0.63544987546699883</v>
      </c>
      <c r="L128" s="22">
        <f>IF(L124=L119,0,(L119-L124)/(B119-B124)*K128)</f>
        <v>0.29452133686805465</v>
      </c>
      <c r="M128" s="57">
        <f t="shared" si="63"/>
        <v>-6.3412700441541681E-2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7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57">
        <f t="shared" si="6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13.017150474149673</v>
      </c>
      <c r="C130" s="2"/>
      <c r="D130" s="31"/>
      <c r="E130" s="2"/>
      <c r="F130" s="2"/>
      <c r="G130" s="2"/>
      <c r="H130" s="24"/>
      <c r="I130" s="29">
        <f>(I119)</f>
        <v>6.7440379713715615</v>
      </c>
      <c r="J130" s="227">
        <f>(J119)</f>
        <v>6.8125559069520332</v>
      </c>
      <c r="K130" s="22">
        <f>(B130)</f>
        <v>13.017150474149673</v>
      </c>
      <c r="L130" s="22">
        <f>(L119)</f>
        <v>7.0752594176207131</v>
      </c>
      <c r="M130" s="57">
        <f t="shared" si="63"/>
        <v>6.8125559069520332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1.5834471310785325</v>
      </c>
      <c r="J131" s="236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6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277" priority="244" operator="equal">
      <formula>16</formula>
    </cfRule>
    <cfRule type="cellIs" dxfId="276" priority="245" operator="equal">
      <formula>15</formula>
    </cfRule>
    <cfRule type="cellIs" dxfId="275" priority="246" operator="equal">
      <formula>14</formula>
    </cfRule>
    <cfRule type="cellIs" dxfId="274" priority="247" operator="equal">
      <formula>13</formula>
    </cfRule>
    <cfRule type="cellIs" dxfId="273" priority="248" operator="equal">
      <formula>12</formula>
    </cfRule>
    <cfRule type="cellIs" dxfId="272" priority="249" operator="equal">
      <formula>11</formula>
    </cfRule>
    <cfRule type="cellIs" dxfId="271" priority="250" operator="equal">
      <formula>10</formula>
    </cfRule>
    <cfRule type="cellIs" dxfId="270" priority="251" operator="equal">
      <formula>9</formula>
    </cfRule>
    <cfRule type="cellIs" dxfId="269" priority="252" operator="equal">
      <formula>8</formula>
    </cfRule>
    <cfRule type="cellIs" dxfId="268" priority="253" operator="equal">
      <formula>7</formula>
    </cfRule>
    <cfRule type="cellIs" dxfId="267" priority="254" operator="equal">
      <formula>6</formula>
    </cfRule>
    <cfRule type="cellIs" dxfId="266" priority="255" operator="equal">
      <formula>5</formula>
    </cfRule>
    <cfRule type="cellIs" dxfId="265" priority="256" operator="equal">
      <formula>4</formula>
    </cfRule>
    <cfRule type="cellIs" dxfId="264" priority="257" operator="equal">
      <formula>3</formula>
    </cfRule>
    <cfRule type="cellIs" dxfId="263" priority="258" operator="equal">
      <formula>2</formula>
    </cfRule>
    <cfRule type="cellIs" dxfId="262" priority="259" operator="equal">
      <formula>1</formula>
    </cfRule>
  </conditionalFormatting>
  <conditionalFormatting sqref="N29">
    <cfRule type="cellIs" dxfId="261" priority="228" operator="equal">
      <formula>16</formula>
    </cfRule>
    <cfRule type="cellIs" dxfId="260" priority="229" operator="equal">
      <formula>15</formula>
    </cfRule>
    <cfRule type="cellIs" dxfId="259" priority="230" operator="equal">
      <formula>14</formula>
    </cfRule>
    <cfRule type="cellIs" dxfId="258" priority="231" operator="equal">
      <formula>13</formula>
    </cfRule>
    <cfRule type="cellIs" dxfId="257" priority="232" operator="equal">
      <formula>12</formula>
    </cfRule>
    <cfRule type="cellIs" dxfId="256" priority="233" operator="equal">
      <formula>11</formula>
    </cfRule>
    <cfRule type="cellIs" dxfId="255" priority="234" operator="equal">
      <formula>10</formula>
    </cfRule>
    <cfRule type="cellIs" dxfId="254" priority="235" operator="equal">
      <formula>9</formula>
    </cfRule>
    <cfRule type="cellIs" dxfId="253" priority="236" operator="equal">
      <formula>8</formula>
    </cfRule>
    <cfRule type="cellIs" dxfId="252" priority="237" operator="equal">
      <formula>7</formula>
    </cfRule>
    <cfRule type="cellIs" dxfId="251" priority="238" operator="equal">
      <formula>6</formula>
    </cfRule>
    <cfRule type="cellIs" dxfId="250" priority="239" operator="equal">
      <formula>5</formula>
    </cfRule>
    <cfRule type="cellIs" dxfId="249" priority="240" operator="equal">
      <formula>4</formula>
    </cfRule>
    <cfRule type="cellIs" dxfId="248" priority="241" operator="equal">
      <formula>3</formula>
    </cfRule>
    <cfRule type="cellIs" dxfId="247" priority="242" operator="equal">
      <formula>2</formula>
    </cfRule>
    <cfRule type="cellIs" dxfId="246" priority="243" operator="equal">
      <formula>1</formula>
    </cfRule>
  </conditionalFormatting>
  <conditionalFormatting sqref="N116:N118">
    <cfRule type="cellIs" dxfId="245" priority="180" operator="equal">
      <formula>16</formula>
    </cfRule>
    <cfRule type="cellIs" dxfId="244" priority="181" operator="equal">
      <formula>15</formula>
    </cfRule>
    <cfRule type="cellIs" dxfId="243" priority="182" operator="equal">
      <formula>14</formula>
    </cfRule>
    <cfRule type="cellIs" dxfId="242" priority="183" operator="equal">
      <formula>13</formula>
    </cfRule>
    <cfRule type="cellIs" dxfId="241" priority="184" operator="equal">
      <formula>12</formula>
    </cfRule>
    <cfRule type="cellIs" dxfId="240" priority="185" operator="equal">
      <formula>11</formula>
    </cfRule>
    <cfRule type="cellIs" dxfId="239" priority="186" operator="equal">
      <formula>10</formula>
    </cfRule>
    <cfRule type="cellIs" dxfId="238" priority="187" operator="equal">
      <formula>9</formula>
    </cfRule>
    <cfRule type="cellIs" dxfId="237" priority="188" operator="equal">
      <formula>8</formula>
    </cfRule>
    <cfRule type="cellIs" dxfId="236" priority="189" operator="equal">
      <formula>7</formula>
    </cfRule>
    <cfRule type="cellIs" dxfId="235" priority="190" operator="equal">
      <formula>6</formula>
    </cfRule>
    <cfRule type="cellIs" dxfId="234" priority="191" operator="equal">
      <formula>5</formula>
    </cfRule>
    <cfRule type="cellIs" dxfId="233" priority="192" operator="equal">
      <formula>4</formula>
    </cfRule>
    <cfRule type="cellIs" dxfId="232" priority="193" operator="equal">
      <formula>3</formula>
    </cfRule>
    <cfRule type="cellIs" dxfId="231" priority="194" operator="equal">
      <formula>2</formula>
    </cfRule>
    <cfRule type="cellIs" dxfId="230" priority="195" operator="equal">
      <formula>1</formula>
    </cfRule>
  </conditionalFormatting>
  <conditionalFormatting sqref="N27:N28">
    <cfRule type="cellIs" dxfId="229" priority="164" operator="equal">
      <formula>16</formula>
    </cfRule>
    <cfRule type="cellIs" dxfId="228" priority="165" operator="equal">
      <formula>15</formula>
    </cfRule>
    <cfRule type="cellIs" dxfId="227" priority="166" operator="equal">
      <formula>14</formula>
    </cfRule>
    <cfRule type="cellIs" dxfId="226" priority="167" operator="equal">
      <formula>13</formula>
    </cfRule>
    <cfRule type="cellIs" dxfId="225" priority="168" operator="equal">
      <formula>12</formula>
    </cfRule>
    <cfRule type="cellIs" dxfId="224" priority="169" operator="equal">
      <formula>11</formula>
    </cfRule>
    <cfRule type="cellIs" dxfId="223" priority="170" operator="equal">
      <formula>10</formula>
    </cfRule>
    <cfRule type="cellIs" dxfId="222" priority="171" operator="equal">
      <formula>9</formula>
    </cfRule>
    <cfRule type="cellIs" dxfId="221" priority="172" operator="equal">
      <formula>8</formula>
    </cfRule>
    <cfRule type="cellIs" dxfId="220" priority="173" operator="equal">
      <formula>7</formula>
    </cfRule>
    <cfRule type="cellIs" dxfId="219" priority="174" operator="equal">
      <formula>6</formula>
    </cfRule>
    <cfRule type="cellIs" dxfId="218" priority="175" operator="equal">
      <formula>5</formula>
    </cfRule>
    <cfRule type="cellIs" dxfId="217" priority="176" operator="equal">
      <formula>4</formula>
    </cfRule>
    <cfRule type="cellIs" dxfId="216" priority="177" operator="equal">
      <formula>3</formula>
    </cfRule>
    <cfRule type="cellIs" dxfId="215" priority="178" operator="equal">
      <formula>2</formula>
    </cfRule>
    <cfRule type="cellIs" dxfId="214" priority="179" operator="equal">
      <formula>1</formula>
    </cfRule>
  </conditionalFormatting>
  <conditionalFormatting sqref="N6:N26">
    <cfRule type="cellIs" dxfId="213" priority="68" operator="equal">
      <formula>16</formula>
    </cfRule>
    <cfRule type="cellIs" dxfId="212" priority="69" operator="equal">
      <formula>15</formula>
    </cfRule>
    <cfRule type="cellIs" dxfId="211" priority="70" operator="equal">
      <formula>14</formula>
    </cfRule>
    <cfRule type="cellIs" dxfId="210" priority="71" operator="equal">
      <formula>13</formula>
    </cfRule>
    <cfRule type="cellIs" dxfId="209" priority="72" operator="equal">
      <formula>12</formula>
    </cfRule>
    <cfRule type="cellIs" dxfId="208" priority="73" operator="equal">
      <formula>11</formula>
    </cfRule>
    <cfRule type="cellIs" dxfId="207" priority="74" operator="equal">
      <formula>10</formula>
    </cfRule>
    <cfRule type="cellIs" dxfId="206" priority="75" operator="equal">
      <formula>9</formula>
    </cfRule>
    <cfRule type="cellIs" dxfId="205" priority="76" operator="equal">
      <formula>8</formula>
    </cfRule>
    <cfRule type="cellIs" dxfId="204" priority="77" operator="equal">
      <formula>7</formula>
    </cfRule>
    <cfRule type="cellIs" dxfId="203" priority="78" operator="equal">
      <formula>6</formula>
    </cfRule>
    <cfRule type="cellIs" dxfId="202" priority="79" operator="equal">
      <formula>5</formula>
    </cfRule>
    <cfRule type="cellIs" dxfId="201" priority="80" operator="equal">
      <formula>4</formula>
    </cfRule>
    <cfRule type="cellIs" dxfId="200" priority="81" operator="equal">
      <formula>3</formula>
    </cfRule>
    <cfRule type="cellIs" dxfId="199" priority="82" operator="equal">
      <formula>2</formula>
    </cfRule>
    <cfRule type="cellIs" dxfId="198" priority="83" operator="equal">
      <formula>1</formula>
    </cfRule>
  </conditionalFormatting>
  <conditionalFormatting sqref="N113:N115">
    <cfRule type="cellIs" dxfId="197" priority="52" operator="equal">
      <formula>16</formula>
    </cfRule>
    <cfRule type="cellIs" dxfId="196" priority="53" operator="equal">
      <formula>15</formula>
    </cfRule>
    <cfRule type="cellIs" dxfId="195" priority="54" operator="equal">
      <formula>14</formula>
    </cfRule>
    <cfRule type="cellIs" dxfId="194" priority="55" operator="equal">
      <formula>13</formula>
    </cfRule>
    <cfRule type="cellIs" dxfId="193" priority="56" operator="equal">
      <formula>12</formula>
    </cfRule>
    <cfRule type="cellIs" dxfId="192" priority="57" operator="equal">
      <formula>11</formula>
    </cfRule>
    <cfRule type="cellIs" dxfId="191" priority="58" operator="equal">
      <formula>10</formula>
    </cfRule>
    <cfRule type="cellIs" dxfId="190" priority="59" operator="equal">
      <formula>9</formula>
    </cfRule>
    <cfRule type="cellIs" dxfId="189" priority="60" operator="equal">
      <formula>8</formula>
    </cfRule>
    <cfRule type="cellIs" dxfId="188" priority="61" operator="equal">
      <formula>7</formula>
    </cfRule>
    <cfRule type="cellIs" dxfId="187" priority="62" operator="equal">
      <formula>6</formula>
    </cfRule>
    <cfRule type="cellIs" dxfId="186" priority="63" operator="equal">
      <formula>5</formula>
    </cfRule>
    <cfRule type="cellIs" dxfId="185" priority="64" operator="equal">
      <formula>4</formula>
    </cfRule>
    <cfRule type="cellIs" dxfId="184" priority="65" operator="equal">
      <formula>3</formula>
    </cfRule>
    <cfRule type="cellIs" dxfId="183" priority="66" operator="equal">
      <formula>2</formula>
    </cfRule>
    <cfRule type="cellIs" dxfId="182" priority="67" operator="equal">
      <formula>1</formula>
    </cfRule>
  </conditionalFormatting>
  <conditionalFormatting sqref="N112">
    <cfRule type="cellIs" dxfId="181" priority="36" operator="equal">
      <formula>16</formula>
    </cfRule>
    <cfRule type="cellIs" dxfId="180" priority="37" operator="equal">
      <formula>15</formula>
    </cfRule>
    <cfRule type="cellIs" dxfId="179" priority="38" operator="equal">
      <formula>14</formula>
    </cfRule>
    <cfRule type="cellIs" dxfId="178" priority="39" operator="equal">
      <formula>13</formula>
    </cfRule>
    <cfRule type="cellIs" dxfId="177" priority="40" operator="equal">
      <formula>12</formula>
    </cfRule>
    <cfRule type="cellIs" dxfId="176" priority="41" operator="equal">
      <formula>11</formula>
    </cfRule>
    <cfRule type="cellIs" dxfId="175" priority="42" operator="equal">
      <formula>10</formula>
    </cfRule>
    <cfRule type="cellIs" dxfId="174" priority="43" operator="equal">
      <formula>9</formula>
    </cfRule>
    <cfRule type="cellIs" dxfId="173" priority="44" operator="equal">
      <formula>8</formula>
    </cfRule>
    <cfRule type="cellIs" dxfId="172" priority="45" operator="equal">
      <formula>7</formula>
    </cfRule>
    <cfRule type="cellIs" dxfId="171" priority="46" operator="equal">
      <formula>6</formula>
    </cfRule>
    <cfRule type="cellIs" dxfId="170" priority="47" operator="equal">
      <formula>5</formula>
    </cfRule>
    <cfRule type="cellIs" dxfId="169" priority="48" operator="equal">
      <formula>4</formula>
    </cfRule>
    <cfRule type="cellIs" dxfId="168" priority="49" operator="equal">
      <formula>3</formula>
    </cfRule>
    <cfRule type="cellIs" dxfId="167" priority="50" operator="equal">
      <formula>2</formula>
    </cfRule>
    <cfRule type="cellIs" dxfId="166" priority="51" operator="equal">
      <formula>1</formula>
    </cfRule>
  </conditionalFormatting>
  <conditionalFormatting sqref="N91:N104">
    <cfRule type="cellIs" dxfId="165" priority="20" operator="equal">
      <formula>16</formula>
    </cfRule>
    <cfRule type="cellIs" dxfId="164" priority="21" operator="equal">
      <formula>15</formula>
    </cfRule>
    <cfRule type="cellIs" dxfId="163" priority="22" operator="equal">
      <formula>14</formula>
    </cfRule>
    <cfRule type="cellIs" dxfId="162" priority="23" operator="equal">
      <formula>13</formula>
    </cfRule>
    <cfRule type="cellIs" dxfId="161" priority="24" operator="equal">
      <formula>12</formula>
    </cfRule>
    <cfRule type="cellIs" dxfId="160" priority="25" operator="equal">
      <formula>11</formula>
    </cfRule>
    <cfRule type="cellIs" dxfId="159" priority="26" operator="equal">
      <formula>10</formula>
    </cfRule>
    <cfRule type="cellIs" dxfId="158" priority="27" operator="equal">
      <formula>9</formula>
    </cfRule>
    <cfRule type="cellIs" dxfId="157" priority="28" operator="equal">
      <formula>8</formula>
    </cfRule>
    <cfRule type="cellIs" dxfId="156" priority="29" operator="equal">
      <formula>7</formula>
    </cfRule>
    <cfRule type="cellIs" dxfId="155" priority="30" operator="equal">
      <formula>6</formula>
    </cfRule>
    <cfRule type="cellIs" dxfId="154" priority="31" operator="equal">
      <formula>5</formula>
    </cfRule>
    <cfRule type="cellIs" dxfId="153" priority="32" operator="equal">
      <formula>4</formula>
    </cfRule>
    <cfRule type="cellIs" dxfId="152" priority="33" operator="equal">
      <formula>3</formula>
    </cfRule>
    <cfRule type="cellIs" dxfId="151" priority="34" operator="equal">
      <formula>2</formula>
    </cfRule>
    <cfRule type="cellIs" dxfId="150" priority="35" operator="equal">
      <formula>1</formula>
    </cfRule>
  </conditionalFormatting>
  <conditionalFormatting sqref="N105:N111">
    <cfRule type="cellIs" dxfId="149" priority="4" operator="equal">
      <formula>16</formula>
    </cfRule>
    <cfRule type="cellIs" dxfId="148" priority="5" operator="equal">
      <formula>15</formula>
    </cfRule>
    <cfRule type="cellIs" dxfId="147" priority="6" operator="equal">
      <formula>14</formula>
    </cfRule>
    <cfRule type="cellIs" dxfId="146" priority="7" operator="equal">
      <formula>13</formula>
    </cfRule>
    <cfRule type="cellIs" dxfId="145" priority="8" operator="equal">
      <formula>12</formula>
    </cfRule>
    <cfRule type="cellIs" dxfId="144" priority="9" operator="equal">
      <formula>11</formula>
    </cfRule>
    <cfRule type="cellIs" dxfId="143" priority="10" operator="equal">
      <formula>10</formula>
    </cfRule>
    <cfRule type="cellIs" dxfId="142" priority="11" operator="equal">
      <formula>9</formula>
    </cfRule>
    <cfRule type="cellIs" dxfId="141" priority="12" operator="equal">
      <formula>8</formula>
    </cfRule>
    <cfRule type="cellIs" dxfId="140" priority="13" operator="equal">
      <formula>7</formula>
    </cfRule>
    <cfRule type="cellIs" dxfId="139" priority="14" operator="equal">
      <formula>6</formula>
    </cfRule>
    <cfRule type="cellIs" dxfId="138" priority="15" operator="equal">
      <formula>5</formula>
    </cfRule>
    <cfRule type="cellIs" dxfId="137" priority="16" operator="equal">
      <formula>4</formula>
    </cfRule>
    <cfRule type="cellIs" dxfId="136" priority="17" operator="equal">
      <formula>3</formula>
    </cfRule>
    <cfRule type="cellIs" dxfId="135" priority="18" operator="equal">
      <formula>2</formula>
    </cfRule>
    <cfRule type="cellIs" dxfId="134" priority="19" operator="equal">
      <formula>1</formula>
    </cfRule>
  </conditionalFormatting>
  <conditionalFormatting sqref="R31:T31">
    <cfRule type="cellIs" dxfId="133" priority="3" operator="greaterThan">
      <formula>0</formula>
    </cfRule>
  </conditionalFormatting>
  <conditionalFormatting sqref="R32:T32">
    <cfRule type="cellIs" dxfId="132" priority="2" operator="greaterThan">
      <formula>0</formula>
    </cfRule>
  </conditionalFormatting>
  <conditionalFormatting sqref="R30:T30">
    <cfRule type="cellIs" dxfId="131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12" activePane="bottomRight" state="frozen"/>
      <selection pane="topRight" activeCell="B1" sqref="B1"/>
      <selection pane="bottomLeft" activeCell="A3" sqref="A3"/>
      <selection pane="bottomRight" activeCell="D29" sqref="D29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ZALOI: 59302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8" t="str">
        <f>Poor!Z2</f>
        <v>Q1</v>
      </c>
      <c r="AA2" s="259"/>
      <c r="AB2" s="258" t="str">
        <f>Poor!AB2</f>
        <v>Q2</v>
      </c>
      <c r="AC2" s="259"/>
      <c r="AD2" s="258" t="str">
        <f>Poor!AD2</f>
        <v>Q3</v>
      </c>
      <c r="AE2" s="259"/>
      <c r="AF2" s="258" t="str">
        <f>Poor!AF2</f>
        <v>Q4</v>
      </c>
      <c r="AG2" s="259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49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IF(Poor!A6=0,"",Poor!A6)</f>
        <v>Cows' milk - season 1</v>
      </c>
      <c r="B6" s="101">
        <f>IF([1]Summ!$J1044="",0,[1]Summ!$J1044)</f>
        <v>9.6532517345668034E-2</v>
      </c>
      <c r="C6" s="102">
        <f>IF([1]Summ!$K1044="",0,[1]Summ!$K1044)</f>
        <v>0</v>
      </c>
      <c r="D6" s="24">
        <f t="shared" ref="D6:D29" si="0">(B6+C6)</f>
        <v>9.6532517345668034E-2</v>
      </c>
      <c r="E6" s="75">
        <f>Middle!E6</f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4.8266258672834017E-2</v>
      </c>
      <c r="J6" s="24">
        <f t="shared" ref="J6:J13" si="3">IF(I$32&lt;=1+I$131,I6,B6*H6+J$33*(I6-B6*H6))</f>
        <v>4.8266258672834017E-2</v>
      </c>
      <c r="K6" s="22">
        <f t="shared" ref="K6:K31" si="4">B6</f>
        <v>9.6532517345668034E-2</v>
      </c>
      <c r="L6" s="22">
        <f t="shared" ref="L6:L29" si="5">IF(K6="","",K6*H6)</f>
        <v>4.8266258672834017E-2</v>
      </c>
      <c r="M6" s="177">
        <f t="shared" ref="M6:M31" si="6">J6</f>
        <v>4.8266258672834017E-2</v>
      </c>
      <c r="N6" s="228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0.19306503469133607</v>
      </c>
      <c r="Z6" s="156">
        <f>Poor!Z6</f>
        <v>0.17</v>
      </c>
      <c r="AA6" s="121">
        <f>$M6*Z6*4</f>
        <v>3.2821055897527131E-2</v>
      </c>
      <c r="AB6" s="156">
        <f>Poor!AB6</f>
        <v>0.17</v>
      </c>
      <c r="AC6" s="121">
        <f t="shared" ref="AC6:AC29" si="7">$M6*AB6*4</f>
        <v>3.2821055897527131E-2</v>
      </c>
      <c r="AD6" s="156">
        <f>Poor!AD6</f>
        <v>0.33</v>
      </c>
      <c r="AE6" s="121">
        <f t="shared" ref="AE6:AE29" si="8">$M6*AD6*4</f>
        <v>6.371146144814091E-2</v>
      </c>
      <c r="AF6" s="122">
        <f>1-SUM(Z6,AB6,AD6)</f>
        <v>0.32999999999999996</v>
      </c>
      <c r="AG6" s="121">
        <f>$M6*AF6*4</f>
        <v>6.3711461448140896E-2</v>
      </c>
      <c r="AH6" s="123">
        <f>SUM(Z6,AB6,AD6,AF6)</f>
        <v>1</v>
      </c>
      <c r="AI6" s="183">
        <f>SUM(AA6,AC6,AE6,AG6)/4</f>
        <v>4.8266258672834017E-2</v>
      </c>
      <c r="AJ6" s="120">
        <f>(AA6+AC6)/2</f>
        <v>3.2821055897527131E-2</v>
      </c>
      <c r="AK6" s="119">
        <f>(AE6+AG6)/2</f>
        <v>6.371146144814091E-2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IF(Poor!A7=0,"",Poor!A7)</f>
        <v>Cows' milk - season 2</v>
      </c>
      <c r="B7" s="101">
        <f>IF([1]Summ!$J1045="",0,[1]Summ!$J1045)</f>
        <v>6.4355011563778666E-2</v>
      </c>
      <c r="C7" s="102">
        <f>IF([1]Summ!$K1045="",0,[1]Summ!$K1045)</f>
        <v>0</v>
      </c>
      <c r="D7" s="24">
        <f t="shared" si="0"/>
        <v>6.4355011563778666E-2</v>
      </c>
      <c r="E7" s="75">
        <f>Middle!E7</f>
        <v>0.5</v>
      </c>
      <c r="F7" s="27">
        <v>8800</v>
      </c>
      <c r="H7" s="24">
        <f t="shared" si="1"/>
        <v>0.5</v>
      </c>
      <c r="I7" s="22">
        <f t="shared" si="2"/>
        <v>3.2177505781889333E-2</v>
      </c>
      <c r="J7" s="24">
        <f t="shared" si="3"/>
        <v>3.2177505781889333E-2</v>
      </c>
      <c r="K7" s="22">
        <f t="shared" si="4"/>
        <v>6.4355011563778666E-2</v>
      </c>
      <c r="L7" s="22">
        <f t="shared" si="5"/>
        <v>3.2177505781889333E-2</v>
      </c>
      <c r="M7" s="177">
        <f t="shared" si="6"/>
        <v>3.2177505781889333E-2</v>
      </c>
      <c r="N7" s="228">
        <v>3</v>
      </c>
      <c r="O7" s="2"/>
      <c r="P7" s="22"/>
      <c r="Q7" s="59" t="s">
        <v>71</v>
      </c>
      <c r="R7" s="221">
        <f>IF($B$81=0,0,(SUMIF($N$6:$N$28,$U7,K$6:K$28)+SUMIF($N$91:$N$118,$U7,K$91:K$118))*$B$83*$H$84*Poor!$B$81/$B$81)</f>
        <v>3588.691220685665</v>
      </c>
      <c r="S7" s="221">
        <f>IF($B$81=0,0,(SUMIF($N$6:$N$28,$U7,L$6:L$28)+SUMIF($N$91:$N$118,$U7,L$91:L$118))*$I$83*Poor!$B$81/$B$81)</f>
        <v>4250.7908558120853</v>
      </c>
      <c r="T7" s="221">
        <f>IF($B$81=0,0,(SUMIF($N$6:$N$28,$U7,M$6:M$28)+SUMIF($N$91:$N$118,$U7,M$91:M$118))*$I$83*Poor!$B$81/$B$81)</f>
        <v>4081.2639721778764</v>
      </c>
      <c r="U7" s="222">
        <v>1</v>
      </c>
      <c r="V7" s="56"/>
      <c r="W7" s="115"/>
      <c r="X7" s="118">
        <f>Poor!X7</f>
        <v>4</v>
      </c>
      <c r="Y7" s="183">
        <f t="shared" ref="Y7:Y29" si="9">M7*4</f>
        <v>0.12871002312755733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0.12871002312755733</v>
      </c>
      <c r="AH7" s="123">
        <f t="shared" ref="AH7:AH30" si="12">SUM(Z7,AB7,AD7,AF7)</f>
        <v>1</v>
      </c>
      <c r="AI7" s="183">
        <f t="shared" ref="AI7:AI30" si="13">SUM(AA7,AC7,AE7,AG7)/4</f>
        <v>3.2177505781889333E-2</v>
      </c>
      <c r="AJ7" s="120">
        <f t="shared" ref="AJ7:AJ31" si="14">(AA7+AC7)/2</f>
        <v>0</v>
      </c>
      <c r="AK7" s="119">
        <f t="shared" ref="AK7:AK31" si="15">(AE7+AG7)/2</f>
        <v>6.4355011563778666E-2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IF(Poor!A8=0,"",Poor!A8)</f>
        <v>Own meat</v>
      </c>
      <c r="B8" s="101">
        <f>IF([1]Summ!$J1046="",0,[1]Summ!$J1046)</f>
        <v>5.7260318448674609E-2</v>
      </c>
      <c r="C8" s="102">
        <f>IF([1]Summ!$K1046="",0,[1]Summ!$K1046)</f>
        <v>0</v>
      </c>
      <c r="D8" s="24">
        <f t="shared" si="0"/>
        <v>5.7260318448674609E-2</v>
      </c>
      <c r="E8" s="75">
        <f>Middle!E8</f>
        <v>0.5</v>
      </c>
      <c r="F8" s="22" t="s">
        <v>23</v>
      </c>
      <c r="H8" s="24">
        <f t="shared" si="1"/>
        <v>0.5</v>
      </c>
      <c r="I8" s="22">
        <f t="shared" si="2"/>
        <v>2.8630159224337304E-2</v>
      </c>
      <c r="J8" s="24">
        <f t="shared" si="3"/>
        <v>2.8630159224337304E-2</v>
      </c>
      <c r="K8" s="22">
        <f t="shared" si="4"/>
        <v>5.7260318448674609E-2</v>
      </c>
      <c r="L8" s="22">
        <f t="shared" si="5"/>
        <v>2.8630159224337304E-2</v>
      </c>
      <c r="M8" s="223">
        <f t="shared" si="6"/>
        <v>2.8630159224337304E-2</v>
      </c>
      <c r="N8" s="228">
        <v>3</v>
      </c>
      <c r="O8" s="2"/>
      <c r="P8" s="22"/>
      <c r="Q8" s="59" t="s">
        <v>72</v>
      </c>
      <c r="R8" s="221">
        <f>IF($B$81=0,0,(SUMIF($N$6:$N$28,$U8,K$6:K$28)+SUMIF($N$91:$N$118,$U8,K$91:K$118))*$B$83*$H$84*Poor!$B$81/$B$81)</f>
        <v>19755.539548914556</v>
      </c>
      <c r="S8" s="221">
        <f>IF($B$81=0,0,(SUMIF($N$6:$N$28,$U8,L$6:L$28)+SUMIF($N$91:$N$118,$U8,L$91:L$118))*$I$83*Poor!$B$81/$B$81)</f>
        <v>19475.2</v>
      </c>
      <c r="T8" s="221">
        <f>IF($B$81=0,0,(SUMIF($N$6:$N$28,$U8,M$6:M$28)+SUMIF($N$91:$N$118,$U8,M$91:M$118))*$I$83*Poor!$B$81/$B$81)</f>
        <v>19701.065020179296</v>
      </c>
      <c r="U8" s="222">
        <v>2</v>
      </c>
      <c r="V8" s="56"/>
      <c r="W8" s="115"/>
      <c r="X8" s="118">
        <f>Poor!X8</f>
        <v>1</v>
      </c>
      <c r="Y8" s="183">
        <f t="shared" si="9"/>
        <v>0.11452063689734922</v>
      </c>
      <c r="Z8" s="125">
        <f>IF($Y8=0,0,AA8/$Y8)</f>
        <v>0.77510991760463255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8.8766081429534391E-2</v>
      </c>
      <c r="AB8" s="125">
        <f>IF($Y8=0,0,AC8/$Y8)</f>
        <v>0.22489008239536748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2.5754555467814827E-2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2.8630159224337304E-2</v>
      </c>
      <c r="AJ8" s="120">
        <f t="shared" si="14"/>
        <v>5.7260318448674609E-2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IF(Poor!A9=0,"",Poor!A9)</f>
        <v>Green cons - Season 1: no of months</v>
      </c>
      <c r="B9" s="101">
        <f>IF([1]Summ!$J1047="",0,[1]Summ!$J1047)</f>
        <v>0</v>
      </c>
      <c r="C9" s="102">
        <f>IF([1]Summ!$K1047="",0,[1]Summ!$K1047)</f>
        <v>0</v>
      </c>
      <c r="D9" s="24">
        <f t="shared" si="0"/>
        <v>0</v>
      </c>
      <c r="E9" s="75">
        <f>Middle!E9</f>
        <v>1</v>
      </c>
      <c r="F9" s="76">
        <f>Poor!F9</f>
        <v>8800</v>
      </c>
      <c r="H9" s="24">
        <f t="shared" si="1"/>
        <v>1</v>
      </c>
      <c r="I9" s="22">
        <f t="shared" si="2"/>
        <v>0</v>
      </c>
      <c r="J9" s="24">
        <f t="shared" si="3"/>
        <v>0</v>
      </c>
      <c r="K9" s="22">
        <f t="shared" si="4"/>
        <v>0</v>
      </c>
      <c r="L9" s="22">
        <f t="shared" si="5"/>
        <v>0</v>
      </c>
      <c r="M9" s="223">
        <f t="shared" si="6"/>
        <v>0</v>
      </c>
      <c r="N9" s="228">
        <v>1</v>
      </c>
      <c r="O9" s="2"/>
      <c r="P9" s="22"/>
      <c r="Q9" s="59" t="s">
        <v>73</v>
      </c>
      <c r="R9" s="221">
        <f>IF($B$81=0,0,(SUMIF($N$6:$N$28,$U9,K$6:K$28)+SUMIF($N$91:$N$118,$U9,K$91:K$118))*$B$83*$H$84*Poor!$B$81/$B$81)</f>
        <v>2463.7589230601739</v>
      </c>
      <c r="S9" s="221">
        <f>IF($B$81=0,0,(SUMIF($N$6:$N$28,$U9,L$6:L$28)+SUMIF($N$91:$N$118,$U9,L$91:L$118))*$I$83*Poor!$B$81/$B$81)</f>
        <v>1396.3324429060535</v>
      </c>
      <c r="T9" s="221">
        <f>IF($B$81=0,0,(SUMIF($N$6:$N$28,$U9,M$6:M$28)+SUMIF($N$91:$N$118,$U9,M$91:M$118))*$I$83*Poor!$B$81/$B$81)</f>
        <v>1396.3324429060535</v>
      </c>
      <c r="U9" s="222">
        <v>3</v>
      </c>
      <c r="V9" s="56"/>
      <c r="W9" s="115"/>
      <c r="X9" s="118">
        <f>Poor!X9</f>
        <v>1</v>
      </c>
      <c r="Y9" s="183">
        <f t="shared" si="9"/>
        <v>0</v>
      </c>
      <c r="Z9" s="125">
        <f>IF($Y9=0,0,AA9/$Y9)</f>
        <v>0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1</v>
      </c>
      <c r="AG9" s="121">
        <f t="shared" si="11"/>
        <v>0</v>
      </c>
      <c r="AH9" s="123">
        <f t="shared" si="12"/>
        <v>1</v>
      </c>
      <c r="AI9" s="183">
        <f t="shared" si="13"/>
        <v>0</v>
      </c>
      <c r="AJ9" s="120">
        <f t="shared" si="14"/>
        <v>0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IF(Poor!A10=0,"",Poor!A10)</f>
        <v>Maize: kg produced</v>
      </c>
      <c r="B10" s="101">
        <f>IF([1]Summ!$J1048="",0,[1]Summ!$J1048)</f>
        <v>0.10815217221135029</v>
      </c>
      <c r="C10" s="102">
        <f>IF([1]Summ!$K1048="",0,[1]Summ!$K1048)</f>
        <v>0.54076086105675136</v>
      </c>
      <c r="D10" s="24">
        <f t="shared" si="0"/>
        <v>0.64891303326810168</v>
      </c>
      <c r="E10" s="75">
        <f>Middle!E10</f>
        <v>1.0900000000000001</v>
      </c>
      <c r="H10" s="24">
        <f t="shared" si="1"/>
        <v>1.0900000000000001</v>
      </c>
      <c r="I10" s="22">
        <f t="shared" si="2"/>
        <v>0.70731520626223088</v>
      </c>
      <c r="J10" s="24">
        <f t="shared" si="3"/>
        <v>0.11056902208920333</v>
      </c>
      <c r="K10" s="22">
        <f t="shared" si="4"/>
        <v>0.10815217221135029</v>
      </c>
      <c r="L10" s="22">
        <f t="shared" si="5"/>
        <v>0.11788586771037182</v>
      </c>
      <c r="M10" s="223">
        <f t="shared" si="6"/>
        <v>0.11056902208920333</v>
      </c>
      <c r="N10" s="228">
        <v>1</v>
      </c>
      <c r="O10" s="2"/>
      <c r="P10" s="22"/>
      <c r="Q10" s="59" t="s">
        <v>74</v>
      </c>
      <c r="R10" s="221">
        <f>IF($B$81=0,0,(SUMIF($N$6:$N$28,$U10,K$6:K$28)+SUMIF($N$91:$N$118,$U10,K$91:K$118))*$B$83*$H$84*Poor!$B$81/$B$81)</f>
        <v>0</v>
      </c>
      <c r="S10" s="221">
        <f>IF($B$81=0,0,(SUMIF($N$6:$N$28,$U10,L$6:L$28)+SUMIF($N$91:$N$118,$U10,L$91:L$118))*$I$83*Poor!$B$81/$B$81)</f>
        <v>0</v>
      </c>
      <c r="T10" s="221">
        <f>IF($B$81=0,0,(SUMIF($N$6:$N$28,$U10,M$6:M$28)+SUMIF($N$91:$N$118,$U10,M$91:M$118))*$I$83*Poor!$B$81/$B$81)</f>
        <v>0</v>
      </c>
      <c r="U10" s="222">
        <v>4</v>
      </c>
      <c r="V10" s="56"/>
      <c r="W10" s="115"/>
      <c r="X10" s="118">
        <f>Poor!X10</f>
        <v>1</v>
      </c>
      <c r="Y10" s="183">
        <f t="shared" si="9"/>
        <v>0.44227608835681331</v>
      </c>
      <c r="Z10" s="125">
        <f>IF($Y10=0,0,AA10/$Y10)</f>
        <v>0.77510991760463255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0.34281258240474877</v>
      </c>
      <c r="AB10" s="125">
        <f>IF($Y10=0,0,AC10/$Y10)</f>
        <v>0.22489008239536742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9.9463505952064546E-2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0.11056902208920333</v>
      </c>
      <c r="AJ10" s="120">
        <f t="shared" si="14"/>
        <v>0.22113804417840666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IF(Poor!A11=0,"",Poor!A11)</f>
        <v>Maize (irrigated): kg produced</v>
      </c>
      <c r="B11" s="101">
        <f>IF([1]Summ!$J1049="",0,[1]Summ!$J1049)</f>
        <v>5.069633072407044E-2</v>
      </c>
      <c r="C11" s="102">
        <f>IF([1]Summ!$K1049="",0,[1]Summ!$K1049)</f>
        <v>5.4076086105675158E-2</v>
      </c>
      <c r="D11" s="24">
        <f t="shared" si="0"/>
        <v>0.1047724168297456</v>
      </c>
      <c r="E11" s="75">
        <f>Middle!E11</f>
        <v>1.0900000000000001</v>
      </c>
      <c r="H11" s="24">
        <f t="shared" si="1"/>
        <v>1.0900000000000001</v>
      </c>
      <c r="I11" s="22">
        <f t="shared" si="2"/>
        <v>0.11420193434442272</v>
      </c>
      <c r="J11" s="24">
        <f t="shared" si="3"/>
        <v>5.4527315927119936E-2</v>
      </c>
      <c r="K11" s="22">
        <f t="shared" si="4"/>
        <v>5.069633072407044E-2</v>
      </c>
      <c r="L11" s="22">
        <f t="shared" si="5"/>
        <v>5.5259000489236786E-2</v>
      </c>
      <c r="M11" s="223">
        <f t="shared" si="6"/>
        <v>5.4527315927119936E-2</v>
      </c>
      <c r="N11" s="228">
        <v>1</v>
      </c>
      <c r="O11" s="2"/>
      <c r="P11" s="22"/>
      <c r="Q11" s="59" t="s">
        <v>75</v>
      </c>
      <c r="R11" s="221">
        <f>IF($B$81=0,0,(SUMIF($N$6:$N$28,$U11,K$6:K$28)+SUMIF($N$91:$N$118,$U11,K$91:K$118))*$B$83*$H$84*Poor!$B$81/$B$81)</f>
        <v>41840.153234122205</v>
      </c>
      <c r="S11" s="221">
        <f>IF($B$81=0,0,(SUMIF($N$6:$N$28,$U11,L$6:L$28)+SUMIF($N$91:$N$118,$U11,L$91:L$118))*$I$83*Poor!$B$81/$B$81)</f>
        <v>27133.257142857146</v>
      </c>
      <c r="T11" s="221">
        <f>IF($B$81=0,0,(SUMIF($N$6:$N$28,$U11,M$6:M$28)+SUMIF($N$91:$N$118,$U11,M$91:M$118))*$I$83*Poor!$B$81/$B$81)</f>
        <v>27143.301389018576</v>
      </c>
      <c r="U11" s="222">
        <v>5</v>
      </c>
      <c r="V11" s="56"/>
      <c r="W11" s="115"/>
      <c r="X11" s="118">
        <f>Poor!X11</f>
        <v>1</v>
      </c>
      <c r="Y11" s="183">
        <f t="shared" si="9"/>
        <v>0.21810926370847974</v>
      </c>
      <c r="Z11" s="125">
        <f>IF($Y11=0,0,AA11/$Y11)</f>
        <v>0.77510991760463255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0.16905865342188681</v>
      </c>
      <c r="AB11" s="125">
        <f>IF($Y11=0,0,AC11/$Y11)</f>
        <v>0.22489008239536745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4.9050610286592938E-2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5.4527315927119936E-2</v>
      </c>
      <c r="AJ11" s="120">
        <f t="shared" si="14"/>
        <v>0.10905463185423987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IF(Poor!A12=0,"",Poor!A12)</f>
        <v>Cowpeas: kg produced</v>
      </c>
      <c r="B12" s="101">
        <f>IF([1]Summ!$J1050="",0,[1]Summ!$J1050)</f>
        <v>2.8490499911047854E-2</v>
      </c>
      <c r="C12" s="102">
        <f>IF([1]Summ!$K1050="",0,[1]Summ!$K1050)</f>
        <v>0</v>
      </c>
      <c r="D12" s="24">
        <f t="shared" si="0"/>
        <v>2.8490499911047854E-2</v>
      </c>
      <c r="E12" s="75">
        <f>Middle!E12</f>
        <v>1</v>
      </c>
      <c r="H12" s="24">
        <f t="shared" si="1"/>
        <v>1</v>
      </c>
      <c r="I12" s="22">
        <f t="shared" si="2"/>
        <v>2.8490499911047854E-2</v>
      </c>
      <c r="J12" s="24">
        <f t="shared" si="3"/>
        <v>2.8490499911047854E-2</v>
      </c>
      <c r="K12" s="22">
        <f t="shared" si="4"/>
        <v>2.8490499911047854E-2</v>
      </c>
      <c r="L12" s="22">
        <f t="shared" si="5"/>
        <v>2.8490499911047854E-2</v>
      </c>
      <c r="M12" s="223">
        <f t="shared" si="6"/>
        <v>2.8490499911047854E-2</v>
      </c>
      <c r="N12" s="228">
        <v>1</v>
      </c>
      <c r="O12" s="2"/>
      <c r="P12" s="22"/>
      <c r="Q12" s="126" t="s">
        <v>124</v>
      </c>
      <c r="R12" s="221">
        <f>IF($B$81=0,0,(SUMIF($N$6:$N$28,$U12,K$6:K$28)+SUMIF($N$91:$N$118,$U12,K$91:K$118))*$B$83*$H$84*Poor!$B$81/$B$81)</f>
        <v>0</v>
      </c>
      <c r="S12" s="221">
        <f>IF($B$81=0,0,(SUMIF($N$6:$N$28,$U12,L$6:L$28)+SUMIF($N$91:$N$118,$U12,L$91:L$118))*$I$83*Poor!$B$81/$B$81)</f>
        <v>0</v>
      </c>
      <c r="T12" s="221">
        <f>IF($B$81=0,0,(SUMIF($N$6:$N$28,$U12,M$6:M$28)+SUMIF($N$91:$N$118,$U12,M$91:M$118))*$I$83*Poor!$B$81/$B$81)</f>
        <v>0</v>
      </c>
      <c r="U12" s="222">
        <v>6</v>
      </c>
      <c r="V12" s="56"/>
      <c r="W12" s="117"/>
      <c r="X12" s="118"/>
      <c r="Y12" s="183">
        <f t="shared" si="9"/>
        <v>0.11396199964419142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7.6354539761608248E-2</v>
      </c>
      <c r="AF12" s="122">
        <f>1-SUM(Z12,AB12,AD12)</f>
        <v>0.32999999999999996</v>
      </c>
      <c r="AG12" s="121">
        <f>$M12*AF12*4</f>
        <v>3.7607459882583162E-2</v>
      </c>
      <c r="AH12" s="123">
        <f t="shared" si="12"/>
        <v>1</v>
      </c>
      <c r="AI12" s="183">
        <f t="shared" si="13"/>
        <v>2.8490499911047851E-2</v>
      </c>
      <c r="AJ12" s="120">
        <f t="shared" si="14"/>
        <v>0</v>
      </c>
      <c r="AK12" s="119">
        <f t="shared" si="15"/>
        <v>5.6980999822095701E-2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IF(Poor!A13=0,"",Poor!A13)</f>
        <v>Beans season 2: kg produced</v>
      </c>
      <c r="B13" s="101">
        <f>IF([1]Summ!$J1051="",0,[1]Summ!$J1051)</f>
        <v>0</v>
      </c>
      <c r="C13" s="102">
        <f>IF([1]Summ!$K1051="",0,[1]Summ!$K1051)</f>
        <v>0.15150242305639566</v>
      </c>
      <c r="D13" s="24">
        <f t="shared" si="0"/>
        <v>0.15150242305639566</v>
      </c>
      <c r="E13" s="75">
        <f>Middle!E13</f>
        <v>1</v>
      </c>
      <c r="H13" s="24">
        <f t="shared" si="1"/>
        <v>1</v>
      </c>
      <c r="I13" s="22">
        <f t="shared" si="2"/>
        <v>0.15150242305639566</v>
      </c>
      <c r="J13" s="24">
        <f t="shared" si="3"/>
        <v>-1.880666210915246E-3</v>
      </c>
      <c r="K13" s="22">
        <f t="shared" si="4"/>
        <v>0</v>
      </c>
      <c r="L13" s="22">
        <f t="shared" si="5"/>
        <v>0</v>
      </c>
      <c r="M13" s="224">
        <f t="shared" si="6"/>
        <v>-1.880666210915246E-3</v>
      </c>
      <c r="N13" s="228">
        <v>1</v>
      </c>
      <c r="O13" s="2"/>
      <c r="P13" s="22"/>
      <c r="Q13" s="59" t="s">
        <v>76</v>
      </c>
      <c r="R13" s="221">
        <f>IF($B$81=0,0,(SUMIF($N$6:$N$28,$U13,K$6:K$28)+SUMIF($N$91:$N$118,$U13,K$91:K$118))*$B$83*$H$84*Poor!$B$81/$B$81)</f>
        <v>0</v>
      </c>
      <c r="S13" s="221">
        <f>IF($B$81=0,0,(SUMIF($N$6:$N$28,$U13,L$6:L$28)+SUMIF($N$91:$N$118,$U13,L$91:L$118))*$I$83*Poor!$B$81/$B$81)</f>
        <v>0</v>
      </c>
      <c r="T13" s="221">
        <f>IF($B$81=0,0,(SUMIF($N$6:$N$28,$U13,M$6:M$28)+SUMIF($N$91:$N$118,$U13,M$91:M$118))*$I$83*Poor!$B$81/$B$81)</f>
        <v>0</v>
      </c>
      <c r="U13" s="222">
        <v>7</v>
      </c>
      <c r="V13" s="56"/>
      <c r="W13" s="110"/>
      <c r="X13" s="118"/>
      <c r="Y13" s="183">
        <f t="shared" si="9"/>
        <v>-7.522664843660984E-3</v>
      </c>
      <c r="Z13" s="156">
        <f>Poor!Z13</f>
        <v>1</v>
      </c>
      <c r="AA13" s="121">
        <f>$M13*Z13*4</f>
        <v>-7.522664843660984E-3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-1.880666210915246E-3</v>
      </c>
      <c r="AJ13" s="120">
        <f t="shared" si="14"/>
        <v>-3.761332421830492E-3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IF(Poor!A14=0,"",Poor!A14)</f>
        <v>Water melon: no. local meas</v>
      </c>
      <c r="B14" s="101">
        <f>IF([1]Summ!$J1052="",0,[1]Summ!$J1052)</f>
        <v>1.2763476249777621E-2</v>
      </c>
      <c r="C14" s="102">
        <f>IF([1]Summ!$K1052="",0,[1]Summ!$K1052)</f>
        <v>0</v>
      </c>
      <c r="D14" s="24">
        <f t="shared" si="0"/>
        <v>1.2763476249777621E-2</v>
      </c>
      <c r="E14" s="75">
        <f>Middle!E14</f>
        <v>1</v>
      </c>
      <c r="F14" s="22"/>
      <c r="H14" s="24">
        <f t="shared" si="1"/>
        <v>1</v>
      </c>
      <c r="I14" s="22">
        <f t="shared" si="2"/>
        <v>1.2763476249777621E-2</v>
      </c>
      <c r="J14" s="24">
        <f>IF(I$32&lt;=1+I131,I14,B14*H14+J$33*(I14-B14*H14))</f>
        <v>1.2763476249777621E-2</v>
      </c>
      <c r="K14" s="22">
        <f t="shared" si="4"/>
        <v>1.2763476249777621E-2</v>
      </c>
      <c r="L14" s="22">
        <f t="shared" si="5"/>
        <v>1.2763476249777621E-2</v>
      </c>
      <c r="M14" s="224">
        <f t="shared" si="6"/>
        <v>1.2763476249777621E-2</v>
      </c>
      <c r="N14" s="228">
        <v>1</v>
      </c>
      <c r="O14" s="2"/>
      <c r="P14" s="22"/>
      <c r="Q14" s="126" t="s">
        <v>77</v>
      </c>
      <c r="R14" s="221">
        <f>IF($B$81=0,0,(SUMIF($N$6:$N$28,$U14,K$6:K$28)+SUMIF($N$91:$N$118,$U14,K$91:K$118))*$B$83*$H$84*Poor!$B$81/$B$81)</f>
        <v>309434.13525036693</v>
      </c>
      <c r="S14" s="221">
        <f>IF($B$81=0,0,(SUMIF($N$6:$N$28,$U14,L$6:L$28)+SUMIF($N$91:$N$118,$U14,L$91:L$118))*$I$83*Poor!$B$81/$B$81)</f>
        <v>200667.42857142861</v>
      </c>
      <c r="T14" s="221">
        <f>IF($B$81=0,0,(SUMIF($N$6:$N$28,$U14,M$6:M$28)+SUMIF($N$91:$N$118,$U14,M$91:M$118))*$I$83*Poor!$B$81/$B$81)</f>
        <v>200667.42857142861</v>
      </c>
      <c r="U14" s="222">
        <v>8</v>
      </c>
      <c r="V14" s="56"/>
      <c r="W14" s="110"/>
      <c r="X14" s="118"/>
      <c r="Y14" s="183">
        <f>M14*4</f>
        <v>5.1053904999110486E-2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5.1053904999110486E-2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1.2763476249777621E-2</v>
      </c>
      <c r="AJ14" s="120">
        <f t="shared" si="14"/>
        <v>2.5526952499555243E-2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IF(Poor!A15=0,"",Poor!A15)</f>
        <v>Other root crops (sweet potato): no. local meas</v>
      </c>
      <c r="B15" s="101">
        <f>IF([1]Summ!$J1053="",0,[1]Summ!$J1053)</f>
        <v>4.2456431239992889E-2</v>
      </c>
      <c r="C15" s="102">
        <f>IF([1]Summ!$K1053="",0,[1]Summ!$K1053)</f>
        <v>0.21228215619996443</v>
      </c>
      <c r="D15" s="24">
        <f t="shared" si="0"/>
        <v>0.25473858743995731</v>
      </c>
      <c r="E15" s="75">
        <f>Middle!E15</f>
        <v>1</v>
      </c>
      <c r="F15" s="22"/>
      <c r="H15" s="24">
        <f t="shared" si="1"/>
        <v>1</v>
      </c>
      <c r="I15" s="22">
        <f t="shared" si="2"/>
        <v>0.25473858743995731</v>
      </c>
      <c r="J15" s="24">
        <f>IF(I$32&lt;=1+I131,I15,B15*H15+J$33*(I15-B15*H15))</f>
        <v>3.9821279469536425E-2</v>
      </c>
      <c r="K15" s="22">
        <f t="shared" si="4"/>
        <v>4.2456431239992889E-2</v>
      </c>
      <c r="L15" s="22">
        <f t="shared" si="5"/>
        <v>4.2456431239992889E-2</v>
      </c>
      <c r="M15" s="225">
        <f t="shared" si="6"/>
        <v>3.9821279469536425E-2</v>
      </c>
      <c r="N15" s="228">
        <v>1</v>
      </c>
      <c r="O15" s="2"/>
      <c r="P15" s="22"/>
      <c r="Q15" s="59" t="s">
        <v>126</v>
      </c>
      <c r="R15" s="221">
        <f>IF($B$81=0,0,(SUMIF($N$6:$N$28,$U15,K$6:K$28)+SUMIF($N$91:$N$118,$U15,K$91:K$118))*$B$83*$H$84*Poor!$B$81/$B$81)</f>
        <v>0</v>
      </c>
      <c r="S15" s="221">
        <f>IF($B$81=0,0,(SUMIF($N$6:$N$28,$U15,L$6:L$28)+SUMIF($N$91:$N$118,$U15,L$91:L$118))*$I$83*Poor!$B$81/$B$81)</f>
        <v>0</v>
      </c>
      <c r="T15" s="221">
        <f>IF($B$81=0,0,(SUMIF($N$6:$N$28,$U15,M$6:M$28)+SUMIF($N$91:$N$118,$U15,M$91:M$118))*$I$83*Poor!$B$81/$B$81)</f>
        <v>0</v>
      </c>
      <c r="U15" s="222">
        <v>9</v>
      </c>
      <c r="V15" s="56"/>
      <c r="W15" s="110"/>
      <c r="X15" s="118"/>
      <c r="Y15" s="183">
        <f t="shared" si="9"/>
        <v>0.1592851178781457</v>
      </c>
      <c r="Z15" s="156">
        <f>Poor!Z15</f>
        <v>0.25</v>
      </c>
      <c r="AA15" s="121">
        <f t="shared" si="16"/>
        <v>3.9821279469536425E-2</v>
      </c>
      <c r="AB15" s="156">
        <f>Poor!AB15</f>
        <v>0.25</v>
      </c>
      <c r="AC15" s="121">
        <f t="shared" si="7"/>
        <v>3.9821279469536425E-2</v>
      </c>
      <c r="AD15" s="156">
        <f>Poor!AD15</f>
        <v>0.25</v>
      </c>
      <c r="AE15" s="121">
        <f t="shared" si="8"/>
        <v>3.9821279469536425E-2</v>
      </c>
      <c r="AF15" s="122">
        <f t="shared" si="10"/>
        <v>0.25</v>
      </c>
      <c r="AG15" s="121">
        <f t="shared" si="11"/>
        <v>3.9821279469536425E-2</v>
      </c>
      <c r="AH15" s="123">
        <f t="shared" si="12"/>
        <v>1</v>
      </c>
      <c r="AI15" s="183">
        <f t="shared" si="13"/>
        <v>3.9821279469536425E-2</v>
      </c>
      <c r="AJ15" s="120">
        <f t="shared" si="14"/>
        <v>3.9821279469536425E-2</v>
      </c>
      <c r="AK15" s="119">
        <f t="shared" si="15"/>
        <v>3.9821279469536425E-2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IF(Poor!A16=0,"",Poor!A16)</f>
        <v>Groundnuts (dry): no. local meas</v>
      </c>
      <c r="B16" s="101">
        <f>IF([1]Summ!$J1054="",0,[1]Summ!$J1054)</f>
        <v>5.1503291229318619E-2</v>
      </c>
      <c r="C16" s="102">
        <f>IF([1]Summ!$K1054="",0,[1]Summ!$K1054)</f>
        <v>5.1503291229318619E-2</v>
      </c>
      <c r="D16" s="24">
        <f t="shared" si="0"/>
        <v>0.10300658245863724</v>
      </c>
      <c r="E16" s="75">
        <f>Middle!E16</f>
        <v>1</v>
      </c>
      <c r="F16" s="22"/>
      <c r="H16" s="24">
        <f t="shared" si="1"/>
        <v>1</v>
      </c>
      <c r="I16" s="22">
        <f t="shared" si="2"/>
        <v>0.10300658245863724</v>
      </c>
      <c r="J16" s="24">
        <f>IF(I$32&lt;=1+I131,I16,B16*H16+J$33*(I16-B16*H16))</f>
        <v>5.0863958223206558E-2</v>
      </c>
      <c r="K16" s="22">
        <f t="shared" si="4"/>
        <v>5.1503291229318619E-2</v>
      </c>
      <c r="L16" s="22">
        <f t="shared" si="5"/>
        <v>5.1503291229318619E-2</v>
      </c>
      <c r="M16" s="223">
        <f t="shared" si="6"/>
        <v>5.0863958223206558E-2</v>
      </c>
      <c r="N16" s="228">
        <v>1</v>
      </c>
      <c r="O16" s="2"/>
      <c r="P16" s="22"/>
      <c r="Q16" s="126" t="s">
        <v>78</v>
      </c>
      <c r="R16" s="221">
        <f>IF($B$81=0,0,(SUMIF($N$6:$N$28,$U16,K$6:K$28)+SUMIF($N$91:$N$118,$U16,K$91:K$118))*$B$83*$H$84*Poor!$B$81/$B$81)</f>
        <v>0</v>
      </c>
      <c r="S16" s="221">
        <f>IF($B$81=0,0,(SUMIF($N$6:$N$28,$U16,L$6:L$28)+SUMIF($N$91:$N$118,$U16,L$91:L$118))*$I$83*Poor!$B$81/$B$81)</f>
        <v>0</v>
      </c>
      <c r="T16" s="221">
        <f>IF($B$81=0,0,(SUMIF($N$6:$N$28,$U16,M$6:M$28)+SUMIF($N$91:$N$118,$U16,M$91:M$118))*$I$83*Poor!$B$81/$B$81)</f>
        <v>0</v>
      </c>
      <c r="U16" s="222">
        <v>10</v>
      </c>
      <c r="V16" s="56"/>
      <c r="W16" s="110"/>
      <c r="X16" s="118"/>
      <c r="Y16" s="183">
        <f t="shared" si="9"/>
        <v>0.20345583289282623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0.20345583289282623</v>
      </c>
      <c r="AH16" s="123">
        <f t="shared" si="12"/>
        <v>1</v>
      </c>
      <c r="AI16" s="183">
        <f t="shared" si="13"/>
        <v>5.0863958223206558E-2</v>
      </c>
      <c r="AJ16" s="120">
        <f t="shared" si="14"/>
        <v>0</v>
      </c>
      <c r="AK16" s="119">
        <f t="shared" si="15"/>
        <v>0.10172791644641312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IF(Poor!A17=0,"",Poor!A17)</f>
        <v>Other crop: Rape</v>
      </c>
      <c r="B17" s="101">
        <f>IF([1]Summ!$J1055="",0,[1]Summ!$J1055)</f>
        <v>2.369017968333037E-2</v>
      </c>
      <c r="C17" s="102">
        <f>IF([1]Summ!$K1055="",0,[1]Summ!$K1055)</f>
        <v>3.1288916562889138E-3</v>
      </c>
      <c r="D17" s="24">
        <f t="shared" si="0"/>
        <v>2.6819071339619284E-2</v>
      </c>
      <c r="E17" s="75">
        <f>Middle!E17</f>
        <v>1</v>
      </c>
      <c r="F17" s="22"/>
      <c r="H17" s="24">
        <f t="shared" si="1"/>
        <v>1</v>
      </c>
      <c r="I17" s="22">
        <f t="shared" si="2"/>
        <v>2.6819071339619284E-2</v>
      </c>
      <c r="J17" s="24">
        <f t="shared" ref="J17:J25" si="17">IF(I$32&lt;=1+I131,I17,B17*H17+J$33*(I17-B17*H17))</f>
        <v>2.3651339375057499E-2</v>
      </c>
      <c r="K17" s="22">
        <f t="shared" si="4"/>
        <v>2.369017968333037E-2</v>
      </c>
      <c r="L17" s="22">
        <f t="shared" si="5"/>
        <v>2.369017968333037E-2</v>
      </c>
      <c r="M17" s="224">
        <f t="shared" si="6"/>
        <v>2.3651339375057499E-2</v>
      </c>
      <c r="N17" s="228">
        <v>1</v>
      </c>
      <c r="O17" s="2"/>
      <c r="P17" s="22"/>
      <c r="Q17" s="126" t="s">
        <v>125</v>
      </c>
      <c r="R17" s="221">
        <f>IF($B$81=0,0,(SUMIF($N$6:$N$28,$U17,K$6:K$28)+SUMIF($N$91:$N$118,$U17,K$91:K$118))*$B$83*$H$84*Poor!$B$81/$B$81)</f>
        <v>0</v>
      </c>
      <c r="S17" s="221">
        <f>IF($B$81=0,0,(SUMIF($N$6:$N$28,$U17,L$6:L$28)+SUMIF($N$91:$N$118,$U17,L$91:L$118))*$I$83*Poor!$B$81/$B$81)</f>
        <v>0</v>
      </c>
      <c r="T17" s="221">
        <f>IF($B$81=0,0,(SUMIF($N$6:$N$28,$U17,M$6:M$28)+SUMIF($N$91:$N$118,$U17,M$91:M$118))*$I$83*Poor!$B$81/$B$81)</f>
        <v>0</v>
      </c>
      <c r="U17" s="222">
        <v>11</v>
      </c>
      <c r="V17" s="56"/>
      <c r="W17" s="110"/>
      <c r="X17" s="118"/>
      <c r="Y17" s="183">
        <f t="shared" si="9"/>
        <v>9.4605357500229997E-2</v>
      </c>
      <c r="Z17" s="156">
        <f>Poor!Z17</f>
        <v>0.29409999999999997</v>
      </c>
      <c r="AA17" s="121">
        <f t="shared" si="16"/>
        <v>2.7823435640817639E-2</v>
      </c>
      <c r="AB17" s="156">
        <f>Poor!AB17</f>
        <v>0.17649999999999999</v>
      </c>
      <c r="AC17" s="121">
        <f t="shared" si="7"/>
        <v>1.6697845598790593E-2</v>
      </c>
      <c r="AD17" s="156">
        <f>Poor!AD17</f>
        <v>0.23530000000000001</v>
      </c>
      <c r="AE17" s="121">
        <f t="shared" si="8"/>
        <v>2.2260640619804119E-2</v>
      </c>
      <c r="AF17" s="122">
        <f t="shared" si="10"/>
        <v>0.29410000000000003</v>
      </c>
      <c r="AG17" s="121">
        <f t="shared" si="11"/>
        <v>2.7823435640817646E-2</v>
      </c>
      <c r="AH17" s="123">
        <f t="shared" si="12"/>
        <v>1</v>
      </c>
      <c r="AI17" s="183">
        <f t="shared" si="13"/>
        <v>2.3651339375057499E-2</v>
      </c>
      <c r="AJ17" s="120">
        <f t="shared" si="14"/>
        <v>2.2260640619804116E-2</v>
      </c>
      <c r="AK17" s="119">
        <f t="shared" si="15"/>
        <v>2.5042038130310883E-2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IF(Poor!A18=0,"",Poor!A18)</f>
        <v>WILD FOODS -- see worksheet Data 3</v>
      </c>
      <c r="B18" s="101">
        <f>IF([1]Summ!$J1056="",0,[1]Summ!$J1056)</f>
        <v>0</v>
      </c>
      <c r="C18" s="102">
        <f>IF([1]Summ!$K1056="",0,[1]Summ!$K1056)</f>
        <v>0</v>
      </c>
      <c r="D18" s="24">
        <f t="shared" ref="D18:D25" si="18">(B18+C18)</f>
        <v>0</v>
      </c>
      <c r="E18" s="75">
        <f>Middle!E18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4">
        <f t="shared" ref="M18:M25" si="23">J18</f>
        <v>0</v>
      </c>
      <c r="N18" s="228">
        <v>6</v>
      </c>
      <c r="O18" s="2"/>
      <c r="P18" s="22"/>
      <c r="Q18" s="59" t="s">
        <v>79</v>
      </c>
      <c r="R18" s="221">
        <f>IF($B$81=0,0,(SUMIF($N$6:$N$28,$U18,K$6:K$28)+SUMIF($N$91:$N$118,$U18,K$91:K$118))*$B$83*$H$84*Poor!$B$81/$B$81)</f>
        <v>0</v>
      </c>
      <c r="S18" s="221">
        <f>IF($B$81=0,0,(SUMIF($N$6:$N$28,$U18,L$6:L$28)+SUMIF($N$91:$N$118,$U18,L$91:L$118))*$I$83*Poor!$B$81/$B$81)</f>
        <v>0</v>
      </c>
      <c r="T18" s="221">
        <f>IF($B$81=0,0,(SUMIF($N$6:$N$28,$U18,M$6:M$28)+SUMIF($N$91:$N$118,$U18,M$91:M$118))*$I$83*Poor!$B$81/$B$81)</f>
        <v>0</v>
      </c>
      <c r="U18" s="222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IF(Poor!A19=0,"",Poor!A19)</f>
        <v>Labour: Weeding, ploughing</v>
      </c>
      <c r="B19" s="101">
        <f>IF([1]Summ!$J1057="",0,[1]Summ!$J1057)</f>
        <v>0</v>
      </c>
      <c r="C19" s="102">
        <f>IF([1]Summ!$K1057="",0,[1]Summ!$K1057)</f>
        <v>0</v>
      </c>
      <c r="D19" s="24">
        <f t="shared" si="18"/>
        <v>0</v>
      </c>
      <c r="E19" s="75">
        <f>Middle!E19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4">
        <f t="shared" si="23"/>
        <v>0</v>
      </c>
      <c r="N19" s="228">
        <v>7</v>
      </c>
      <c r="O19" s="2"/>
      <c r="P19" s="22"/>
      <c r="Q19" s="59" t="s">
        <v>80</v>
      </c>
      <c r="R19" s="221">
        <f>IF($B$81=0,0,(SUMIF($N$6:$N$28,$U19,K$6:K$28)+SUMIF($N$91:$N$118,$U19,K$91:K$118))*$B$83*$H$84*Poor!$B$81/$B$81)</f>
        <v>0</v>
      </c>
      <c r="S19" s="221">
        <f>IF($B$81=0,0,(SUMIF($N$6:$N$28,$U19,L$6:L$28)+SUMIF($N$91:$N$118,$U19,L$91:L$118))*$I$83*Poor!$B$81/$B$81)</f>
        <v>0</v>
      </c>
      <c r="T19" s="221">
        <f>IF($B$81=0,0,(SUMIF($N$6:$N$28,$U19,M$6:M$28)+SUMIF($N$91:$N$118,$U19,M$91:M$118))*$I$83*Poor!$B$81/$B$81)</f>
        <v>0</v>
      </c>
      <c r="U19" s="222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IF(Poor!A20=0,"",Poor!A20)</f>
        <v>Gifts/remittances: cereal</v>
      </c>
      <c r="B20" s="101">
        <f>IF([1]Summ!$J1058="",0,[1]Summ!$J1058)</f>
        <v>0</v>
      </c>
      <c r="C20" s="102">
        <f>IF([1]Summ!$K1058="",0,[1]Summ!$K1058)</f>
        <v>0</v>
      </c>
      <c r="D20" s="24">
        <f t="shared" si="18"/>
        <v>0</v>
      </c>
      <c r="E20" s="75">
        <f>Middle!E20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4">
        <f t="shared" si="23"/>
        <v>0</v>
      </c>
      <c r="N20" s="228">
        <v>13</v>
      </c>
      <c r="O20" s="2"/>
      <c r="P20" s="22"/>
      <c r="Q20" s="59" t="s">
        <v>81</v>
      </c>
      <c r="R20" s="221">
        <f>IF($B$81=0,0,(SUMIF($N$6:$N$28,$U20,K$6:K$28)+SUMIF($N$91:$N$118,$U20,K$91:K$118))*$B$83*$H$84*Poor!$B$81/$B$81)</f>
        <v>12676.817798966647</v>
      </c>
      <c r="S20" s="221">
        <f>IF($B$81=0,0,(SUMIF($N$6:$N$28,$U20,L$6:L$28)+SUMIF($N$91:$N$118,$U20,L$91:L$118))*$I$83*Poor!$B$81/$B$81)</f>
        <v>0</v>
      </c>
      <c r="T20" s="221">
        <f>IF($B$81=0,0,(SUMIF($N$6:$N$28,$U20,M$6:M$28)+SUMIF($N$91:$N$118,$U20,M$91:M$118))*$I$83*Poor!$B$81/$B$81)</f>
        <v>0</v>
      </c>
      <c r="U20" s="222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IF(Poor!A21=0,"",Poor!A21)</f>
        <v/>
      </c>
      <c r="B21" s="101">
        <f>IF([1]Summ!$J1059="",0,[1]Summ!$J1059)</f>
        <v>0</v>
      </c>
      <c r="C21" s="102">
        <f>IF([1]Summ!$K1059="",0,[1]Summ!$K1059)</f>
        <v>0</v>
      </c>
      <c r="D21" s="24">
        <f t="shared" si="18"/>
        <v>0</v>
      </c>
      <c r="E21" s="75">
        <f>Middle!E21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4">
        <f t="shared" si="23"/>
        <v>0</v>
      </c>
      <c r="N21" s="228"/>
      <c r="O21" s="2"/>
      <c r="P21" s="22"/>
      <c r="Q21" s="59" t="s">
        <v>82</v>
      </c>
      <c r="R21" s="221">
        <f>IF($B$81=0,0,(SUMIF($N$6:$N$28,$U21,K$6:K$28)+SUMIF($N$91:$N$118,$U21,K$91:K$118))*$B$83*$H$84*Poor!$B$81/$B$81)</f>
        <v>0</v>
      </c>
      <c r="S21" s="221">
        <f>IF($B$81=0,0,(SUMIF($N$6:$N$28,$U21,L$6:L$28)+SUMIF($N$91:$N$118,$U21,L$91:L$118))*$I$83*Poor!$B$81/$B$81)</f>
        <v>0</v>
      </c>
      <c r="T21" s="221">
        <f>IF($B$81=0,0,(SUMIF($N$6:$N$28,$U21,M$6:M$28)+SUMIF($N$91:$N$118,$U21,M$91:M$118))*$I$83*Poor!$B$81/$B$81)</f>
        <v>0</v>
      </c>
      <c r="U21" s="222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IF(Poor!A22=0,"",Poor!A22)</f>
        <v/>
      </c>
      <c r="B22" s="101">
        <f>IF([1]Summ!$J1060="",0,[1]Summ!$J1060)</f>
        <v>0</v>
      </c>
      <c r="C22" s="102">
        <f>IF([1]Summ!$K1060="",0,[1]Summ!$K1060)</f>
        <v>0</v>
      </c>
      <c r="D22" s="24">
        <f t="shared" si="18"/>
        <v>0</v>
      </c>
      <c r="E22" s="75">
        <f>Middle!E22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4">
        <f t="shared" si="23"/>
        <v>0</v>
      </c>
      <c r="N22" s="228"/>
      <c r="O22" s="2"/>
      <c r="P22" s="22"/>
      <c r="Q22" s="59" t="s">
        <v>83</v>
      </c>
      <c r="R22" s="221">
        <f>IF($B$81=0,0,(SUMIF($N$6:$N$28,$U22,K$6:K$28)+SUMIF($N$91:$N$118,$U22,K$91:K$118))*$B$83*$H$84*Poor!$B$81/$B$81)</f>
        <v>0</v>
      </c>
      <c r="S22" s="221">
        <f>IF($B$81=0,0,(SUMIF($N$6:$N$28,$U22,L$6:L$28)+SUMIF($N$91:$N$118,$U22,L$91:L$118))*$I$83*Poor!$B$81/$B$81)</f>
        <v>0</v>
      </c>
      <c r="T22" s="221">
        <f>IF($B$81=0,0,(SUMIF($N$6:$N$28,$U22,M$6:M$28)+SUMIF($N$91:$N$118,$U22,M$91:M$118))*$I$83*Poor!$B$81/$B$81)</f>
        <v>0</v>
      </c>
      <c r="U22" s="222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IF(Poor!A23=0,"",Poor!A23)</f>
        <v/>
      </c>
      <c r="B23" s="101">
        <f>IF([1]Summ!$J1061="",0,[1]Summ!$J1061)</f>
        <v>0</v>
      </c>
      <c r="C23" s="102">
        <f>IF([1]Summ!$K1061="",0,[1]Summ!$K1061)</f>
        <v>0</v>
      </c>
      <c r="D23" s="24">
        <f t="shared" si="18"/>
        <v>0</v>
      </c>
      <c r="E23" s="75">
        <f>Middle!E23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4">
        <f t="shared" si="23"/>
        <v>0</v>
      </c>
      <c r="N23" s="228"/>
      <c r="O23" s="2"/>
      <c r="P23" s="22"/>
      <c r="Q23" s="171" t="s">
        <v>100</v>
      </c>
      <c r="R23" s="179">
        <f>SUM(R7:R22)</f>
        <v>389759.09597611619</v>
      </c>
      <c r="S23" s="179">
        <f>SUM(S7:S22)</f>
        <v>252923.0090130039</v>
      </c>
      <c r="T23" s="179">
        <f>SUM(T7:T22)</f>
        <v>252989.39139571041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IF(Poor!A24=0,"",Poor!A24)</f>
        <v/>
      </c>
      <c r="B24" s="101">
        <f>IF([1]Summ!$J1062="",0,[1]Summ!$J1062)</f>
        <v>0</v>
      </c>
      <c r="C24" s="102">
        <f>IF([1]Summ!$K1062="",0,[1]Summ!$K1062)</f>
        <v>0</v>
      </c>
      <c r="D24" s="24">
        <f t="shared" si="18"/>
        <v>0</v>
      </c>
      <c r="E24" s="75">
        <f>Middle!E24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4">
        <f t="shared" si="23"/>
        <v>0</v>
      </c>
      <c r="N24" s="228"/>
      <c r="O24" s="2"/>
      <c r="P24" s="22"/>
      <c r="Q24" s="59" t="s">
        <v>137</v>
      </c>
      <c r="R24" s="41">
        <f>IF($B$81=0,0,(SUM(($B$70*$H$70))+((1-$D$29)*$I$83))*Poor!$B$81/$B$81)</f>
        <v>39324.286292052806</v>
      </c>
      <c r="S24" s="41">
        <f>IF($B$81=0,0,(SUM(($B$70*$H$70))+((1-$D$29)*$I$83))*Poor!$B$81/$B$81)</f>
        <v>39324.286292052806</v>
      </c>
      <c r="T24" s="41">
        <f>IF($B$81=0,0,(SUM(($B$70*$H$70))+((1-$D$29)*$I$83))*Poor!$B$81/$B$81)</f>
        <v>39324.286292052806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IF(Poor!A25=0,"",Poor!A25)</f>
        <v/>
      </c>
      <c r="B25" s="101">
        <f>IF([1]Summ!$J1063="",0,[1]Summ!$J1063)</f>
        <v>0</v>
      </c>
      <c r="C25" s="102">
        <f>IF([1]Summ!$K1063="",0,[1]Summ!$K1063)</f>
        <v>0</v>
      </c>
      <c r="D25" s="24">
        <f t="shared" si="18"/>
        <v>0</v>
      </c>
      <c r="E25" s="75">
        <f>Middle!E25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4">
        <f t="shared" si="23"/>
        <v>0</v>
      </c>
      <c r="N25" s="228"/>
      <c r="O25" s="2"/>
      <c r="P25" s="22"/>
      <c r="Q25" s="142" t="s">
        <v>138</v>
      </c>
      <c r="R25" s="41">
        <f>IF($B$81=0,0,(SUM(($B$70*$H$70),($B$71*$H$71))+((1-$D$29)*$I$83))*Poor!$B$81/$B$81)</f>
        <v>59595.112958719466</v>
      </c>
      <c r="S25" s="41">
        <f>IF($B$81=0,0,(SUM(($B$70*$H$70),($B$71*$H$71))+((1-$D$29)*$I$83))*Poor!$B$81/$B$81)</f>
        <v>59595.112958719466</v>
      </c>
      <c r="T25" s="41">
        <f>IF($B$81=0,0,(SUM(($B$70*$H$70),($B$71*$H$71))+((1-$D$29)*$I$83))*Poor!$B$81/$B$81)</f>
        <v>59595.112958719466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IF(Poor!A26=0,"",Poor!A26)</f>
        <v>Food aid</v>
      </c>
      <c r="B26" s="101">
        <f>IF([1]Summ!$J1064="",0,[1]Summ!$J1064)</f>
        <v>0</v>
      </c>
      <c r="C26" s="102">
        <f>IF([1]Summ!$K1064="",0,[1]Summ!$K1064)</f>
        <v>0</v>
      </c>
      <c r="D26" s="24">
        <f t="shared" si="0"/>
        <v>0</v>
      </c>
      <c r="E26" s="75">
        <f>Middle!E26</f>
        <v>1</v>
      </c>
      <c r="F26" s="22"/>
      <c r="H26" s="24">
        <f t="shared" si="1"/>
        <v>1</v>
      </c>
      <c r="I26" s="22">
        <f t="shared" si="2"/>
        <v>0</v>
      </c>
      <c r="J26" s="24">
        <f>IF(I$32&lt;=1+I131,I26,B26*H26+J$33*(I26-B26*H26))</f>
        <v>0</v>
      </c>
      <c r="K26" s="22">
        <f t="shared" si="4"/>
        <v>0</v>
      </c>
      <c r="L26" s="22">
        <f t="shared" si="5"/>
        <v>0</v>
      </c>
      <c r="M26" s="223">
        <f t="shared" si="6"/>
        <v>0</v>
      </c>
      <c r="N26" s="228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92333.032958719457</v>
      </c>
      <c r="S26" s="41">
        <f>IF($B$81=0,0,(SUM(($B$70*$H$70),($B$71*$H$71),($B$72*$H$72))+((1-$D$29)*$I$83))*Poor!$B$81/$B$81)</f>
        <v>92333.032958719457</v>
      </c>
      <c r="T26" s="41">
        <f>IF($B$81=0,0,(SUM(($B$70*$H$70),($B$71*$H$71),($B$72*$H$72))+((1-$D$29)*$I$83))*Poor!$B$81/$B$81)</f>
        <v>92333.032958719457</v>
      </c>
      <c r="U26" s="56"/>
      <c r="V26" s="56"/>
      <c r="W26" s="110"/>
      <c r="X26" s="118"/>
      <c r="Y26" s="183">
        <f t="shared" si="9"/>
        <v>0</v>
      </c>
      <c r="Z26" s="156">
        <f>Poor!Z26</f>
        <v>0.25</v>
      </c>
      <c r="AA26" s="121">
        <f t="shared" si="16"/>
        <v>0</v>
      </c>
      <c r="AB26" s="156">
        <f>Poor!AB26</f>
        <v>0.25</v>
      </c>
      <c r="AC26" s="121">
        <f t="shared" si="7"/>
        <v>0</v>
      </c>
      <c r="AD26" s="156">
        <f>Poor!AD26</f>
        <v>0.25</v>
      </c>
      <c r="AE26" s="121">
        <f t="shared" si="8"/>
        <v>0</v>
      </c>
      <c r="AF26" s="122">
        <f t="shared" si="10"/>
        <v>0.25</v>
      </c>
      <c r="AG26" s="121">
        <f t="shared" si="11"/>
        <v>0</v>
      </c>
      <c r="AH26" s="123">
        <f t="shared" si="12"/>
        <v>1</v>
      </c>
      <c r="AI26" s="183">
        <f t="shared" si="13"/>
        <v>0</v>
      </c>
      <c r="AJ26" s="120">
        <f t="shared" si="14"/>
        <v>0</v>
      </c>
      <c r="AK26" s="119">
        <f t="shared" si="15"/>
        <v>0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IF(Poor!A27=0,"",Poor!A27)</f>
        <v>Purchase - other</v>
      </c>
      <c r="B27" s="101">
        <f>IF([1]Summ!$J1065="",0,[1]Summ!$J1065)</f>
        <v>2.1241771926703436E-2</v>
      </c>
      <c r="C27" s="102">
        <f>IF([1]Summ!$K1065="",0,[1]Summ!$K1065)</f>
        <v>-2.1241771926703436E-2</v>
      </c>
      <c r="D27" s="24">
        <f t="shared" si="0"/>
        <v>0</v>
      </c>
      <c r="E27" s="75">
        <f>Middle!E27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2.1505455384146548E-2</v>
      </c>
      <c r="K27" s="22">
        <f t="shared" si="4"/>
        <v>2.1241771926703436E-2</v>
      </c>
      <c r="L27" s="22">
        <f t="shared" si="5"/>
        <v>2.1241771926703436E-2</v>
      </c>
      <c r="M27" s="225">
        <f t="shared" si="6"/>
        <v>2.1505455384146548E-2</v>
      </c>
      <c r="N27" s="228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8.602182153658619E-2</v>
      </c>
      <c r="Z27" s="156">
        <f>Poor!Z27</f>
        <v>0.25</v>
      </c>
      <c r="AA27" s="121">
        <f t="shared" si="16"/>
        <v>2.1505455384146548E-2</v>
      </c>
      <c r="AB27" s="156">
        <f>Poor!AB27</f>
        <v>0.25</v>
      </c>
      <c r="AC27" s="121">
        <f t="shared" si="7"/>
        <v>2.1505455384146548E-2</v>
      </c>
      <c r="AD27" s="156">
        <f>Poor!AD27</f>
        <v>0.25</v>
      </c>
      <c r="AE27" s="121">
        <f t="shared" si="8"/>
        <v>2.1505455384146548E-2</v>
      </c>
      <c r="AF27" s="122">
        <f t="shared" si="10"/>
        <v>0.25</v>
      </c>
      <c r="AG27" s="121">
        <f t="shared" si="11"/>
        <v>2.1505455384146548E-2</v>
      </c>
      <c r="AH27" s="123">
        <f t="shared" si="12"/>
        <v>1</v>
      </c>
      <c r="AI27" s="183">
        <f t="shared" si="13"/>
        <v>2.1505455384146548E-2</v>
      </c>
      <c r="AJ27" s="120">
        <f t="shared" si="14"/>
        <v>2.1505455384146548E-2</v>
      </c>
      <c r="AK27" s="119">
        <f t="shared" si="15"/>
        <v>2.1505455384146548E-2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IF(Poor!A28=0,"",Poor!A28)</f>
        <v>Purchase - desirable</v>
      </c>
      <c r="B28" s="101">
        <f>IF([1]Summ!$J1066="",0,[1]Summ!$J1066)</f>
        <v>0</v>
      </c>
      <c r="C28" s="102">
        <f>IF([1]Summ!$K1066="",0,[1]Summ!$K1066)</f>
        <v>0</v>
      </c>
      <c r="D28" s="24">
        <f t="shared" si="0"/>
        <v>0</v>
      </c>
      <c r="E28" s="75">
        <f>Middle!E28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3">
        <f t="shared" si="6"/>
        <v>0</v>
      </c>
      <c r="N28" s="228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IF(Poor!A29=0,"",Poor!A29)</f>
        <v>Purchase - fpl non staple</v>
      </c>
      <c r="B29" s="101">
        <f>IF([1]Summ!$J1067="",0,[1]Summ!$J1067)</f>
        <v>0.28417504643301905</v>
      </c>
      <c r="C29" s="102">
        <f>IF([1]Summ!$K1067="",0,[1]Summ!$K1067)</f>
        <v>-5.9538272491021962E-2</v>
      </c>
      <c r="D29" s="255">
        <f t="shared" si="0"/>
        <v>0.2246367739419971</v>
      </c>
      <c r="E29" s="75">
        <f>Middle!E29</f>
        <v>1</v>
      </c>
      <c r="F29" s="22"/>
      <c r="H29" s="24">
        <f t="shared" si="1"/>
        <v>1</v>
      </c>
      <c r="I29" s="22">
        <f t="shared" si="2"/>
        <v>0.2246367739419971</v>
      </c>
      <c r="J29" s="24">
        <f>IF(I$32&lt;=1+I131,I29,B29*H29+J$33*(I29-B29*H29))</f>
        <v>0.28491412119546328</v>
      </c>
      <c r="K29" s="22">
        <f t="shared" si="4"/>
        <v>0.28417504643301905</v>
      </c>
      <c r="L29" s="22">
        <f t="shared" si="5"/>
        <v>0.28417504643301905</v>
      </c>
      <c r="M29" s="175">
        <f t="shared" si="6"/>
        <v>0.28491412119546328</v>
      </c>
      <c r="N29" s="228"/>
      <c r="P29" s="22"/>
      <c r="V29" s="56"/>
      <c r="W29" s="110"/>
      <c r="X29" s="118"/>
      <c r="Y29" s="183">
        <f t="shared" si="9"/>
        <v>1.1396564847818531</v>
      </c>
      <c r="Z29" s="156">
        <f>Poor!Z29</f>
        <v>0.25</v>
      </c>
      <c r="AA29" s="121">
        <f t="shared" si="16"/>
        <v>0.28491412119546328</v>
      </c>
      <c r="AB29" s="156">
        <f>Poor!AB29</f>
        <v>0.25</v>
      </c>
      <c r="AC29" s="121">
        <f t="shared" si="7"/>
        <v>0.28491412119546328</v>
      </c>
      <c r="AD29" s="156">
        <f>Poor!AD29</f>
        <v>0.25</v>
      </c>
      <c r="AE29" s="121">
        <f t="shared" si="8"/>
        <v>0.28491412119546328</v>
      </c>
      <c r="AF29" s="122">
        <f t="shared" si="10"/>
        <v>0.25</v>
      </c>
      <c r="AG29" s="121">
        <f t="shared" si="11"/>
        <v>0.28491412119546328</v>
      </c>
      <c r="AH29" s="123">
        <f t="shared" si="12"/>
        <v>1</v>
      </c>
      <c r="AI29" s="183">
        <f t="shared" si="13"/>
        <v>0.28491412119546328</v>
      </c>
      <c r="AJ29" s="120">
        <f t="shared" si="14"/>
        <v>0.28491412119546328</v>
      </c>
      <c r="AK29" s="119">
        <f t="shared" si="15"/>
        <v>0.28491412119546328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IF([1]Summ!$J1068="",0,[1]Summ!$J1068)</f>
        <v>0.64712539405799685</v>
      </c>
      <c r="C30" s="65"/>
      <c r="D30" s="24">
        <f>(D119-B124)</f>
        <v>29.526060835608899</v>
      </c>
      <c r="E30" s="75">
        <f>Middle!E30</f>
        <v>1</v>
      </c>
      <c r="H30" s="96">
        <f>(E30*F$7/F$9)</f>
        <v>1</v>
      </c>
      <c r="I30" s="29">
        <f>IF(E30&gt;=1,I119-I124,MIN(I119-I124,B30*H30))</f>
        <v>15.534898998969307</v>
      </c>
      <c r="J30" s="230">
        <f>IF(I$32&lt;=1,I30,1-SUM(J6:J29))</f>
        <v>0.26570027470729551</v>
      </c>
      <c r="K30" s="22">
        <f t="shared" si="4"/>
        <v>0.64712539405799685</v>
      </c>
      <c r="L30" s="22">
        <f>IF(L124=L119,0,IF(K30="",0,(L119-L124)/(B119-B124)*K30))</f>
        <v>0.35223645556192612</v>
      </c>
      <c r="M30" s="175">
        <f t="shared" si="6"/>
        <v>0.26570027470729551</v>
      </c>
      <c r="N30" s="166" t="s">
        <v>86</v>
      </c>
      <c r="O30" s="2"/>
      <c r="P30" s="22"/>
      <c r="Q30" s="233" t="s">
        <v>141</v>
      </c>
      <c r="R30" s="233">
        <f t="shared" ref="R30:T32" si="24">IF(R24&gt;R$23,R24-R$23,0)</f>
        <v>0</v>
      </c>
      <c r="S30" s="233">
        <f t="shared" si="24"/>
        <v>0</v>
      </c>
      <c r="T30" s="233">
        <f t="shared" si="24"/>
        <v>0</v>
      </c>
      <c r="V30" s="56"/>
      <c r="W30" s="110"/>
      <c r="X30" s="118"/>
      <c r="Y30" s="183">
        <f>M30*4</f>
        <v>1.0628010988291821</v>
      </c>
      <c r="Z30" s="122">
        <f>IF($Y30=0,0,AA30/($Y$30))</f>
        <v>0</v>
      </c>
      <c r="AA30" s="187">
        <f>IF(AA79*4/$I$83+SUM(AA6:AA29)&lt;1,AA79*4/$I$83,1-SUM(AA6:AA29))</f>
        <v>0</v>
      </c>
      <c r="AB30" s="122">
        <f>IF($Y30=0,0,AC30/($Y$30))</f>
        <v>0.35652735602774771</v>
      </c>
      <c r="AC30" s="187">
        <f>IF(AC79*4/$I$83+SUM(AC6:AC29)&lt;1,AC79*4/$I$83,1-SUM(AC6:AC29))</f>
        <v>0.37891766574895325</v>
      </c>
      <c r="AD30" s="122">
        <f>IF($Y30=0,0,AE30/($Y$30))</f>
        <v>0.46239367146183724</v>
      </c>
      <c r="AE30" s="187">
        <f>IF(AE79*4/$I$83+SUM(AE6:AE29)&lt;1,AE79*4/$I$83,1-SUM(AE6:AE29))</f>
        <v>0.49143250212130041</v>
      </c>
      <c r="AF30" s="122">
        <f>IF($Y30=0,0,AG30/($Y$30))</f>
        <v>0.18107897251041508</v>
      </c>
      <c r="AG30" s="187">
        <f>IF(AG79*4/$I$83+SUM(AG6:AG29)&lt;1,AG79*4/$I$83,1-SUM(AG6:AG29))</f>
        <v>0.1924509309589284</v>
      </c>
      <c r="AH30" s="123">
        <f t="shared" si="12"/>
        <v>1</v>
      </c>
      <c r="AI30" s="183">
        <f t="shared" si="13"/>
        <v>0.26570027470729551</v>
      </c>
      <c r="AJ30" s="120">
        <f t="shared" si="14"/>
        <v>0.18945883287447662</v>
      </c>
      <c r="AK30" s="119">
        <f t="shared" si="15"/>
        <v>0.3419417165401144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1">
        <f>(1-SUM(J6:J30))</f>
        <v>0</v>
      </c>
      <c r="K31" s="22" t="str">
        <f t="shared" si="4"/>
        <v/>
      </c>
      <c r="L31" s="22">
        <f>(1-SUM(L6:L30))</f>
        <v>-9.8775944113785208E-2</v>
      </c>
      <c r="M31" s="178">
        <f t="shared" si="6"/>
        <v>0</v>
      </c>
      <c r="N31" s="167">
        <f>M31*I83</f>
        <v>0</v>
      </c>
      <c r="P31" s="22"/>
      <c r="Q31" s="237" t="s">
        <v>142</v>
      </c>
      <c r="R31" s="233">
        <f t="shared" si="24"/>
        <v>0</v>
      </c>
      <c r="S31" s="233">
        <f t="shared" si="24"/>
        <v>0</v>
      </c>
      <c r="T31" s="233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9">
        <f>SUM(B6:B30)</f>
        <v>1.4884424410247288</v>
      </c>
      <c r="C32" s="29">
        <f>SUM(C6:C31)</f>
        <v>0.9324736648866685</v>
      </c>
      <c r="D32" s="24">
        <f>SUM(D6:D30)</f>
        <v>31.2998515474623</v>
      </c>
      <c r="E32" s="2"/>
      <c r="F32" s="2"/>
      <c r="H32" s="17"/>
      <c r="I32" s="22">
        <f>SUM(I6:I30)</f>
        <v>17.267447477652453</v>
      </c>
      <c r="J32" s="17"/>
      <c r="L32" s="22">
        <f>SUM(L6:L30)</f>
        <v>1.0987759441137852</v>
      </c>
      <c r="M32" s="23"/>
      <c r="N32" s="56"/>
      <c r="O32" s="2"/>
      <c r="P32" s="22"/>
      <c r="Q32" s="233" t="s">
        <v>143</v>
      </c>
      <c r="R32" s="233">
        <f t="shared" si="24"/>
        <v>0</v>
      </c>
      <c r="S32" s="233">
        <f t="shared" si="24"/>
        <v>0</v>
      </c>
      <c r="T32" s="233">
        <f t="shared" si="24"/>
        <v>0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-1.2413439818155132E-2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50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IF(Poor!A37=0,"",Poor!A37)</f>
        <v>Pig sales: no sold</v>
      </c>
      <c r="B37" s="104">
        <f>IF([1]Summ!$J1072="",0,[1]Summ!$J1072)</f>
        <v>4900</v>
      </c>
      <c r="C37" s="104">
        <f>IF([1]Summ!$K1072="",0,[1]Summ!$K1072)</f>
        <v>0</v>
      </c>
      <c r="D37" s="38">
        <f t="shared" ref="D37:D64" si="25">B37+C37</f>
        <v>4900</v>
      </c>
      <c r="E37" s="75">
        <f>Middle!E37</f>
        <v>0.8</v>
      </c>
      <c r="F37" s="75">
        <f>Middle!F37</f>
        <v>1.18</v>
      </c>
      <c r="G37" s="75">
        <f>Middle!G37</f>
        <v>1.65</v>
      </c>
      <c r="H37" s="24">
        <f t="shared" ref="H37:H52" si="26">(E37*F37)</f>
        <v>0.94399999999999995</v>
      </c>
      <c r="I37" s="39">
        <f t="shared" ref="I37:I52" si="27">D37*H37</f>
        <v>4625.5999999999995</v>
      </c>
      <c r="J37" s="38">
        <f>J91*I$83</f>
        <v>4625.6000000000004</v>
      </c>
      <c r="K37" s="40">
        <f t="shared" ref="K37:K52" si="28">(B37/B$65)</f>
        <v>2.1244770101237834E-2</v>
      </c>
      <c r="L37" s="22">
        <f t="shared" ref="L37:L52" si="29">(K37*H37)</f>
        <v>2.0055062975568513E-2</v>
      </c>
      <c r="M37" s="24">
        <f t="shared" ref="M37:M52" si="30">J37/B$65</f>
        <v>2.0055062975568517E-2</v>
      </c>
      <c r="N37" s="2"/>
      <c r="O37" s="2"/>
      <c r="P37" s="2"/>
      <c r="Q37" s="59"/>
      <c r="R37" s="251"/>
      <c r="S37" s="251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31">1-SUM(Z37,AB37,AD37)</f>
        <v>1</v>
      </c>
      <c r="AG37" s="147">
        <f>$J37*AF37</f>
        <v>4625.6000000000004</v>
      </c>
      <c r="AH37" s="123">
        <f>SUM(Z37,AB37,AD37,AF37)</f>
        <v>1</v>
      </c>
      <c r="AI37" s="112">
        <f>SUM(AA37,AC37,AE37,AG37)</f>
        <v>4625.6000000000004</v>
      </c>
      <c r="AJ37" s="148">
        <f>(AA37+AC37)</f>
        <v>0</v>
      </c>
      <c r="AK37" s="147">
        <f>(AE37+AG37)</f>
        <v>4625.6000000000004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IF(Poor!A38=0,"",Poor!A38)</f>
        <v>Cattle sales - local: no. sold</v>
      </c>
      <c r="B38" s="104">
        <f>IF([1]Summ!$J1073="",0,[1]Summ!$J1073)</f>
        <v>18000</v>
      </c>
      <c r="C38" s="104">
        <f>IF([1]Summ!$K1073="",0,[1]Summ!$K1073)</f>
        <v>0</v>
      </c>
      <c r="D38" s="38">
        <f t="shared" si="25"/>
        <v>18000</v>
      </c>
      <c r="E38" s="75">
        <f>Middle!E38</f>
        <v>0.8</v>
      </c>
      <c r="F38" s="75">
        <f>Middle!F38</f>
        <v>1.18</v>
      </c>
      <c r="G38" s="22">
        <f t="shared" ref="G38:G64" si="32">(G$37)</f>
        <v>1.65</v>
      </c>
      <c r="H38" s="24">
        <f t="shared" si="26"/>
        <v>0.94399999999999995</v>
      </c>
      <c r="I38" s="39">
        <f t="shared" si="27"/>
        <v>16992</v>
      </c>
      <c r="J38" s="38">
        <f t="shared" ref="J38:J64" si="33">J92*I$83</f>
        <v>16992.000000000004</v>
      </c>
      <c r="K38" s="40">
        <f t="shared" si="28"/>
        <v>7.8042012616792042E-2</v>
      </c>
      <c r="L38" s="22">
        <f t="shared" si="29"/>
        <v>7.367165991025168E-2</v>
      </c>
      <c r="M38" s="24">
        <f t="shared" si="30"/>
        <v>7.3671659910251708E-2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31"/>
        <v>1</v>
      </c>
      <c r="AG38" s="147">
        <f t="shared" ref="AG38:AG64" si="34">$J38*AF38</f>
        <v>16992.000000000004</v>
      </c>
      <c r="AH38" s="123">
        <f t="shared" ref="AH38:AI58" si="35">SUM(Z38,AB38,AD38,AF38)</f>
        <v>1</v>
      </c>
      <c r="AI38" s="112">
        <f t="shared" si="35"/>
        <v>16992.000000000004</v>
      </c>
      <c r="AJ38" s="148">
        <f t="shared" ref="AJ38:AJ64" si="36">(AA38+AC38)</f>
        <v>0</v>
      </c>
      <c r="AK38" s="147">
        <f t="shared" ref="AK38:AK64" si="37">(AE38+AG38)</f>
        <v>16992.000000000004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IF(Poor!A39=0,"",Poor!A39)</f>
        <v>Goat sales - local: no. sold</v>
      </c>
      <c r="B39" s="104">
        <f>IF([1]Summ!$J1074="",0,[1]Summ!$J1074)</f>
        <v>2250</v>
      </c>
      <c r="C39" s="104">
        <f>IF([1]Summ!$K1074="",0,[1]Summ!$K1074)</f>
        <v>-750</v>
      </c>
      <c r="D39" s="38">
        <f t="shared" si="25"/>
        <v>1500</v>
      </c>
      <c r="E39" s="75">
        <f>Middle!E39</f>
        <v>0.8</v>
      </c>
      <c r="F39" s="75">
        <f>Middle!F39</f>
        <v>1.18</v>
      </c>
      <c r="G39" s="22">
        <f t="shared" si="32"/>
        <v>1.65</v>
      </c>
      <c r="H39" s="24">
        <f t="shared" si="26"/>
        <v>0.94399999999999995</v>
      </c>
      <c r="I39" s="39">
        <f t="shared" si="27"/>
        <v>1416</v>
      </c>
      <c r="J39" s="38">
        <f t="shared" si="33"/>
        <v>2132.7887153912543</v>
      </c>
      <c r="K39" s="40">
        <f t="shared" si="28"/>
        <v>9.7552515770990052E-3</v>
      </c>
      <c r="L39" s="22">
        <f t="shared" si="29"/>
        <v>9.20895748878146E-3</v>
      </c>
      <c r="M39" s="24">
        <f t="shared" si="30"/>
        <v>9.2470624353064423E-3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18">
        <f>X8</f>
        <v>1</v>
      </c>
      <c r="Y39" s="110"/>
      <c r="Z39" s="122">
        <f>Z8</f>
        <v>0.77510991760463255</v>
      </c>
      <c r="AA39" s="147">
        <f>$J39*Z39</f>
        <v>1653.1456854550052</v>
      </c>
      <c r="AB39" s="122">
        <f>AB8</f>
        <v>0.22489008239536748</v>
      </c>
      <c r="AC39" s="147">
        <f>$J39*AB39</f>
        <v>479.64302993624915</v>
      </c>
      <c r="AD39" s="122">
        <f>AD8</f>
        <v>0</v>
      </c>
      <c r="AE39" s="147">
        <f>$J39*AD39</f>
        <v>0</v>
      </c>
      <c r="AF39" s="122">
        <f t="shared" si="31"/>
        <v>0</v>
      </c>
      <c r="AG39" s="147">
        <f t="shared" si="34"/>
        <v>0</v>
      </c>
      <c r="AH39" s="123">
        <f t="shared" si="35"/>
        <v>1</v>
      </c>
      <c r="AI39" s="112">
        <f t="shared" si="35"/>
        <v>2132.7887153912543</v>
      </c>
      <c r="AJ39" s="148">
        <f t="shared" si="36"/>
        <v>2132.7887153912543</v>
      </c>
      <c r="AK39" s="147">
        <f t="shared" si="37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IF(Poor!A40=0,"",Poor!A40)</f>
        <v>Maize: kg produced</v>
      </c>
      <c r="B40" s="104">
        <f>IF([1]Summ!$J1075="",0,[1]Summ!$J1075)</f>
        <v>3000</v>
      </c>
      <c r="C40" s="104">
        <f>IF([1]Summ!$K1075="",0,[1]Summ!$K1075)</f>
        <v>-3000</v>
      </c>
      <c r="D40" s="38">
        <f t="shared" si="25"/>
        <v>0</v>
      </c>
      <c r="E40" s="75">
        <f>Middle!E40</f>
        <v>1.0900000000000001</v>
      </c>
      <c r="F40" s="75">
        <f>Middle!F40</f>
        <v>1.4</v>
      </c>
      <c r="G40" s="22">
        <f t="shared" si="32"/>
        <v>1.65</v>
      </c>
      <c r="H40" s="24">
        <f t="shared" si="26"/>
        <v>1.526</v>
      </c>
      <c r="I40" s="39">
        <f t="shared" si="27"/>
        <v>0</v>
      </c>
      <c r="J40" s="38">
        <f t="shared" si="33"/>
        <v>4634.8287274875147</v>
      </c>
      <c r="K40" s="40">
        <f t="shared" si="28"/>
        <v>1.3007002102798672E-2</v>
      </c>
      <c r="L40" s="22">
        <f t="shared" si="29"/>
        <v>1.9848685208870776E-2</v>
      </c>
      <c r="M40" s="24">
        <f t="shared" si="30"/>
        <v>2.0095075668180602E-2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18">
        <f>X9</f>
        <v>1</v>
      </c>
      <c r="Y40" s="110"/>
      <c r="Z40" s="122">
        <f>Z9</f>
        <v>0</v>
      </c>
      <c r="AA40" s="147">
        <f>$J40*Z40</f>
        <v>0</v>
      </c>
      <c r="AB40" s="122">
        <f>AB9</f>
        <v>0</v>
      </c>
      <c r="AC40" s="147">
        <f>$J40*AB40</f>
        <v>0</v>
      </c>
      <c r="AD40" s="122">
        <f>AD9</f>
        <v>0</v>
      </c>
      <c r="AE40" s="147">
        <f>$J40*AD40</f>
        <v>0</v>
      </c>
      <c r="AF40" s="122">
        <f t="shared" si="31"/>
        <v>1</v>
      </c>
      <c r="AG40" s="147">
        <f t="shared" si="34"/>
        <v>4634.8287274875147</v>
      </c>
      <c r="AH40" s="123">
        <f t="shared" si="35"/>
        <v>1</v>
      </c>
      <c r="AI40" s="112">
        <f t="shared" si="35"/>
        <v>4634.8287274875147</v>
      </c>
      <c r="AJ40" s="148">
        <f t="shared" si="36"/>
        <v>0</v>
      </c>
      <c r="AK40" s="147">
        <f t="shared" si="37"/>
        <v>4634.8287274875147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IF(Poor!A41=0,"",Poor!A41)</f>
        <v>Maize (irrigated): kg produced</v>
      </c>
      <c r="B41" s="104">
        <f>IF([1]Summ!$J1076="",0,[1]Summ!$J1076)</f>
        <v>300</v>
      </c>
      <c r="C41" s="104">
        <f>IF([1]Summ!$K1076="",0,[1]Summ!$K1076)</f>
        <v>-300</v>
      </c>
      <c r="D41" s="38">
        <f t="shared" si="25"/>
        <v>0</v>
      </c>
      <c r="E41" s="75">
        <f>Middle!E41</f>
        <v>1.0900000000000001</v>
      </c>
      <c r="F41" s="75">
        <f>Middle!F41</f>
        <v>1.4</v>
      </c>
      <c r="G41" s="22">
        <f t="shared" si="32"/>
        <v>1.65</v>
      </c>
      <c r="H41" s="24">
        <f t="shared" si="26"/>
        <v>1.526</v>
      </c>
      <c r="I41" s="39">
        <f t="shared" si="27"/>
        <v>0</v>
      </c>
      <c r="J41" s="38">
        <f t="shared" si="33"/>
        <v>463.48287274875139</v>
      </c>
      <c r="K41" s="40">
        <f t="shared" si="28"/>
        <v>1.3007002102798674E-3</v>
      </c>
      <c r="L41" s="22">
        <f t="shared" si="29"/>
        <v>1.9848685208870777E-3</v>
      </c>
      <c r="M41" s="24">
        <f t="shared" si="30"/>
        <v>2.0095075668180597E-3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18">
        <f>X11</f>
        <v>1</v>
      </c>
      <c r="Y41" s="110"/>
      <c r="Z41" s="122">
        <f>Z11</f>
        <v>0.77510991760463255</v>
      </c>
      <c r="AA41" s="147">
        <f>$J41*Z41</f>
        <v>359.25017130744305</v>
      </c>
      <c r="AB41" s="122">
        <f>AB11</f>
        <v>0.22489008239536745</v>
      </c>
      <c r="AC41" s="147">
        <f>$J41*AB41</f>
        <v>104.23270144130831</v>
      </c>
      <c r="AD41" s="122">
        <f>AD11</f>
        <v>0</v>
      </c>
      <c r="AE41" s="147">
        <f>$J41*AD41</f>
        <v>0</v>
      </c>
      <c r="AF41" s="122">
        <f t="shared" si="31"/>
        <v>0</v>
      </c>
      <c r="AG41" s="147">
        <f t="shared" si="34"/>
        <v>0</v>
      </c>
      <c r="AH41" s="123">
        <f t="shared" si="35"/>
        <v>1</v>
      </c>
      <c r="AI41" s="112">
        <f t="shared" si="35"/>
        <v>463.48287274875133</v>
      </c>
      <c r="AJ41" s="148">
        <f t="shared" si="36"/>
        <v>463.48287274875133</v>
      </c>
      <c r="AK41" s="147">
        <f t="shared" si="37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IF(Poor!A42=0,"",Poor!A42)</f>
        <v>Beans season 2: kg produced</v>
      </c>
      <c r="B42" s="104">
        <f>IF([1]Summ!$J1077="",0,[1]Summ!$J1077)</f>
        <v>2400</v>
      </c>
      <c r="C42" s="104">
        <f>IF([1]Summ!$K1077="",0,[1]Summ!$K1077)</f>
        <v>-2400</v>
      </c>
      <c r="D42" s="38">
        <f t="shared" si="25"/>
        <v>0</v>
      </c>
      <c r="E42" s="75">
        <f>Middle!E42</f>
        <v>1</v>
      </c>
      <c r="F42" s="75">
        <f>Middle!F42</f>
        <v>1.4</v>
      </c>
      <c r="G42" s="22">
        <f t="shared" si="32"/>
        <v>1.65</v>
      </c>
      <c r="H42" s="24">
        <f t="shared" si="26"/>
        <v>1.4</v>
      </c>
      <c r="I42" s="39">
        <f t="shared" si="27"/>
        <v>0</v>
      </c>
      <c r="J42" s="38">
        <f t="shared" si="33"/>
        <v>3401.7091577890014</v>
      </c>
      <c r="K42" s="40">
        <f t="shared" si="28"/>
        <v>1.0405601682238939E-2</v>
      </c>
      <c r="L42" s="22">
        <f t="shared" si="29"/>
        <v>1.4567842355134515E-2</v>
      </c>
      <c r="M42" s="24">
        <f t="shared" si="30"/>
        <v>1.4748679389490349E-2</v>
      </c>
      <c r="N42" s="2"/>
      <c r="O42" s="2"/>
      <c r="P42" s="2"/>
      <c r="Q42" s="41"/>
      <c r="R42" s="41"/>
      <c r="S42" s="253"/>
      <c r="T42" s="253"/>
      <c r="U42" s="56"/>
      <c r="V42" s="56"/>
      <c r="W42" s="115"/>
      <c r="X42" s="118"/>
      <c r="Y42" s="110"/>
      <c r="Z42" s="156">
        <f>Poor!Z42</f>
        <v>0.25</v>
      </c>
      <c r="AA42" s="147">
        <f t="shared" ref="AA42:AA64" si="38">$J42*Z42</f>
        <v>850.42728944725036</v>
      </c>
      <c r="AB42" s="156">
        <f>Poor!AB42</f>
        <v>0</v>
      </c>
      <c r="AC42" s="147">
        <f t="shared" ref="AC42:AC64" si="39">$J42*AB42</f>
        <v>0</v>
      </c>
      <c r="AD42" s="156">
        <f>Poor!AD42</f>
        <v>0.5</v>
      </c>
      <c r="AE42" s="147">
        <f t="shared" ref="AE42:AE64" si="40">$J42*AD42</f>
        <v>1700.8545788945007</v>
      </c>
      <c r="AF42" s="122">
        <f t="shared" si="31"/>
        <v>0.25</v>
      </c>
      <c r="AG42" s="147">
        <f t="shared" si="34"/>
        <v>850.42728944725036</v>
      </c>
      <c r="AH42" s="123">
        <f t="shared" si="35"/>
        <v>1</v>
      </c>
      <c r="AI42" s="112">
        <f t="shared" si="35"/>
        <v>3401.7091577890014</v>
      </c>
      <c r="AJ42" s="148">
        <f t="shared" si="36"/>
        <v>850.42728944725036</v>
      </c>
      <c r="AK42" s="147">
        <f t="shared" si="37"/>
        <v>2551.2818683417509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IF(Poor!A43=0,"",Poor!A43)</f>
        <v>Other root crops (sweet potato): no. local meas</v>
      </c>
      <c r="B43" s="104">
        <f>IF([1]Summ!$J1078="",0,[1]Summ!$J1078)</f>
        <v>4000</v>
      </c>
      <c r="C43" s="104">
        <f>IF([1]Summ!$K1078="",0,[1]Summ!$K1078)</f>
        <v>-4000</v>
      </c>
      <c r="D43" s="38">
        <f t="shared" si="25"/>
        <v>0</v>
      </c>
      <c r="E43" s="75">
        <f>Middle!E43</f>
        <v>1</v>
      </c>
      <c r="F43" s="75">
        <f>Middle!F43</f>
        <v>1.4</v>
      </c>
      <c r="G43" s="22">
        <f t="shared" si="32"/>
        <v>1.65</v>
      </c>
      <c r="H43" s="24">
        <f t="shared" si="26"/>
        <v>1.4</v>
      </c>
      <c r="I43" s="39">
        <f t="shared" si="27"/>
        <v>0</v>
      </c>
      <c r="J43" s="38">
        <f t="shared" si="33"/>
        <v>5669.5152629816694</v>
      </c>
      <c r="K43" s="40">
        <f t="shared" si="28"/>
        <v>1.7342669470398232E-2</v>
      </c>
      <c r="L43" s="22">
        <f t="shared" si="29"/>
        <v>2.4279737258557525E-2</v>
      </c>
      <c r="M43" s="24">
        <f t="shared" si="30"/>
        <v>2.4581132315817249E-2</v>
      </c>
      <c r="N43" s="2"/>
      <c r="O43" s="2"/>
      <c r="P43" s="2"/>
      <c r="Q43" s="41"/>
      <c r="R43" s="41"/>
      <c r="S43" s="220"/>
      <c r="T43" s="220"/>
      <c r="U43" s="56"/>
      <c r="V43" s="56"/>
      <c r="W43" s="115"/>
      <c r="X43" s="118"/>
      <c r="Y43" s="110"/>
      <c r="Z43" s="156">
        <f>Poor!Z43</f>
        <v>0.25</v>
      </c>
      <c r="AA43" s="147">
        <f t="shared" si="38"/>
        <v>1417.3788157454173</v>
      </c>
      <c r="AB43" s="156">
        <f>Poor!AB43</f>
        <v>0.25</v>
      </c>
      <c r="AC43" s="147">
        <f t="shared" si="39"/>
        <v>1417.3788157454173</v>
      </c>
      <c r="AD43" s="156">
        <f>Poor!AD43</f>
        <v>0.25</v>
      </c>
      <c r="AE43" s="147">
        <f t="shared" si="40"/>
        <v>1417.3788157454173</v>
      </c>
      <c r="AF43" s="122">
        <f t="shared" si="31"/>
        <v>0.25</v>
      </c>
      <c r="AG43" s="147">
        <f t="shared" si="34"/>
        <v>1417.3788157454173</v>
      </c>
      <c r="AH43" s="123">
        <f t="shared" si="35"/>
        <v>1</v>
      </c>
      <c r="AI43" s="112">
        <f t="shared" si="35"/>
        <v>5669.5152629816694</v>
      </c>
      <c r="AJ43" s="148">
        <f t="shared" si="36"/>
        <v>2834.7576314908347</v>
      </c>
      <c r="AK43" s="147">
        <f t="shared" si="37"/>
        <v>2834.7576314908347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IF(Poor!A44=0,"",Poor!A44)</f>
        <v>Groundnuts (dry): no. local meas</v>
      </c>
      <c r="B44" s="104">
        <f>IF([1]Summ!$J1079="",0,[1]Summ!$J1079)</f>
        <v>1200</v>
      </c>
      <c r="C44" s="104">
        <f>IF([1]Summ!$K1079="",0,[1]Summ!$K1079)</f>
        <v>-1200</v>
      </c>
      <c r="D44" s="38">
        <f t="shared" si="25"/>
        <v>0</v>
      </c>
      <c r="E44" s="75">
        <f>Middle!E44</f>
        <v>1</v>
      </c>
      <c r="F44" s="75">
        <f>Middle!F44</f>
        <v>1.4</v>
      </c>
      <c r="G44" s="22">
        <f t="shared" si="32"/>
        <v>1.65</v>
      </c>
      <c r="H44" s="24">
        <f t="shared" si="26"/>
        <v>1.4</v>
      </c>
      <c r="I44" s="39">
        <f t="shared" si="27"/>
        <v>0</v>
      </c>
      <c r="J44" s="38">
        <f t="shared" si="33"/>
        <v>1700.8545788945007</v>
      </c>
      <c r="K44" s="40">
        <f t="shared" si="28"/>
        <v>5.2028008411194697E-3</v>
      </c>
      <c r="L44" s="22">
        <f t="shared" si="29"/>
        <v>7.2839211775672574E-3</v>
      </c>
      <c r="M44" s="24">
        <f t="shared" si="30"/>
        <v>7.3743396947451743E-3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56">
        <f>Poor!Z44</f>
        <v>0.25</v>
      </c>
      <c r="AA44" s="147">
        <f t="shared" si="38"/>
        <v>425.21364472362518</v>
      </c>
      <c r="AB44" s="156">
        <f>Poor!AB44</f>
        <v>0.25</v>
      </c>
      <c r="AC44" s="147">
        <f t="shared" si="39"/>
        <v>425.21364472362518</v>
      </c>
      <c r="AD44" s="156">
        <f>Poor!AD44</f>
        <v>0.25</v>
      </c>
      <c r="AE44" s="147">
        <f t="shared" si="40"/>
        <v>425.21364472362518</v>
      </c>
      <c r="AF44" s="122">
        <f t="shared" si="31"/>
        <v>0.25</v>
      </c>
      <c r="AG44" s="147">
        <f t="shared" si="34"/>
        <v>425.21364472362518</v>
      </c>
      <c r="AH44" s="123">
        <f t="shared" si="35"/>
        <v>1</v>
      </c>
      <c r="AI44" s="112">
        <f t="shared" si="35"/>
        <v>1700.8545788945007</v>
      </c>
      <c r="AJ44" s="148">
        <f t="shared" si="36"/>
        <v>850.42728944725036</v>
      </c>
      <c r="AK44" s="147">
        <f t="shared" si="37"/>
        <v>850.42728944725036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IF(Poor!A45=0,"",Poor!A45)</f>
        <v>Other crop: Rape</v>
      </c>
      <c r="B45" s="104">
        <f>IF([1]Summ!$J1080="",0,[1]Summ!$J1080)</f>
        <v>175</v>
      </c>
      <c r="C45" s="104">
        <f>IF([1]Summ!$K1080="",0,[1]Summ!$K1080)</f>
        <v>-175</v>
      </c>
      <c r="D45" s="38">
        <f t="shared" si="25"/>
        <v>0</v>
      </c>
      <c r="E45" s="75">
        <f>Middle!E45</f>
        <v>1</v>
      </c>
      <c r="F45" s="75">
        <f>Middle!F45</f>
        <v>1.4</v>
      </c>
      <c r="G45" s="22">
        <f t="shared" si="32"/>
        <v>1.65</v>
      </c>
      <c r="H45" s="24">
        <f t="shared" si="26"/>
        <v>1.4</v>
      </c>
      <c r="I45" s="39">
        <f t="shared" si="27"/>
        <v>0</v>
      </c>
      <c r="J45" s="38">
        <f t="shared" si="33"/>
        <v>248.04129275544804</v>
      </c>
      <c r="K45" s="40">
        <f t="shared" si="28"/>
        <v>7.5874178932992256E-4</v>
      </c>
      <c r="L45" s="22">
        <f t="shared" si="29"/>
        <v>1.0622385050618915E-3</v>
      </c>
      <c r="M45" s="24">
        <f t="shared" si="30"/>
        <v>1.0754245388170046E-3</v>
      </c>
      <c r="N45" s="2"/>
      <c r="O45" s="2"/>
      <c r="P45" s="2"/>
      <c r="Q45" s="254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38"/>
        <v>62.01032318886201</v>
      </c>
      <c r="AB45" s="156">
        <f>Poor!AB45</f>
        <v>0.25</v>
      </c>
      <c r="AC45" s="147">
        <f t="shared" si="39"/>
        <v>62.01032318886201</v>
      </c>
      <c r="AD45" s="156">
        <f>Poor!AD45</f>
        <v>0.25</v>
      </c>
      <c r="AE45" s="147">
        <f t="shared" si="40"/>
        <v>62.01032318886201</v>
      </c>
      <c r="AF45" s="122">
        <f t="shared" si="31"/>
        <v>0.25</v>
      </c>
      <c r="AG45" s="147">
        <f t="shared" si="34"/>
        <v>62.01032318886201</v>
      </c>
      <c r="AH45" s="123">
        <f t="shared" si="35"/>
        <v>1</v>
      </c>
      <c r="AI45" s="112">
        <f t="shared" si="35"/>
        <v>248.04129275544804</v>
      </c>
      <c r="AJ45" s="148">
        <f t="shared" si="36"/>
        <v>124.02064637772402</v>
      </c>
      <c r="AK45" s="147">
        <f t="shared" si="37"/>
        <v>124.02064637772402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IF(Poor!A46=0,"",Poor!A46)</f>
        <v>Other cashcrop (cabbage): kg produced</v>
      </c>
      <c r="B46" s="104">
        <f>IF([1]Summ!$J1081="",0,[1]Summ!$J1081)</f>
        <v>800</v>
      </c>
      <c r="C46" s="104">
        <f>IF([1]Summ!$K1081="",0,[1]Summ!$K1081)</f>
        <v>0</v>
      </c>
      <c r="D46" s="38">
        <f t="shared" si="25"/>
        <v>800</v>
      </c>
      <c r="E46" s="75">
        <f>Middle!E46</f>
        <v>1</v>
      </c>
      <c r="F46" s="75">
        <f>Middle!F46</f>
        <v>1.4</v>
      </c>
      <c r="G46" s="22">
        <f t="shared" si="32"/>
        <v>1.65</v>
      </c>
      <c r="H46" s="24">
        <f t="shared" si="26"/>
        <v>1.4</v>
      </c>
      <c r="I46" s="39">
        <f t="shared" si="27"/>
        <v>1120</v>
      </c>
      <c r="J46" s="38">
        <f t="shared" si="33"/>
        <v>1120</v>
      </c>
      <c r="K46" s="40">
        <f t="shared" si="28"/>
        <v>3.468533894079646E-3</v>
      </c>
      <c r="L46" s="22">
        <f t="shared" si="29"/>
        <v>4.8559474517115044E-3</v>
      </c>
      <c r="M46" s="24">
        <f t="shared" si="30"/>
        <v>4.8559474517115044E-3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38"/>
        <v>280</v>
      </c>
      <c r="AB46" s="156">
        <f>Poor!AB46</f>
        <v>0.25</v>
      </c>
      <c r="AC46" s="147">
        <f t="shared" si="39"/>
        <v>280</v>
      </c>
      <c r="AD46" s="156">
        <f>Poor!AD46</f>
        <v>0.25</v>
      </c>
      <c r="AE46" s="147">
        <f t="shared" si="40"/>
        <v>280</v>
      </c>
      <c r="AF46" s="122">
        <f t="shared" si="31"/>
        <v>0.25</v>
      </c>
      <c r="AG46" s="147">
        <f t="shared" si="34"/>
        <v>280</v>
      </c>
      <c r="AH46" s="123">
        <f t="shared" si="35"/>
        <v>1</v>
      </c>
      <c r="AI46" s="112">
        <f t="shared" si="35"/>
        <v>1120</v>
      </c>
      <c r="AJ46" s="148">
        <f t="shared" si="36"/>
        <v>560</v>
      </c>
      <c r="AK46" s="147">
        <f t="shared" si="37"/>
        <v>560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IF(Poor!A47=0,"",Poor!A47)</f>
        <v>FISHING -- see worksheet Data 3</v>
      </c>
      <c r="B47" s="104">
        <f>IF([1]Summ!$J1082="",0,[1]Summ!$J1082)</f>
        <v>0</v>
      </c>
      <c r="C47" s="104">
        <f>IF([1]Summ!$K1082="",0,[1]Summ!$K1082)</f>
        <v>0</v>
      </c>
      <c r="D47" s="38">
        <f t="shared" si="25"/>
        <v>0</v>
      </c>
      <c r="E47" s="75">
        <f>Middle!E47</f>
        <v>1</v>
      </c>
      <c r="F47" s="75">
        <f>Middle!F47</f>
        <v>1.18</v>
      </c>
      <c r="G47" s="22">
        <f t="shared" si="32"/>
        <v>1.65</v>
      </c>
      <c r="H47" s="24">
        <f t="shared" si="26"/>
        <v>1.18</v>
      </c>
      <c r="I47" s="39">
        <f t="shared" si="27"/>
        <v>0</v>
      </c>
      <c r="J47" s="38">
        <f t="shared" si="33"/>
        <v>0</v>
      </c>
      <c r="K47" s="40">
        <f t="shared" si="28"/>
        <v>0</v>
      </c>
      <c r="L47" s="22">
        <f t="shared" si="29"/>
        <v>0</v>
      </c>
      <c r="M47" s="24">
        <f t="shared" si="30"/>
        <v>0</v>
      </c>
      <c r="N47" s="2"/>
      <c r="O47" s="2"/>
      <c r="P47" s="2"/>
      <c r="R47" s="242"/>
      <c r="U47" s="56"/>
      <c r="V47" s="56"/>
      <c r="W47" s="110"/>
      <c r="X47" s="118"/>
      <c r="Y47" s="110"/>
      <c r="Z47" s="156">
        <f>Poor!Z47</f>
        <v>0.25</v>
      </c>
      <c r="AA47" s="147">
        <f t="shared" si="38"/>
        <v>0</v>
      </c>
      <c r="AB47" s="156">
        <f>Poor!AB47</f>
        <v>0.25</v>
      </c>
      <c r="AC47" s="147">
        <f t="shared" si="39"/>
        <v>0</v>
      </c>
      <c r="AD47" s="156">
        <f>Poor!AD47</f>
        <v>0.25</v>
      </c>
      <c r="AE47" s="147">
        <f t="shared" si="40"/>
        <v>0</v>
      </c>
      <c r="AF47" s="122">
        <f t="shared" si="31"/>
        <v>0.25</v>
      </c>
      <c r="AG47" s="147">
        <f t="shared" si="34"/>
        <v>0</v>
      </c>
      <c r="AH47" s="123">
        <f t="shared" si="35"/>
        <v>1</v>
      </c>
      <c r="AI47" s="112">
        <f t="shared" si="35"/>
        <v>0</v>
      </c>
      <c r="AJ47" s="148">
        <f t="shared" si="36"/>
        <v>0</v>
      </c>
      <c r="AK47" s="147">
        <f t="shared" si="37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IF(Poor!A48=0,"",Poor!A48)</f>
        <v>WILD FOODS -- see worksheet Data 3</v>
      </c>
      <c r="B48" s="104">
        <f>IF([1]Summ!$J1083="",0,[1]Summ!$J1083)</f>
        <v>0</v>
      </c>
      <c r="C48" s="104">
        <f>IF([1]Summ!$K1083="",0,[1]Summ!$K1083)</f>
        <v>0</v>
      </c>
      <c r="D48" s="38">
        <f t="shared" si="25"/>
        <v>0</v>
      </c>
      <c r="E48" s="75">
        <f>Middle!E48</f>
        <v>1</v>
      </c>
      <c r="F48" s="75">
        <f>Middle!F48</f>
        <v>1.18</v>
      </c>
      <c r="G48" s="22">
        <f t="shared" si="32"/>
        <v>1.65</v>
      </c>
      <c r="H48" s="24">
        <f t="shared" si="26"/>
        <v>1.18</v>
      </c>
      <c r="I48" s="39">
        <f t="shared" si="27"/>
        <v>0</v>
      </c>
      <c r="J48" s="38">
        <f t="shared" si="33"/>
        <v>0</v>
      </c>
      <c r="K48" s="40">
        <f t="shared" si="28"/>
        <v>0</v>
      </c>
      <c r="L48" s="22">
        <f t="shared" si="29"/>
        <v>0</v>
      </c>
      <c r="M48" s="24">
        <f t="shared" si="30"/>
        <v>0</v>
      </c>
      <c r="N48" s="2"/>
      <c r="O48" s="2"/>
      <c r="P48" s="2"/>
      <c r="Q48" s="254"/>
      <c r="R48" s="251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38"/>
        <v>0</v>
      </c>
      <c r="AB48" s="156">
        <f>Poor!AB48</f>
        <v>0.25</v>
      </c>
      <c r="AC48" s="147">
        <f t="shared" si="39"/>
        <v>0</v>
      </c>
      <c r="AD48" s="156">
        <f>Poor!AD48</f>
        <v>0.25</v>
      </c>
      <c r="AE48" s="147">
        <f t="shared" si="40"/>
        <v>0</v>
      </c>
      <c r="AF48" s="122">
        <f t="shared" si="31"/>
        <v>0.25</v>
      </c>
      <c r="AG48" s="147">
        <f t="shared" si="34"/>
        <v>0</v>
      </c>
      <c r="AH48" s="123">
        <f t="shared" si="35"/>
        <v>1</v>
      </c>
      <c r="AI48" s="112">
        <f t="shared" si="35"/>
        <v>0</v>
      </c>
      <c r="AJ48" s="148">
        <f t="shared" si="36"/>
        <v>0</v>
      </c>
      <c r="AK48" s="147">
        <f t="shared" si="37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IF(Poor!A49=0,"",Poor!A49)</f>
        <v>Agricultural casual work -- see Data2</v>
      </c>
      <c r="B49" s="104">
        <f>IF([1]Summ!$J1084="",0,[1]Summ!$J1084)</f>
        <v>0</v>
      </c>
      <c r="C49" s="104">
        <f>IF([1]Summ!$K1084="",0,[1]Summ!$K1084)</f>
        <v>0</v>
      </c>
      <c r="D49" s="38">
        <f t="shared" si="25"/>
        <v>0</v>
      </c>
      <c r="E49" s="75">
        <f>Middle!E49</f>
        <v>1</v>
      </c>
      <c r="F49" s="75">
        <f>Middle!F49</f>
        <v>1.1100000000000001</v>
      </c>
      <c r="G49" s="22">
        <f t="shared" si="32"/>
        <v>1.65</v>
      </c>
      <c r="H49" s="24">
        <f t="shared" si="26"/>
        <v>1.1100000000000001</v>
      </c>
      <c r="I49" s="39">
        <f t="shared" si="27"/>
        <v>0</v>
      </c>
      <c r="J49" s="38">
        <f t="shared" si="33"/>
        <v>0</v>
      </c>
      <c r="K49" s="40">
        <f t="shared" si="28"/>
        <v>0</v>
      </c>
      <c r="L49" s="22">
        <f t="shared" si="29"/>
        <v>0</v>
      </c>
      <c r="M49" s="24">
        <f t="shared" si="30"/>
        <v>0</v>
      </c>
      <c r="N49" s="2"/>
      <c r="O49" s="2"/>
      <c r="P49" s="2"/>
      <c r="Q49" s="254"/>
      <c r="R49" s="251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38"/>
        <v>0</v>
      </c>
      <c r="AB49" s="156">
        <f>Poor!AB49</f>
        <v>0.25</v>
      </c>
      <c r="AC49" s="147">
        <f t="shared" si="39"/>
        <v>0</v>
      </c>
      <c r="AD49" s="156">
        <f>Poor!AD49</f>
        <v>0.25</v>
      </c>
      <c r="AE49" s="147">
        <f t="shared" si="40"/>
        <v>0</v>
      </c>
      <c r="AF49" s="122">
        <f t="shared" si="31"/>
        <v>0.25</v>
      </c>
      <c r="AG49" s="147">
        <f t="shared" si="34"/>
        <v>0</v>
      </c>
      <c r="AH49" s="123">
        <f t="shared" si="35"/>
        <v>1</v>
      </c>
      <c r="AI49" s="112">
        <f t="shared" si="35"/>
        <v>0</v>
      </c>
      <c r="AJ49" s="148">
        <f t="shared" si="36"/>
        <v>0</v>
      </c>
      <c r="AK49" s="147">
        <f t="shared" si="37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IF(Poor!A50=0,"",Poor!A50)</f>
        <v>Construction casual work -- see Data2</v>
      </c>
      <c r="B50" s="104">
        <f>IF([1]Summ!$J1085="",0,[1]Summ!$J1085)</f>
        <v>0</v>
      </c>
      <c r="C50" s="104">
        <f>IF([1]Summ!$K1085="",0,[1]Summ!$K1085)</f>
        <v>0</v>
      </c>
      <c r="D50" s="38">
        <f t="shared" si="25"/>
        <v>0</v>
      </c>
      <c r="E50" s="75">
        <f>Middle!E50</f>
        <v>1</v>
      </c>
      <c r="F50" s="75">
        <f>Middle!F50</f>
        <v>1.1100000000000001</v>
      </c>
      <c r="G50" s="22">
        <f t="shared" si="32"/>
        <v>1.65</v>
      </c>
      <c r="H50" s="24">
        <f t="shared" si="26"/>
        <v>1.1100000000000001</v>
      </c>
      <c r="I50" s="39">
        <f t="shared" si="27"/>
        <v>0</v>
      </c>
      <c r="J50" s="38">
        <f t="shared" si="33"/>
        <v>0</v>
      </c>
      <c r="K50" s="40">
        <f t="shared" si="28"/>
        <v>0</v>
      </c>
      <c r="L50" s="22">
        <f t="shared" si="29"/>
        <v>0</v>
      </c>
      <c r="M50" s="24">
        <f t="shared" si="30"/>
        <v>0</v>
      </c>
      <c r="N50" s="2"/>
      <c r="O50" s="2"/>
      <c r="P50" s="2"/>
      <c r="Q50" s="254"/>
      <c r="R50" s="251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38"/>
        <v>0</v>
      </c>
      <c r="AB50" s="156">
        <f>Poor!AB55</f>
        <v>0.25</v>
      </c>
      <c r="AC50" s="147">
        <f t="shared" si="39"/>
        <v>0</v>
      </c>
      <c r="AD50" s="156">
        <f>Poor!AD55</f>
        <v>0.25</v>
      </c>
      <c r="AE50" s="147">
        <f t="shared" si="40"/>
        <v>0</v>
      </c>
      <c r="AF50" s="122">
        <f t="shared" si="31"/>
        <v>0.25</v>
      </c>
      <c r="AG50" s="147">
        <f t="shared" si="34"/>
        <v>0</v>
      </c>
      <c r="AH50" s="123">
        <f t="shared" si="35"/>
        <v>1</v>
      </c>
      <c r="AI50" s="112">
        <f t="shared" si="35"/>
        <v>0</v>
      </c>
      <c r="AJ50" s="148">
        <f t="shared" si="36"/>
        <v>0</v>
      </c>
      <c r="AK50" s="147">
        <f t="shared" si="37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IF(Poor!A51=0,"",Poor!A51)</f>
        <v>Domestic casual work -- see Data2</v>
      </c>
      <c r="B51" s="104">
        <f>IF([1]Summ!$J1086="",0,[1]Summ!$J1086)</f>
        <v>0</v>
      </c>
      <c r="C51" s="104">
        <f>IF([1]Summ!$K1086="",0,[1]Summ!$K1086)</f>
        <v>0</v>
      </c>
      <c r="D51" s="38">
        <f t="shared" si="25"/>
        <v>0</v>
      </c>
      <c r="E51" s="75">
        <f>Middle!E51</f>
        <v>1</v>
      </c>
      <c r="F51" s="75">
        <f>Middle!F51</f>
        <v>1.1100000000000001</v>
      </c>
      <c r="G51" s="22">
        <f t="shared" si="32"/>
        <v>1.65</v>
      </c>
      <c r="H51" s="24">
        <f t="shared" si="26"/>
        <v>1.1100000000000001</v>
      </c>
      <c r="I51" s="39">
        <f t="shared" si="27"/>
        <v>0</v>
      </c>
      <c r="J51" s="38">
        <f t="shared" si="33"/>
        <v>0</v>
      </c>
      <c r="K51" s="40">
        <f t="shared" si="28"/>
        <v>0</v>
      </c>
      <c r="L51" s="22">
        <f t="shared" si="29"/>
        <v>0</v>
      </c>
      <c r="M51" s="24">
        <f t="shared" si="30"/>
        <v>0</v>
      </c>
      <c r="N51" s="2"/>
      <c r="O51" s="2"/>
      <c r="P51" s="2"/>
      <c r="Q51" s="254"/>
      <c r="R51" s="251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38"/>
        <v>0</v>
      </c>
      <c r="AB51" s="156">
        <f>Poor!AB56</f>
        <v>0.25</v>
      </c>
      <c r="AC51" s="147">
        <f t="shared" si="39"/>
        <v>0</v>
      </c>
      <c r="AD51" s="156">
        <f>Poor!AD56</f>
        <v>0.25</v>
      </c>
      <c r="AE51" s="147">
        <f t="shared" si="40"/>
        <v>0</v>
      </c>
      <c r="AF51" s="122">
        <f t="shared" si="31"/>
        <v>0.25</v>
      </c>
      <c r="AG51" s="147">
        <f t="shared" si="34"/>
        <v>0</v>
      </c>
      <c r="AH51" s="123">
        <f t="shared" si="35"/>
        <v>1</v>
      </c>
      <c r="AI51" s="112">
        <f t="shared" si="35"/>
        <v>0</v>
      </c>
      <c r="AJ51" s="148">
        <f t="shared" si="36"/>
        <v>0</v>
      </c>
      <c r="AK51" s="147">
        <f t="shared" si="37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IF(Poor!A52=0,"",Poor!A52)</f>
        <v>Labour migration: no. people per HH</v>
      </c>
      <c r="B52" s="104">
        <f>IF([1]Summ!$J1087="",0,[1]Summ!$J1087)</f>
        <v>42000</v>
      </c>
      <c r="C52" s="104">
        <f>IF([1]Summ!$K1087="",0,[1]Summ!$K1087)</f>
        <v>0</v>
      </c>
      <c r="D52" s="38">
        <f t="shared" si="25"/>
        <v>42000</v>
      </c>
      <c r="E52" s="75">
        <f>Middle!E52</f>
        <v>0.8</v>
      </c>
      <c r="F52" s="75">
        <f>Middle!F52</f>
        <v>1.18</v>
      </c>
      <c r="G52" s="22">
        <f t="shared" si="32"/>
        <v>1.65</v>
      </c>
      <c r="H52" s="24">
        <f t="shared" si="26"/>
        <v>0.94399999999999995</v>
      </c>
      <c r="I52" s="39">
        <f t="shared" si="27"/>
        <v>39648</v>
      </c>
      <c r="J52" s="38">
        <f t="shared" si="33"/>
        <v>39648</v>
      </c>
      <c r="K52" s="40">
        <f t="shared" si="28"/>
        <v>0.18209802943918144</v>
      </c>
      <c r="L52" s="22">
        <f t="shared" si="29"/>
        <v>0.17190053979058725</v>
      </c>
      <c r="M52" s="24">
        <f t="shared" si="30"/>
        <v>0.17190053979058725</v>
      </c>
      <c r="N52" s="2"/>
      <c r="O52" s="2"/>
      <c r="P52" s="2"/>
      <c r="Q52" s="41"/>
      <c r="R52" s="241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38"/>
        <v>9912</v>
      </c>
      <c r="AB52" s="156">
        <f>Poor!AB57</f>
        <v>0.25</v>
      </c>
      <c r="AC52" s="147">
        <f t="shared" si="39"/>
        <v>9912</v>
      </c>
      <c r="AD52" s="156">
        <f>Poor!AD57</f>
        <v>0.25</v>
      </c>
      <c r="AE52" s="147">
        <f t="shared" si="40"/>
        <v>9912</v>
      </c>
      <c r="AF52" s="122">
        <f t="shared" si="31"/>
        <v>0.25</v>
      </c>
      <c r="AG52" s="147">
        <f t="shared" si="34"/>
        <v>9912</v>
      </c>
      <c r="AH52" s="123">
        <f t="shared" si="35"/>
        <v>1</v>
      </c>
      <c r="AI52" s="112">
        <f t="shared" si="35"/>
        <v>39648</v>
      </c>
      <c r="AJ52" s="148">
        <f t="shared" si="36"/>
        <v>19824</v>
      </c>
      <c r="AK52" s="147">
        <f t="shared" si="37"/>
        <v>19824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IF(Poor!A53=0,"",Poor!A53)</f>
        <v>Formal Employment (e.g. teachers, salaried staff, etc.)</v>
      </c>
      <c r="B53" s="104">
        <f>IF([1]Summ!$J1088="",0,[1]Summ!$J1088)</f>
        <v>144000</v>
      </c>
      <c r="C53" s="104">
        <f>IF([1]Summ!$K1088="",0,[1]Summ!$K1088)</f>
        <v>0</v>
      </c>
      <c r="D53" s="38">
        <f t="shared" si="25"/>
        <v>144000</v>
      </c>
      <c r="E53" s="75">
        <f>Middle!E53</f>
        <v>0.8</v>
      </c>
      <c r="F53" s="75">
        <f>Middle!F53</f>
        <v>1.18</v>
      </c>
      <c r="G53" s="22">
        <f t="shared" si="32"/>
        <v>1.65</v>
      </c>
      <c r="H53" s="24">
        <f t="shared" ref="H53:H64" si="41">(E53*F53)</f>
        <v>0.94399999999999995</v>
      </c>
      <c r="I53" s="39">
        <f t="shared" ref="I53:I64" si="42">D53*H53</f>
        <v>135936</v>
      </c>
      <c r="J53" s="38">
        <f t="shared" si="33"/>
        <v>135936.00000000003</v>
      </c>
      <c r="K53" s="40">
        <f t="shared" ref="K53:K64" si="43">(B53/B$65)</f>
        <v>0.62433610093433634</v>
      </c>
      <c r="L53" s="22">
        <f t="shared" ref="L53:L64" si="44">(K53*H53)</f>
        <v>0.58937327928201344</v>
      </c>
      <c r="M53" s="24">
        <f t="shared" ref="M53:M64" si="45">J53/B$65</f>
        <v>0.58937327928201366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IF(Poor!A54=0,"",Poor!A54)</f>
        <v>Self-employment -- see Data2</v>
      </c>
      <c r="B54" s="104">
        <f>IF([1]Summ!$J1089="",0,[1]Summ!$J1089)</f>
        <v>0</v>
      </c>
      <c r="C54" s="104">
        <f>IF([1]Summ!$K1089="",0,[1]Summ!$K1089)</f>
        <v>0</v>
      </c>
      <c r="D54" s="38">
        <f t="shared" si="25"/>
        <v>0</v>
      </c>
      <c r="E54" s="75">
        <f>Middle!E54</f>
        <v>0.8</v>
      </c>
      <c r="F54" s="75">
        <f>Middle!F54</f>
        <v>1</v>
      </c>
      <c r="G54" s="22">
        <f t="shared" si="32"/>
        <v>1.65</v>
      </c>
      <c r="H54" s="24">
        <f t="shared" si="41"/>
        <v>0.8</v>
      </c>
      <c r="I54" s="39">
        <f t="shared" si="42"/>
        <v>0</v>
      </c>
      <c r="J54" s="38">
        <f t="shared" si="33"/>
        <v>0</v>
      </c>
      <c r="K54" s="40">
        <f t="shared" si="43"/>
        <v>0</v>
      </c>
      <c r="L54" s="22">
        <f t="shared" si="44"/>
        <v>0</v>
      </c>
      <c r="M54" s="24">
        <f t="shared" si="45"/>
        <v>0</v>
      </c>
      <c r="N54" s="2"/>
      <c r="O54" s="2"/>
      <c r="P54" s="2"/>
      <c r="Q54" s="2"/>
      <c r="R54" s="2"/>
      <c r="S54" s="2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IF(Poor!A55=0,"",Poor!A55)</f>
        <v>Small business -- see Data2</v>
      </c>
      <c r="B55" s="104">
        <f>IF([1]Summ!$J1090="",0,[1]Summ!$J1090)</f>
        <v>0</v>
      </c>
      <c r="C55" s="104">
        <f>IF([1]Summ!$K1090="",0,[1]Summ!$K1090)</f>
        <v>0</v>
      </c>
      <c r="D55" s="38">
        <f t="shared" si="25"/>
        <v>0</v>
      </c>
      <c r="E55" s="75">
        <f>Middle!E55</f>
        <v>0.8</v>
      </c>
      <c r="F55" s="75">
        <f>Middle!F55</f>
        <v>1.18</v>
      </c>
      <c r="G55" s="22">
        <f t="shared" si="32"/>
        <v>1.65</v>
      </c>
      <c r="H55" s="24">
        <f t="shared" si="41"/>
        <v>0.94399999999999995</v>
      </c>
      <c r="I55" s="39">
        <f t="shared" si="42"/>
        <v>0</v>
      </c>
      <c r="J55" s="38">
        <f t="shared" si="33"/>
        <v>0</v>
      </c>
      <c r="K55" s="40">
        <f t="shared" si="43"/>
        <v>0</v>
      </c>
      <c r="L55" s="22">
        <f t="shared" si="44"/>
        <v>0</v>
      </c>
      <c r="M55" s="24">
        <f t="shared" si="45"/>
        <v>0</v>
      </c>
      <c r="N55" s="2"/>
      <c r="O55" s="2"/>
      <c r="P55" s="2"/>
      <c r="Q55" s="2"/>
      <c r="R55" s="2"/>
      <c r="S55" s="2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IF(Poor!A56=0,"",Poor!A56)</f>
        <v>Social Cash Transfers -- see Data2</v>
      </c>
      <c r="B56" s="104">
        <f>IF([1]Summ!$J1091="",0,[1]Summ!$J1091)</f>
        <v>7620</v>
      </c>
      <c r="C56" s="104">
        <f>IF([1]Summ!$K1091="",0,[1]Summ!$K1091)</f>
        <v>0</v>
      </c>
      <c r="D56" s="38">
        <f t="shared" si="25"/>
        <v>7620</v>
      </c>
      <c r="E56" s="75">
        <f>Middle!E56</f>
        <v>0</v>
      </c>
      <c r="F56" s="75">
        <f>Middle!F56</f>
        <v>1.18</v>
      </c>
      <c r="G56" s="22">
        <f t="shared" si="32"/>
        <v>1.65</v>
      </c>
      <c r="H56" s="24">
        <f t="shared" si="41"/>
        <v>0</v>
      </c>
      <c r="I56" s="39">
        <f t="shared" si="42"/>
        <v>0</v>
      </c>
      <c r="J56" s="38">
        <f t="shared" si="33"/>
        <v>0</v>
      </c>
      <c r="K56" s="40">
        <f t="shared" si="43"/>
        <v>3.3037785341108628E-2</v>
      </c>
      <c r="L56" s="22">
        <f t="shared" si="44"/>
        <v>0</v>
      </c>
      <c r="M56" s="24">
        <f t="shared" si="45"/>
        <v>0</v>
      </c>
      <c r="N56" s="2"/>
      <c r="O56" s="2"/>
      <c r="P56" s="2"/>
      <c r="Q56" s="2"/>
      <c r="R56" s="2"/>
      <c r="S56" s="2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IF(Poor!A57=0,"",Poor!A57)</f>
        <v>Remittances: no. times per year</v>
      </c>
      <c r="B57" s="104">
        <f>IF([1]Summ!$J1092="",0,[1]Summ!$J1092)</f>
        <v>0</v>
      </c>
      <c r="C57" s="104">
        <f>IF([1]Summ!$K1092="",0,[1]Summ!$K1092)</f>
        <v>0</v>
      </c>
      <c r="D57" s="38">
        <f t="shared" si="25"/>
        <v>0</v>
      </c>
      <c r="E57" s="75">
        <f>Middle!E57</f>
        <v>1</v>
      </c>
      <c r="F57" s="75">
        <f>Middle!F57</f>
        <v>1.1100000000000001</v>
      </c>
      <c r="G57" s="22">
        <f t="shared" si="32"/>
        <v>1.65</v>
      </c>
      <c r="H57" s="24">
        <f t="shared" si="41"/>
        <v>1.1100000000000001</v>
      </c>
      <c r="I57" s="39">
        <f t="shared" si="42"/>
        <v>0</v>
      </c>
      <c r="J57" s="38">
        <f t="shared" si="33"/>
        <v>0</v>
      </c>
      <c r="K57" s="40">
        <f t="shared" si="43"/>
        <v>0</v>
      </c>
      <c r="L57" s="22">
        <f t="shared" si="44"/>
        <v>0</v>
      </c>
      <c r="M57" s="24">
        <f t="shared" si="45"/>
        <v>0</v>
      </c>
      <c r="N57" s="2"/>
      <c r="O57" s="2"/>
      <c r="P57" s="2"/>
      <c r="Q57" s="2"/>
      <c r="R57" s="2"/>
      <c r="S57" s="2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IF(Poor!A58=0,"",Poor!A58)</f>
        <v/>
      </c>
      <c r="B58" s="104">
        <f>IF([1]Summ!$J1093="",0,[1]Summ!$J1093)</f>
        <v>0</v>
      </c>
      <c r="C58" s="104">
        <f>IF([1]Summ!$K1093="",0,[1]Summ!$K1093)</f>
        <v>0</v>
      </c>
      <c r="D58" s="38">
        <f t="shared" si="25"/>
        <v>0</v>
      </c>
      <c r="E58" s="75">
        <f>Middle!E58</f>
        <v>1</v>
      </c>
      <c r="F58" s="75">
        <f>Middle!F58</f>
        <v>1</v>
      </c>
      <c r="G58" s="22">
        <f t="shared" si="32"/>
        <v>1.65</v>
      </c>
      <c r="H58" s="24">
        <f t="shared" si="41"/>
        <v>1</v>
      </c>
      <c r="I58" s="39">
        <f t="shared" si="42"/>
        <v>0</v>
      </c>
      <c r="J58" s="38">
        <f t="shared" si="33"/>
        <v>0</v>
      </c>
      <c r="K58" s="40">
        <f t="shared" si="43"/>
        <v>0</v>
      </c>
      <c r="L58" s="22">
        <f t="shared" si="44"/>
        <v>0</v>
      </c>
      <c r="M58" s="24">
        <f t="shared" si="45"/>
        <v>0</v>
      </c>
      <c r="N58" s="2"/>
      <c r="O58" s="2"/>
      <c r="P58" s="2"/>
      <c r="Q58" s="2"/>
      <c r="R58" s="2"/>
      <c r="S58" s="2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38"/>
        <v>0</v>
      </c>
      <c r="AB58" s="156">
        <f>Poor!AB58</f>
        <v>0.25</v>
      </c>
      <c r="AC58" s="147">
        <f t="shared" si="39"/>
        <v>0</v>
      </c>
      <c r="AD58" s="156">
        <f>Poor!AD58</f>
        <v>0.25</v>
      </c>
      <c r="AE58" s="147">
        <f t="shared" si="40"/>
        <v>0</v>
      </c>
      <c r="AF58" s="122">
        <f t="shared" si="31"/>
        <v>0.25</v>
      </c>
      <c r="AG58" s="147">
        <f t="shared" si="34"/>
        <v>0</v>
      </c>
      <c r="AH58" s="123">
        <f t="shared" si="35"/>
        <v>1</v>
      </c>
      <c r="AI58" s="112">
        <f t="shared" si="35"/>
        <v>0</v>
      </c>
      <c r="AJ58" s="148">
        <f t="shared" si="36"/>
        <v>0</v>
      </c>
      <c r="AK58" s="147">
        <f t="shared" si="37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IF(Poor!A59=0,"",Poor!A59)</f>
        <v/>
      </c>
      <c r="B59" s="104">
        <f>IF([1]Summ!$J1094="",0,[1]Summ!$J1094)</f>
        <v>0</v>
      </c>
      <c r="C59" s="104">
        <f>IF([1]Summ!$K1094="",0,[1]Summ!$K1094)</f>
        <v>0</v>
      </c>
      <c r="D59" s="38">
        <f t="shared" si="25"/>
        <v>0</v>
      </c>
      <c r="E59" s="75">
        <f>Middle!E59</f>
        <v>1</v>
      </c>
      <c r="F59" s="75">
        <f>Middle!F59</f>
        <v>1</v>
      </c>
      <c r="G59" s="22">
        <f t="shared" si="32"/>
        <v>1.65</v>
      </c>
      <c r="H59" s="24">
        <f t="shared" si="41"/>
        <v>1</v>
      </c>
      <c r="I59" s="39">
        <f t="shared" si="42"/>
        <v>0</v>
      </c>
      <c r="J59" s="38">
        <f t="shared" si="33"/>
        <v>0</v>
      </c>
      <c r="K59" s="40">
        <f t="shared" si="43"/>
        <v>0</v>
      </c>
      <c r="L59" s="22">
        <f t="shared" si="44"/>
        <v>0</v>
      </c>
      <c r="M59" s="24">
        <f t="shared" si="45"/>
        <v>0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38"/>
        <v>0</v>
      </c>
      <c r="AB59" s="156">
        <f>Poor!AB59</f>
        <v>0.25</v>
      </c>
      <c r="AC59" s="147">
        <f t="shared" si="39"/>
        <v>0</v>
      </c>
      <c r="AD59" s="156">
        <f>Poor!AD59</f>
        <v>0.25</v>
      </c>
      <c r="AE59" s="147">
        <f t="shared" si="40"/>
        <v>0</v>
      </c>
      <c r="AF59" s="122">
        <f t="shared" si="31"/>
        <v>0.25</v>
      </c>
      <c r="AG59" s="147">
        <f t="shared" si="34"/>
        <v>0</v>
      </c>
      <c r="AH59" s="123">
        <f t="shared" ref="AH59:AI64" si="46">SUM(Z59,AB59,AD59,AF59)</f>
        <v>1</v>
      </c>
      <c r="AI59" s="112">
        <f t="shared" si="46"/>
        <v>0</v>
      </c>
      <c r="AJ59" s="148">
        <f t="shared" si="36"/>
        <v>0</v>
      </c>
      <c r="AK59" s="147">
        <f t="shared" si="37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IF(Poor!A60=0,"",Poor!A60)</f>
        <v/>
      </c>
      <c r="B60" s="104">
        <f>IF([1]Summ!$J1095="",0,[1]Summ!$J1095)</f>
        <v>0</v>
      </c>
      <c r="C60" s="104">
        <f>IF([1]Summ!$K1095="",0,[1]Summ!$K1095)</f>
        <v>0</v>
      </c>
      <c r="D60" s="38">
        <f t="shared" si="25"/>
        <v>0</v>
      </c>
      <c r="E60" s="75">
        <f>Middle!E60</f>
        <v>1</v>
      </c>
      <c r="F60" s="75">
        <f>Middle!F60</f>
        <v>1</v>
      </c>
      <c r="G60" s="22">
        <f t="shared" si="32"/>
        <v>1.65</v>
      </c>
      <c r="H60" s="24">
        <f t="shared" si="41"/>
        <v>1</v>
      </c>
      <c r="I60" s="39">
        <f t="shared" si="42"/>
        <v>0</v>
      </c>
      <c r="J60" s="38">
        <f t="shared" si="33"/>
        <v>0</v>
      </c>
      <c r="K60" s="40">
        <f t="shared" si="43"/>
        <v>0</v>
      </c>
      <c r="L60" s="22">
        <f t="shared" si="44"/>
        <v>0</v>
      </c>
      <c r="M60" s="24">
        <f t="shared" si="45"/>
        <v>0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38"/>
        <v>0</v>
      </c>
      <c r="AB60" s="156">
        <f>Poor!AB60</f>
        <v>0.25</v>
      </c>
      <c r="AC60" s="147">
        <f t="shared" si="39"/>
        <v>0</v>
      </c>
      <c r="AD60" s="156">
        <f>Poor!AD60</f>
        <v>0.25</v>
      </c>
      <c r="AE60" s="147">
        <f t="shared" si="40"/>
        <v>0</v>
      </c>
      <c r="AF60" s="122">
        <f t="shared" si="31"/>
        <v>0.25</v>
      </c>
      <c r="AG60" s="147">
        <f t="shared" si="34"/>
        <v>0</v>
      </c>
      <c r="AH60" s="123">
        <f t="shared" si="46"/>
        <v>1</v>
      </c>
      <c r="AI60" s="112">
        <f t="shared" si="46"/>
        <v>0</v>
      </c>
      <c r="AJ60" s="148">
        <f t="shared" si="36"/>
        <v>0</v>
      </c>
      <c r="AK60" s="147">
        <f t="shared" si="37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IF(Poor!A61=0,"",Poor!A61)</f>
        <v/>
      </c>
      <c r="B61" s="104">
        <f>IF([1]Summ!$J1096="",0,[1]Summ!$J1096)</f>
        <v>0</v>
      </c>
      <c r="C61" s="104">
        <f>IF([1]Summ!$K1096="",0,[1]Summ!$K1096)</f>
        <v>0</v>
      </c>
      <c r="D61" s="38">
        <f t="shared" si="25"/>
        <v>0</v>
      </c>
      <c r="E61" s="75">
        <f>Middle!E61</f>
        <v>1</v>
      </c>
      <c r="F61" s="75">
        <f>Middle!F61</f>
        <v>1</v>
      </c>
      <c r="G61" s="22">
        <f t="shared" si="32"/>
        <v>1.65</v>
      </c>
      <c r="H61" s="24">
        <f t="shared" si="41"/>
        <v>1</v>
      </c>
      <c r="I61" s="39">
        <f t="shared" si="42"/>
        <v>0</v>
      </c>
      <c r="J61" s="38">
        <f t="shared" si="33"/>
        <v>0</v>
      </c>
      <c r="K61" s="40">
        <f t="shared" si="43"/>
        <v>0</v>
      </c>
      <c r="L61" s="22">
        <f t="shared" si="44"/>
        <v>0</v>
      </c>
      <c r="M61" s="24">
        <f t="shared" si="4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38"/>
        <v>0</v>
      </c>
      <c r="AB61" s="156">
        <f>Poor!AB61</f>
        <v>0.25</v>
      </c>
      <c r="AC61" s="147">
        <f t="shared" si="39"/>
        <v>0</v>
      </c>
      <c r="AD61" s="156">
        <f>Poor!AD61</f>
        <v>0.25</v>
      </c>
      <c r="AE61" s="147">
        <f t="shared" si="40"/>
        <v>0</v>
      </c>
      <c r="AF61" s="122">
        <f t="shared" si="31"/>
        <v>0.25</v>
      </c>
      <c r="AG61" s="147">
        <f t="shared" si="34"/>
        <v>0</v>
      </c>
      <c r="AH61" s="123">
        <f t="shared" si="46"/>
        <v>1</v>
      </c>
      <c r="AI61" s="112">
        <f t="shared" si="46"/>
        <v>0</v>
      </c>
      <c r="AJ61" s="148">
        <f t="shared" si="36"/>
        <v>0</v>
      </c>
      <c r="AK61" s="147">
        <f t="shared" si="37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IF(Poor!A62=0,"",Poor!A62)</f>
        <v/>
      </c>
      <c r="B62" s="104">
        <f>IF([1]Summ!$J1097="",0,[1]Summ!$J1097)</f>
        <v>0</v>
      </c>
      <c r="C62" s="104">
        <f>IF([1]Summ!$K1097="",0,[1]Summ!$K1097)</f>
        <v>0</v>
      </c>
      <c r="D62" s="38">
        <f t="shared" si="25"/>
        <v>0</v>
      </c>
      <c r="E62" s="75">
        <f>Middle!E62</f>
        <v>1</v>
      </c>
      <c r="F62" s="75">
        <f>Middle!F62</f>
        <v>1</v>
      </c>
      <c r="G62" s="22">
        <f t="shared" si="32"/>
        <v>1.65</v>
      </c>
      <c r="H62" s="24">
        <f t="shared" si="41"/>
        <v>1</v>
      </c>
      <c r="I62" s="39">
        <f t="shared" si="42"/>
        <v>0</v>
      </c>
      <c r="J62" s="38">
        <f t="shared" si="33"/>
        <v>0</v>
      </c>
      <c r="K62" s="40">
        <f t="shared" si="43"/>
        <v>0</v>
      </c>
      <c r="L62" s="22">
        <f t="shared" si="44"/>
        <v>0</v>
      </c>
      <c r="M62" s="24">
        <f t="shared" si="4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38"/>
        <v>0</v>
      </c>
      <c r="AB62" s="156">
        <f>Poor!AB62</f>
        <v>0.25</v>
      </c>
      <c r="AC62" s="147">
        <f t="shared" si="39"/>
        <v>0</v>
      </c>
      <c r="AD62" s="156">
        <f>Poor!AD62</f>
        <v>0.25</v>
      </c>
      <c r="AE62" s="147">
        <f t="shared" si="40"/>
        <v>0</v>
      </c>
      <c r="AF62" s="122">
        <f t="shared" si="31"/>
        <v>0.25</v>
      </c>
      <c r="AG62" s="147">
        <f t="shared" si="34"/>
        <v>0</v>
      </c>
      <c r="AH62" s="123">
        <f t="shared" si="46"/>
        <v>1</v>
      </c>
      <c r="AI62" s="112">
        <f t="shared" si="46"/>
        <v>0</v>
      </c>
      <c r="AJ62" s="148">
        <f t="shared" si="36"/>
        <v>0</v>
      </c>
      <c r="AK62" s="147">
        <f t="shared" si="37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IF(Poor!A63=0,"",Poor!A63)</f>
        <v/>
      </c>
      <c r="B63" s="104">
        <f>IF([1]Summ!$J1098="",0,[1]Summ!$J1098)</f>
        <v>0</v>
      </c>
      <c r="C63" s="104">
        <f>IF([1]Summ!$K1098="",0,[1]Summ!$K1098)</f>
        <v>0</v>
      </c>
      <c r="D63" s="38">
        <f t="shared" si="25"/>
        <v>0</v>
      </c>
      <c r="E63" s="75">
        <f>Middle!E63</f>
        <v>1</v>
      </c>
      <c r="F63" s="75">
        <f>Middle!F63</f>
        <v>1</v>
      </c>
      <c r="G63" s="22">
        <f t="shared" si="32"/>
        <v>1.65</v>
      </c>
      <c r="H63" s="24">
        <f t="shared" si="41"/>
        <v>1</v>
      </c>
      <c r="I63" s="39">
        <f t="shared" si="42"/>
        <v>0</v>
      </c>
      <c r="J63" s="38">
        <f t="shared" si="33"/>
        <v>0</v>
      </c>
      <c r="K63" s="40">
        <f t="shared" si="43"/>
        <v>0</v>
      </c>
      <c r="L63" s="22">
        <f t="shared" si="44"/>
        <v>0</v>
      </c>
      <c r="M63" s="24">
        <f t="shared" si="4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38"/>
        <v>0</v>
      </c>
      <c r="AB63" s="156">
        <f>Poor!AB63</f>
        <v>0.25</v>
      </c>
      <c r="AC63" s="147">
        <f t="shared" si="39"/>
        <v>0</v>
      </c>
      <c r="AD63" s="156">
        <f>Poor!AD63</f>
        <v>0.25</v>
      </c>
      <c r="AE63" s="147">
        <f t="shared" si="40"/>
        <v>0</v>
      </c>
      <c r="AF63" s="122">
        <f t="shared" si="31"/>
        <v>0.25</v>
      </c>
      <c r="AG63" s="147">
        <f t="shared" si="34"/>
        <v>0</v>
      </c>
      <c r="AH63" s="123">
        <f t="shared" si="46"/>
        <v>1</v>
      </c>
      <c r="AI63" s="112">
        <f t="shared" si="46"/>
        <v>0</v>
      </c>
      <c r="AJ63" s="148">
        <f t="shared" si="36"/>
        <v>0</v>
      </c>
      <c r="AK63" s="147">
        <f t="shared" si="37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IF(Poor!A64=0,"",Poor!A64)</f>
        <v/>
      </c>
      <c r="B64" s="104">
        <f>IF([1]Summ!$J1099="",0,[1]Summ!$J1099)</f>
        <v>0</v>
      </c>
      <c r="C64" s="104">
        <f>IF([1]Summ!$K1099="",0,[1]Summ!$K1099)</f>
        <v>0</v>
      </c>
      <c r="D64" s="38">
        <f t="shared" si="25"/>
        <v>0</v>
      </c>
      <c r="E64" s="75">
        <f>Middle!E64</f>
        <v>1</v>
      </c>
      <c r="F64" s="75">
        <f>Middle!F64</f>
        <v>1</v>
      </c>
      <c r="G64" s="22">
        <f t="shared" si="32"/>
        <v>1.65</v>
      </c>
      <c r="H64" s="24">
        <f t="shared" si="41"/>
        <v>1</v>
      </c>
      <c r="I64" s="39">
        <f t="shared" si="42"/>
        <v>0</v>
      </c>
      <c r="J64" s="38">
        <f t="shared" si="33"/>
        <v>0</v>
      </c>
      <c r="K64" s="40">
        <f t="shared" si="43"/>
        <v>0</v>
      </c>
      <c r="L64" s="22">
        <f t="shared" si="44"/>
        <v>0</v>
      </c>
      <c r="M64" s="24">
        <f t="shared" si="4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38"/>
        <v>0</v>
      </c>
      <c r="AB64" s="156">
        <f>Poor!AB64</f>
        <v>0.25</v>
      </c>
      <c r="AC64" s="149">
        <f t="shared" si="39"/>
        <v>0</v>
      </c>
      <c r="AD64" s="156">
        <f>Poor!AD64</f>
        <v>0.25</v>
      </c>
      <c r="AE64" s="149">
        <f t="shared" si="40"/>
        <v>0</v>
      </c>
      <c r="AF64" s="150">
        <f t="shared" si="31"/>
        <v>0.25</v>
      </c>
      <c r="AG64" s="149">
        <f t="shared" si="34"/>
        <v>0</v>
      </c>
      <c r="AH64" s="123">
        <f t="shared" si="46"/>
        <v>1</v>
      </c>
      <c r="AI64" s="112">
        <f t="shared" si="46"/>
        <v>0</v>
      </c>
      <c r="AJ64" s="151">
        <f t="shared" si="36"/>
        <v>0</v>
      </c>
      <c r="AK64" s="149">
        <f t="shared" si="37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230645</v>
      </c>
      <c r="C65" s="39">
        <f>SUM(C37:C64)</f>
        <v>-11825</v>
      </c>
      <c r="D65" s="42">
        <f>SUM(D37:D64)</f>
        <v>218820</v>
      </c>
      <c r="E65" s="32"/>
      <c r="F65" s="32"/>
      <c r="G65" s="32"/>
      <c r="H65" s="31"/>
      <c r="I65" s="39">
        <f>SUM(I37:I64)</f>
        <v>199737.60000000001</v>
      </c>
      <c r="J65" s="39">
        <f>SUM(J37:J64)</f>
        <v>216572.82060804818</v>
      </c>
      <c r="K65" s="40">
        <f>SUM(K37:K64)</f>
        <v>1</v>
      </c>
      <c r="L65" s="22">
        <f>SUM(L37:L64)</f>
        <v>0.93809273992499298</v>
      </c>
      <c r="M65" s="24">
        <f>SUM(M37:M64)</f>
        <v>0.93898771101930756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14959.425929867604</v>
      </c>
      <c r="AB65" s="137"/>
      <c r="AC65" s="153">
        <f>SUM(AC37:AC64)</f>
        <v>12680.478515035462</v>
      </c>
      <c r="AD65" s="137"/>
      <c r="AE65" s="153">
        <f>SUM(AE37:AE64)</f>
        <v>13797.457362552406</v>
      </c>
      <c r="AF65" s="137"/>
      <c r="AG65" s="153">
        <f>SUM(AG37:AG64)</f>
        <v>39199.458800592678</v>
      </c>
      <c r="AH65" s="137"/>
      <c r="AI65" s="153">
        <f>SUM(AI37:AI64)</f>
        <v>80636.820608048147</v>
      </c>
      <c r="AJ65" s="153">
        <f>SUM(AJ37:AJ64)</f>
        <v>27639.904444903066</v>
      </c>
      <c r="AK65" s="153">
        <f>SUM(AK37:AK64)</f>
        <v>52996.916163145077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51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[1]Summ!$J1031</f>
        <v>18373.945772358045</v>
      </c>
      <c r="C70" s="39"/>
      <c r="D70" s="38"/>
      <c r="E70" s="75">
        <f>Middle!E70</f>
        <v>1</v>
      </c>
      <c r="F70" s="75">
        <f>Middle!F70</f>
        <v>1.4</v>
      </c>
      <c r="G70" s="22"/>
      <c r="H70" s="24">
        <f>(E70*F70)</f>
        <v>1.4</v>
      </c>
      <c r="I70" s="39">
        <f>I124*I$83</f>
        <v>25723.524081301268</v>
      </c>
      <c r="J70" s="51">
        <f>J124*I$83</f>
        <v>25723.524081301268</v>
      </c>
      <c r="K70" s="40">
        <f>B70/B$76</f>
        <v>7.9663317099256628E-2</v>
      </c>
      <c r="L70" s="22">
        <f>(L124*G$37*F$9/F$7)/B$130</f>
        <v>0.11152864393895931</v>
      </c>
      <c r="M70" s="24">
        <f>J70/B$76</f>
        <v>0.1115286439389593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6430.881020325317</v>
      </c>
      <c r="AB70" s="156">
        <f>Poor!AB70</f>
        <v>0.25</v>
      </c>
      <c r="AC70" s="147">
        <f>$J70*AB70</f>
        <v>6430.881020325317</v>
      </c>
      <c r="AD70" s="156">
        <f>Poor!AD70</f>
        <v>0.25</v>
      </c>
      <c r="AE70" s="147">
        <f>$J70*AD70</f>
        <v>6430.881020325317</v>
      </c>
      <c r="AF70" s="156">
        <f>Poor!AF70</f>
        <v>0.25</v>
      </c>
      <c r="AG70" s="147">
        <f>$J70*AF70</f>
        <v>6430.881020325317</v>
      </c>
      <c r="AH70" s="155">
        <f>SUM(Z70,AB70,AD70,AF70)</f>
        <v>1</v>
      </c>
      <c r="AI70" s="147">
        <f>SUM(AA70,AC70,AE70,AG70)</f>
        <v>25723.524081301268</v>
      </c>
      <c r="AJ70" s="148">
        <f>(AA70+AC70)</f>
        <v>12861.762040650634</v>
      </c>
      <c r="AK70" s="147">
        <f>(AE70+AG70)</f>
        <v>12861.762040650634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[1]Summ!$J1032</f>
        <v>15031.333333333334</v>
      </c>
      <c r="C71" s="39"/>
      <c r="D71" s="38"/>
      <c r="E71" s="75">
        <f>Middle!E71</f>
        <v>1</v>
      </c>
      <c r="F71" s="75">
        <f>Middle!F71</f>
        <v>1.18</v>
      </c>
      <c r="G71" s="22"/>
      <c r="H71" s="24">
        <f t="shared" ref="H71:H72" si="47">(E71*F71)</f>
        <v>1.18</v>
      </c>
      <c r="I71" s="39">
        <f t="shared" ref="I71:I72" si="48">I125*I$83</f>
        <v>17736.973333333335</v>
      </c>
      <c r="J71" s="51">
        <f t="shared" ref="J71:J72" si="49">J125*I$83</f>
        <v>17736.973333333335</v>
      </c>
      <c r="K71" s="40"/>
      <c r="L71" s="22"/>
      <c r="M71" s="24"/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[1]Summ!$J1033</f>
        <v>24276</v>
      </c>
      <c r="C72" s="39"/>
      <c r="D72" s="38"/>
      <c r="E72" s="75">
        <f>Middle!E72</f>
        <v>1</v>
      </c>
      <c r="F72" s="75">
        <f>Middle!F72</f>
        <v>1.18</v>
      </c>
      <c r="G72" s="22"/>
      <c r="H72" s="24">
        <f t="shared" si="47"/>
        <v>1.18</v>
      </c>
      <c r="I72" s="39">
        <f t="shared" si="48"/>
        <v>0</v>
      </c>
      <c r="J72" s="51">
        <f t="shared" si="49"/>
        <v>28645.680000000004</v>
      </c>
      <c r="K72" s="40"/>
      <c r="L72" s="22"/>
      <c r="M72" s="24"/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[1]Summ!$J1034</f>
        <v>77950</v>
      </c>
      <c r="C73" s="39"/>
      <c r="D73" s="38"/>
      <c r="E73" s="75">
        <f>Middle!E73</f>
        <v>1</v>
      </c>
      <c r="F73" s="75">
        <f>Middle!F73</f>
        <v>1.18</v>
      </c>
      <c r="G73" s="22"/>
      <c r="H73" s="24">
        <f>(E73*F73)</f>
        <v>1.18</v>
      </c>
      <c r="I73" s="39">
        <f>I127*I$83</f>
        <v>0</v>
      </c>
      <c r="J73" s="51">
        <f>J127*I$83</f>
        <v>91981</v>
      </c>
      <c r="K73" s="40">
        <f>B73/B$76</f>
        <v>0.33796527130438553</v>
      </c>
      <c r="L73" s="22">
        <f>(L127*G$37*F$9/F$7)/B$130</f>
        <v>0.3987990201391749</v>
      </c>
      <c r="M73" s="24">
        <f>J73/B$76</f>
        <v>0.3987990201391749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8278.2899999999991</v>
      </c>
      <c r="AB73" s="156">
        <f>Poor!AB73</f>
        <v>0.09</v>
      </c>
      <c r="AC73" s="147">
        <f>$H$73*$B$73*AB73</f>
        <v>8278.2899999999991</v>
      </c>
      <c r="AD73" s="156">
        <f>Poor!AD73</f>
        <v>0.23</v>
      </c>
      <c r="AE73" s="147">
        <f>$H$73*$B$73*AD73</f>
        <v>21155.63</v>
      </c>
      <c r="AF73" s="156">
        <f>Poor!AF73</f>
        <v>0.59</v>
      </c>
      <c r="AG73" s="147">
        <f>$H$73*$B$73*AF73</f>
        <v>54268.789999999994</v>
      </c>
      <c r="AH73" s="155">
        <f>SUM(Z73,AB73,AD73,AF73)</f>
        <v>1</v>
      </c>
      <c r="AI73" s="147">
        <f>SUM(AA73,AC73,AE73,AG73)</f>
        <v>91981</v>
      </c>
      <c r="AJ73" s="148">
        <f>(AA73+AC73)</f>
        <v>16556.579999999998</v>
      </c>
      <c r="AK73" s="147">
        <f>(AE73+AG73)</f>
        <v>75424.42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4393.1946273373715</v>
      </c>
      <c r="C74" s="39"/>
      <c r="D74" s="38"/>
      <c r="E74" s="32"/>
      <c r="F74" s="32"/>
      <c r="G74" s="32"/>
      <c r="H74" s="31"/>
      <c r="I74" s="39">
        <f>I128*I$83</f>
        <v>174014.07591869877</v>
      </c>
      <c r="J74" s="51">
        <f>J128*I$83</f>
        <v>2976.2399985736647</v>
      </c>
      <c r="K74" s="40">
        <f>B74/B$76</f>
        <v>1.9047430585260341E-2</v>
      </c>
      <c r="L74" s="22">
        <f>(L128*G$37*F$9/F$7)/B$130</f>
        <v>1.7106698597452726E-2</v>
      </c>
      <c r="M74" s="24">
        <f>J74/B$76</f>
        <v>1.2903986639960393E-2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0</v>
      </c>
      <c r="AB74" s="156"/>
      <c r="AC74" s="147">
        <f>AC30*$I$83/4</f>
        <v>1061.1109775954963</v>
      </c>
      <c r="AD74" s="156"/>
      <c r="AE74" s="147">
        <f>AE30*$I$83/4</f>
        <v>1376.1945400920501</v>
      </c>
      <c r="AF74" s="156"/>
      <c r="AG74" s="147">
        <f>AG30*$I$83/4</f>
        <v>538.93448088611842</v>
      </c>
      <c r="AH74" s="155"/>
      <c r="AI74" s="147">
        <f>SUM(AA74,AC74,AE74,AG74)</f>
        <v>2976.2399985736647</v>
      </c>
      <c r="AJ74" s="148">
        <f>(AA74+AC74)</f>
        <v>1061.1109775954963</v>
      </c>
      <c r="AK74" s="147">
        <f>(AE74+AG74)</f>
        <v>1915.1290209781687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90620.526266971254</v>
      </c>
      <c r="C75" s="39"/>
      <c r="D75" s="38"/>
      <c r="E75" s="32"/>
      <c r="F75" s="32"/>
      <c r="G75" s="32"/>
      <c r="H75" s="31"/>
      <c r="I75" s="47"/>
      <c r="J75" s="51">
        <f>J129*I$83</f>
        <v>49509.403194839884</v>
      </c>
      <c r="K75" s="40">
        <f>B75/B$76</f>
        <v>0.39290045857040584</v>
      </c>
      <c r="L75" s="22">
        <f>(L129*G$37*F$9/F$7)/B$130</f>
        <v>0.20955862076938994</v>
      </c>
      <c r="M75" s="24">
        <f>J75/B$76</f>
        <v>0.21465630382119658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8528.5449095422882</v>
      </c>
      <c r="AB75" s="158"/>
      <c r="AC75" s="149">
        <f>AA75+AC65-SUM(AC70,AC74)</f>
        <v>13717.031426656937</v>
      </c>
      <c r="AD75" s="158"/>
      <c r="AE75" s="149">
        <f>AC75+AE65-SUM(AE70,AE74)</f>
        <v>19707.413228791975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51937.056528173212</v>
      </c>
      <c r="AJ75" s="151">
        <f>AJ76-SUM(AJ70,AJ74)</f>
        <v>13717.031426656937</v>
      </c>
      <c r="AK75" s="149">
        <f>AJ75+AK76-SUM(AK70,AK74)</f>
        <v>51937.056528173212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230645</v>
      </c>
      <c r="C76" s="39"/>
      <c r="D76" s="38"/>
      <c r="E76" s="32"/>
      <c r="F76" s="32"/>
      <c r="G76" s="32"/>
      <c r="H76" s="31"/>
      <c r="I76" s="39">
        <f>I130*I$83</f>
        <v>199737.60000000003</v>
      </c>
      <c r="J76" s="51">
        <f>J130*I$83</f>
        <v>216572.82060804815</v>
      </c>
      <c r="K76" s="40">
        <f>SUM(K70:K75)</f>
        <v>0.8295764775593083</v>
      </c>
      <c r="L76" s="22">
        <f>SUM(L70:L75)</f>
        <v>0.73699298344497688</v>
      </c>
      <c r="M76" s="24">
        <f>SUM(M70:M75)</f>
        <v>0.73788795453929124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14959.425929867604</v>
      </c>
      <c r="AB76" s="137"/>
      <c r="AC76" s="153">
        <f>AC65</f>
        <v>12680.478515035462</v>
      </c>
      <c r="AD76" s="137"/>
      <c r="AE76" s="153">
        <f>AE65</f>
        <v>13797.457362552406</v>
      </c>
      <c r="AF76" s="137"/>
      <c r="AG76" s="153">
        <f>AG65</f>
        <v>39199.458800592678</v>
      </c>
      <c r="AH76" s="137"/>
      <c r="AI76" s="153">
        <f>SUM(AA76,AC76,AE76,AG76)</f>
        <v>80636.820608048147</v>
      </c>
      <c r="AJ76" s="154">
        <f>SUM(AA76,AC76)</f>
        <v>27639.904444903066</v>
      </c>
      <c r="AK76" s="154">
        <f>SUM(AE76,AG76)</f>
        <v>52996.916163145084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17736.973333333346</v>
      </c>
      <c r="J77" s="100">
        <f>J131*I$83</f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8528.5449095422882</v>
      </c>
      <c r="AD78" s="112"/>
      <c r="AE78" s="112">
        <f>AC75</f>
        <v>13717.031426656937</v>
      </c>
      <c r="AF78" s="112"/>
      <c r="AG78" s="112">
        <f>AE75</f>
        <v>19707.413228791975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105" t="str">
        <f>[1]Summ!$J1037</f>
        <v>maize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8528.5449095422882</v>
      </c>
      <c r="AB79" s="112"/>
      <c r="AC79" s="112">
        <f>AA79-AA74+AC65-AC70</f>
        <v>14778.142404252434</v>
      </c>
      <c r="AD79" s="112"/>
      <c r="AE79" s="112">
        <f>AC79-AC74+AE65-AE70</f>
        <v>21083.607768884031</v>
      </c>
      <c r="AF79" s="112"/>
      <c r="AG79" s="112">
        <f>AE79-AE74+AG65-AG70</f>
        <v>52475.99100905934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[1]Summ!$J1038</f>
        <v>0.58123152089493346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9">
        <f>[1]Summ!$J1039</f>
        <v>7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[1]Summ!$J1040</f>
        <v>4.5714285714285712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6788.7841640528231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11201.493870687158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2800.3734676717895</v>
      </c>
      <c r="AB83" s="112"/>
      <c r="AC83" s="165">
        <f>$I$83*AB82/4</f>
        <v>2800.3734676717895</v>
      </c>
      <c r="AD83" s="112"/>
      <c r="AE83" s="165">
        <f>$I$83*AD82/4</f>
        <v>2800.3734676717895</v>
      </c>
      <c r="AF83" s="112"/>
      <c r="AG83" s="165">
        <f>$I$83*AF82/4</f>
        <v>2800.3734676717895</v>
      </c>
      <c r="AH83" s="165">
        <f>SUM(AA83,AC83,AE83,AG83)</f>
        <v>11201.493870687158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3">
        <f>B70+((1-D29)*B83)</f>
        <v>23637.719362809527</v>
      </c>
      <c r="C84" s="46"/>
      <c r="D84" s="234"/>
      <c r="E84" s="64"/>
      <c r="F84" s="64"/>
      <c r="G84" s="64"/>
      <c r="H84" s="235">
        <f>IF(B84=0,0,I84/B84)</f>
        <v>1.455671335183178</v>
      </c>
      <c r="I84" s="233">
        <f>(B70*H70)+((1-(D29*H29))*I83)</f>
        <v>34408.750505546202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[1]Summ!$K$892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Better-off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5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5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Pig sales: no sold</v>
      </c>
      <c r="B91" s="75">
        <f>(B37/$B$83)</f>
        <v>0.72177872820672484</v>
      </c>
      <c r="C91" s="75">
        <f>(C37/$B$83)</f>
        <v>0</v>
      </c>
      <c r="D91" s="24">
        <f t="shared" ref="D91" si="51">(B91+C91)</f>
        <v>0.72177872820672484</v>
      </c>
      <c r="H91" s="24">
        <f>(E37*F37/G37*F$7/F$9)</f>
        <v>0.57212121212121214</v>
      </c>
      <c r="I91" s="22">
        <f t="shared" ref="I91" si="52">(D91*H91)</f>
        <v>0.41294492086493834</v>
      </c>
      <c r="J91" s="24">
        <f>IF(I$32&lt;=1+I$131,I91,L91+J$33*(I91-L91))</f>
        <v>0.41294492086493834</v>
      </c>
      <c r="K91" s="22">
        <f t="shared" ref="K91" si="53">(B91)</f>
        <v>0.72177872820672484</v>
      </c>
      <c r="L91" s="22">
        <f t="shared" ref="L91" si="54">(K91*H91)</f>
        <v>0.41294492086493834</v>
      </c>
      <c r="M91" s="226">
        <f t="shared" si="50"/>
        <v>0.41294492086493834</v>
      </c>
      <c r="N91" s="228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Cattle sales - local: no. sold</v>
      </c>
      <c r="B92" s="75">
        <f t="shared" ref="B92:C92" si="56">(B38/$B$83)</f>
        <v>2.6514320628002137</v>
      </c>
      <c r="C92" s="75">
        <f t="shared" si="56"/>
        <v>0</v>
      </c>
      <c r="D92" s="24">
        <f t="shared" ref="D92:D118" si="57">(B92+C92)</f>
        <v>2.6514320628002137</v>
      </c>
      <c r="H92" s="24">
        <f t="shared" ref="H92:H118" si="58">(E38*F38/G38*F$7/F$9)</f>
        <v>0.57212121212121214</v>
      </c>
      <c r="I92" s="22">
        <f t="shared" ref="I92:I118" si="59">(D92*H92)</f>
        <v>1.5169405256263042</v>
      </c>
      <c r="J92" s="24">
        <f t="shared" ref="J92:J118" si="60">IF(I$32&lt;=1+I$131,I92,L92+J$33*(I92-L92))</f>
        <v>1.5169405256263042</v>
      </c>
      <c r="K92" s="22">
        <f t="shared" ref="K92:K118" si="61">(B92)</f>
        <v>2.6514320628002137</v>
      </c>
      <c r="L92" s="22">
        <f t="shared" ref="L92:L118" si="62">(K92*H92)</f>
        <v>1.5169405256263042</v>
      </c>
      <c r="M92" s="226">
        <f t="shared" ref="M92:M118" si="63">(J92)</f>
        <v>1.5169405256263042</v>
      </c>
      <c r="N92" s="228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Goat sales - local: no. sold</v>
      </c>
      <c r="B93" s="75">
        <f t="shared" ref="B93:C93" si="64">(B39/$B$83)</f>
        <v>0.33142900785002671</v>
      </c>
      <c r="C93" s="75">
        <f t="shared" si="64"/>
        <v>-0.1104763359500089</v>
      </c>
      <c r="D93" s="24">
        <f t="shared" si="57"/>
        <v>0.22095267190001783</v>
      </c>
      <c r="H93" s="24">
        <f t="shared" si="58"/>
        <v>0.57212121212121214</v>
      </c>
      <c r="I93" s="22">
        <f t="shared" si="59"/>
        <v>0.12641171046885868</v>
      </c>
      <c r="J93" s="24">
        <f t="shared" si="60"/>
        <v>0.19040216778339564</v>
      </c>
      <c r="K93" s="22">
        <f t="shared" si="61"/>
        <v>0.33142900785002671</v>
      </c>
      <c r="L93" s="22">
        <f t="shared" si="62"/>
        <v>0.18961756570328803</v>
      </c>
      <c r="M93" s="226">
        <f t="shared" si="63"/>
        <v>0.19040216778339564</v>
      </c>
      <c r="N93" s="228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Maize: kg produced</v>
      </c>
      <c r="B94" s="75">
        <f t="shared" ref="B94:C94" si="65">(B40/$B$83)</f>
        <v>0.4419053438000356</v>
      </c>
      <c r="C94" s="75">
        <f t="shared" si="65"/>
        <v>-0.4419053438000356</v>
      </c>
      <c r="D94" s="24">
        <f t="shared" si="57"/>
        <v>0</v>
      </c>
      <c r="H94" s="24">
        <f t="shared" si="58"/>
        <v>0.92484848484848492</v>
      </c>
      <c r="I94" s="22">
        <f t="shared" si="59"/>
        <v>0</v>
      </c>
      <c r="J94" s="24">
        <f t="shared" si="60"/>
        <v>0.41376880449992964</v>
      </c>
      <c r="K94" s="22">
        <f t="shared" si="61"/>
        <v>0.4419053438000356</v>
      </c>
      <c r="L94" s="22">
        <f t="shared" si="62"/>
        <v>0.40869548765991176</v>
      </c>
      <c r="M94" s="226">
        <f t="shared" si="63"/>
        <v>0.41376880449992964</v>
      </c>
      <c r="N94" s="228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Maize (irrigated): kg produced</v>
      </c>
      <c r="B95" s="75">
        <f t="shared" ref="B95:C95" si="66">(B41/$B$83)</f>
        <v>4.419053438000356E-2</v>
      </c>
      <c r="C95" s="75">
        <f t="shared" si="66"/>
        <v>-4.419053438000356E-2</v>
      </c>
      <c r="D95" s="24">
        <f t="shared" si="57"/>
        <v>0</v>
      </c>
      <c r="H95" s="24">
        <f t="shared" si="58"/>
        <v>0.92484848484848492</v>
      </c>
      <c r="I95" s="22">
        <f t="shared" si="59"/>
        <v>0</v>
      </c>
      <c r="J95" s="24">
        <f t="shared" si="60"/>
        <v>4.1376880449992957E-2</v>
      </c>
      <c r="K95" s="22">
        <f t="shared" si="61"/>
        <v>4.419053438000356E-2</v>
      </c>
      <c r="L95" s="22">
        <f t="shared" si="62"/>
        <v>4.0869548765991172E-2</v>
      </c>
      <c r="M95" s="226">
        <f t="shared" si="63"/>
        <v>4.1376880449992957E-2</v>
      </c>
      <c r="N95" s="228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Beans season 2: kg produced</v>
      </c>
      <c r="B96" s="75">
        <f t="shared" ref="B96:C96" si="67">(B42/$B$83)</f>
        <v>0.35352427504002848</v>
      </c>
      <c r="C96" s="75">
        <f t="shared" si="67"/>
        <v>-0.35352427504002848</v>
      </c>
      <c r="D96" s="24">
        <f t="shared" si="57"/>
        <v>0</v>
      </c>
      <c r="H96" s="24">
        <f t="shared" si="58"/>
        <v>0.84848484848484851</v>
      </c>
      <c r="I96" s="22">
        <f t="shared" si="59"/>
        <v>0</v>
      </c>
      <c r="J96" s="24">
        <f t="shared" si="60"/>
        <v>0.30368352623848044</v>
      </c>
      <c r="K96" s="22">
        <f t="shared" si="61"/>
        <v>0.35352427504002848</v>
      </c>
      <c r="L96" s="22">
        <f t="shared" si="62"/>
        <v>0.29995999094305448</v>
      </c>
      <c r="M96" s="226">
        <f t="shared" si="63"/>
        <v>0.30368352623848044</v>
      </c>
      <c r="N96" s="228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Other root crops (sweet potato): no. local meas</v>
      </c>
      <c r="B97" s="75">
        <f t="shared" ref="B97:C97" si="68">(B43/$B$83)</f>
        <v>0.58920712506671413</v>
      </c>
      <c r="C97" s="75">
        <f t="shared" si="68"/>
        <v>-0.58920712506671413</v>
      </c>
      <c r="D97" s="24">
        <f t="shared" si="57"/>
        <v>0</v>
      </c>
      <c r="H97" s="24">
        <f t="shared" si="58"/>
        <v>0.84848484848484851</v>
      </c>
      <c r="I97" s="22">
        <f t="shared" si="59"/>
        <v>0</v>
      </c>
      <c r="J97" s="24">
        <f t="shared" si="60"/>
        <v>0.50613921039746745</v>
      </c>
      <c r="K97" s="22">
        <f t="shared" si="61"/>
        <v>0.58920712506671413</v>
      </c>
      <c r="L97" s="22">
        <f t="shared" si="62"/>
        <v>0.49993331823842413</v>
      </c>
      <c r="M97" s="226">
        <f t="shared" si="63"/>
        <v>0.50613921039746745</v>
      </c>
      <c r="N97" s="228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Groundnuts (dry): no. local meas</v>
      </c>
      <c r="B98" s="75">
        <f t="shared" ref="B98:C98" si="69">(B44/$B$83)</f>
        <v>0.17676213752001424</v>
      </c>
      <c r="C98" s="75">
        <f t="shared" si="69"/>
        <v>-0.17676213752001424</v>
      </c>
      <c r="D98" s="24">
        <f t="shared" si="57"/>
        <v>0</v>
      </c>
      <c r="H98" s="24">
        <f t="shared" si="58"/>
        <v>0.84848484848484851</v>
      </c>
      <c r="I98" s="22">
        <f t="shared" si="59"/>
        <v>0</v>
      </c>
      <c r="J98" s="24">
        <f t="shared" si="60"/>
        <v>0.15184176311924022</v>
      </c>
      <c r="K98" s="22">
        <f t="shared" si="61"/>
        <v>0.17676213752001424</v>
      </c>
      <c r="L98" s="22">
        <f t="shared" si="62"/>
        <v>0.14997999547152724</v>
      </c>
      <c r="M98" s="226">
        <f t="shared" si="63"/>
        <v>0.15184176311924022</v>
      </c>
      <c r="N98" s="228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Other crop: Rape</v>
      </c>
      <c r="B99" s="75">
        <f t="shared" ref="B99:C99" si="70">(B45/$B$83)</f>
        <v>2.5777811721668743E-2</v>
      </c>
      <c r="C99" s="75">
        <f t="shared" si="70"/>
        <v>-2.5777811721668743E-2</v>
      </c>
      <c r="D99" s="24">
        <f t="shared" si="57"/>
        <v>0</v>
      </c>
      <c r="H99" s="24">
        <f t="shared" si="58"/>
        <v>0.84848484848484851</v>
      </c>
      <c r="I99" s="22">
        <f t="shared" si="59"/>
        <v>0</v>
      </c>
      <c r="J99" s="24">
        <f t="shared" si="60"/>
        <v>2.21435904548892E-2</v>
      </c>
      <c r="K99" s="22">
        <f t="shared" si="61"/>
        <v>2.5777811721668743E-2</v>
      </c>
      <c r="L99" s="22">
        <f t="shared" si="62"/>
        <v>2.1872082672931056E-2</v>
      </c>
      <c r="M99" s="226">
        <f t="shared" si="63"/>
        <v>2.21435904548892E-2</v>
      </c>
      <c r="N99" s="228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Other cashcrop (cabbage): kg produced</v>
      </c>
      <c r="B100" s="75">
        <f t="shared" ref="B100:C100" si="71">(B46/$B$83)</f>
        <v>0.11784142501334283</v>
      </c>
      <c r="C100" s="75">
        <f t="shared" si="71"/>
        <v>0</v>
      </c>
      <c r="D100" s="24">
        <f t="shared" si="57"/>
        <v>0.11784142501334283</v>
      </c>
      <c r="H100" s="24">
        <f t="shared" si="58"/>
        <v>0.84848484848484851</v>
      </c>
      <c r="I100" s="22">
        <f t="shared" si="59"/>
        <v>9.9986663647684826E-2</v>
      </c>
      <c r="J100" s="24">
        <f t="shared" si="60"/>
        <v>9.9986663647684826E-2</v>
      </c>
      <c r="K100" s="22">
        <f t="shared" si="61"/>
        <v>0.11784142501334283</v>
      </c>
      <c r="L100" s="22">
        <f t="shared" si="62"/>
        <v>9.9986663647684826E-2</v>
      </c>
      <c r="M100" s="226">
        <f t="shared" si="63"/>
        <v>9.9986663647684826E-2</v>
      </c>
      <c r="N100" s="228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FISHING -- see worksheet Data 3</v>
      </c>
      <c r="B101" s="75">
        <f t="shared" ref="B101:C101" si="72">(B47/$B$83)</f>
        <v>0</v>
      </c>
      <c r="C101" s="75">
        <f t="shared" si="72"/>
        <v>0</v>
      </c>
      <c r="D101" s="24">
        <f t="shared" si="57"/>
        <v>0</v>
      </c>
      <c r="H101" s="24">
        <f t="shared" si="58"/>
        <v>0.7151515151515152</v>
      </c>
      <c r="I101" s="22">
        <f t="shared" si="59"/>
        <v>0</v>
      </c>
      <c r="J101" s="24">
        <f t="shared" si="60"/>
        <v>0</v>
      </c>
      <c r="K101" s="22">
        <f t="shared" si="61"/>
        <v>0</v>
      </c>
      <c r="L101" s="22">
        <f t="shared" si="62"/>
        <v>0</v>
      </c>
      <c r="M101" s="226">
        <f t="shared" si="63"/>
        <v>0</v>
      </c>
      <c r="N101" s="228">
        <v>6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WILD FOODS -- see worksheet Data 3</v>
      </c>
      <c r="B102" s="75">
        <f t="shared" ref="B102:C102" si="73">(B48/$B$83)</f>
        <v>0</v>
      </c>
      <c r="C102" s="75">
        <f t="shared" si="73"/>
        <v>0</v>
      </c>
      <c r="D102" s="24">
        <f t="shared" si="57"/>
        <v>0</v>
      </c>
      <c r="H102" s="24">
        <f t="shared" si="58"/>
        <v>0.7151515151515152</v>
      </c>
      <c r="I102" s="22">
        <f t="shared" si="59"/>
        <v>0</v>
      </c>
      <c r="J102" s="24">
        <f t="shared" si="60"/>
        <v>0</v>
      </c>
      <c r="K102" s="22">
        <f t="shared" si="61"/>
        <v>0</v>
      </c>
      <c r="L102" s="22">
        <f t="shared" si="62"/>
        <v>0</v>
      </c>
      <c r="M102" s="226">
        <f t="shared" si="63"/>
        <v>0</v>
      </c>
      <c r="N102" s="228">
        <v>6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Agricultural casual work -- see Data2</v>
      </c>
      <c r="B103" s="75">
        <f t="shared" ref="B103:C103" si="74">(B49/$B$83)</f>
        <v>0</v>
      </c>
      <c r="C103" s="75">
        <f t="shared" si="74"/>
        <v>0</v>
      </c>
      <c r="D103" s="24">
        <f t="shared" si="57"/>
        <v>0</v>
      </c>
      <c r="H103" s="24">
        <f t="shared" si="58"/>
        <v>0.67272727272727284</v>
      </c>
      <c r="I103" s="22">
        <f t="shared" si="59"/>
        <v>0</v>
      </c>
      <c r="J103" s="24">
        <f t="shared" si="60"/>
        <v>0</v>
      </c>
      <c r="K103" s="22">
        <f t="shared" si="61"/>
        <v>0</v>
      </c>
      <c r="L103" s="22">
        <f t="shared" si="62"/>
        <v>0</v>
      </c>
      <c r="M103" s="226">
        <f t="shared" si="63"/>
        <v>0</v>
      </c>
      <c r="N103" s="228">
        <v>7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Construction casual work -- see Data2</v>
      </c>
      <c r="B104" s="75">
        <f t="shared" ref="B104:C104" si="75">(B50/$B$83)</f>
        <v>0</v>
      </c>
      <c r="C104" s="75">
        <f t="shared" si="75"/>
        <v>0</v>
      </c>
      <c r="D104" s="24">
        <f t="shared" si="57"/>
        <v>0</v>
      </c>
      <c r="H104" s="24">
        <f t="shared" si="58"/>
        <v>0.67272727272727284</v>
      </c>
      <c r="I104" s="22">
        <f t="shared" si="59"/>
        <v>0</v>
      </c>
      <c r="J104" s="24">
        <f t="shared" si="60"/>
        <v>0</v>
      </c>
      <c r="K104" s="22">
        <f t="shared" si="61"/>
        <v>0</v>
      </c>
      <c r="L104" s="22">
        <f t="shared" si="62"/>
        <v>0</v>
      </c>
      <c r="M104" s="226">
        <f t="shared" si="63"/>
        <v>0</v>
      </c>
      <c r="N104" s="228">
        <v>7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Domestic casual work -- see Data2</v>
      </c>
      <c r="B105" s="75">
        <f t="shared" ref="B105:C105" si="76">(B51/$B$83)</f>
        <v>0</v>
      </c>
      <c r="C105" s="75">
        <f t="shared" si="76"/>
        <v>0</v>
      </c>
      <c r="D105" s="24">
        <f t="shared" si="57"/>
        <v>0</v>
      </c>
      <c r="H105" s="24">
        <f t="shared" si="58"/>
        <v>0.67272727272727284</v>
      </c>
      <c r="I105" s="22">
        <f t="shared" si="59"/>
        <v>0</v>
      </c>
      <c r="J105" s="24">
        <f t="shared" si="60"/>
        <v>0</v>
      </c>
      <c r="K105" s="22">
        <f t="shared" si="61"/>
        <v>0</v>
      </c>
      <c r="L105" s="22">
        <f t="shared" si="62"/>
        <v>0</v>
      </c>
      <c r="M105" s="226">
        <f t="shared" si="63"/>
        <v>0</v>
      </c>
      <c r="N105" s="228">
        <v>7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Labour migration: no. people per HH</v>
      </c>
      <c r="B106" s="75">
        <f t="shared" ref="B106:C106" si="77">(B52/$B$83)</f>
        <v>6.1866748132004981</v>
      </c>
      <c r="C106" s="75">
        <f t="shared" si="77"/>
        <v>0</v>
      </c>
      <c r="D106" s="24">
        <f t="shared" si="57"/>
        <v>6.1866748132004981</v>
      </c>
      <c r="H106" s="24">
        <f t="shared" si="58"/>
        <v>0.57212121212121214</v>
      </c>
      <c r="I106" s="22">
        <f t="shared" si="59"/>
        <v>3.5395278931280427</v>
      </c>
      <c r="J106" s="24">
        <f t="shared" si="60"/>
        <v>3.5395278931280427</v>
      </c>
      <c r="K106" s="22">
        <f t="shared" si="61"/>
        <v>6.1866748132004981</v>
      </c>
      <c r="L106" s="22">
        <f t="shared" si="62"/>
        <v>3.5395278931280427</v>
      </c>
      <c r="M106" s="226">
        <f t="shared" si="63"/>
        <v>3.5395278931280427</v>
      </c>
      <c r="N106" s="228">
        <v>8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>Formal Employment (e.g. teachers, salaried staff, etc.)</v>
      </c>
      <c r="B107" s="75">
        <f t="shared" ref="B107:C107" si="78">(B53/$B$83)</f>
        <v>21.21145650240171</v>
      </c>
      <c r="C107" s="75">
        <f t="shared" si="78"/>
        <v>0</v>
      </c>
      <c r="D107" s="24">
        <f t="shared" si="57"/>
        <v>21.21145650240171</v>
      </c>
      <c r="H107" s="24">
        <f t="shared" si="58"/>
        <v>0.57212121212121214</v>
      </c>
      <c r="I107" s="22">
        <f t="shared" si="59"/>
        <v>12.135524205010434</v>
      </c>
      <c r="J107" s="24">
        <f t="shared" si="60"/>
        <v>12.135524205010434</v>
      </c>
      <c r="K107" s="22">
        <f t="shared" si="61"/>
        <v>21.21145650240171</v>
      </c>
      <c r="L107" s="22">
        <f t="shared" si="62"/>
        <v>12.135524205010434</v>
      </c>
      <c r="M107" s="226">
        <f t="shared" si="63"/>
        <v>12.135524205010434</v>
      </c>
      <c r="N107" s="228">
        <v>8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>Self-employment -- see Data2</v>
      </c>
      <c r="B108" s="75">
        <f t="shared" ref="B108:C108" si="79">(B54/$B$83)</f>
        <v>0</v>
      </c>
      <c r="C108" s="75">
        <f t="shared" si="79"/>
        <v>0</v>
      </c>
      <c r="D108" s="24">
        <f t="shared" si="57"/>
        <v>0</v>
      </c>
      <c r="H108" s="24">
        <f t="shared" si="58"/>
        <v>0.48484848484848486</v>
      </c>
      <c r="I108" s="22">
        <f t="shared" si="59"/>
        <v>0</v>
      </c>
      <c r="J108" s="24">
        <f t="shared" si="60"/>
        <v>0</v>
      </c>
      <c r="K108" s="22">
        <f t="shared" si="61"/>
        <v>0</v>
      </c>
      <c r="L108" s="22">
        <f t="shared" si="62"/>
        <v>0</v>
      </c>
      <c r="M108" s="226">
        <f t="shared" si="63"/>
        <v>0</v>
      </c>
      <c r="N108" s="228">
        <v>10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>Small business -- see Data2</v>
      </c>
      <c r="B109" s="75">
        <f t="shared" ref="B109:C109" si="80">(B55/$B$83)</f>
        <v>0</v>
      </c>
      <c r="C109" s="75">
        <f t="shared" si="80"/>
        <v>0</v>
      </c>
      <c r="D109" s="24">
        <f t="shared" si="57"/>
        <v>0</v>
      </c>
      <c r="H109" s="24">
        <f t="shared" si="58"/>
        <v>0.57212121212121214</v>
      </c>
      <c r="I109" s="22">
        <f t="shared" si="59"/>
        <v>0</v>
      </c>
      <c r="J109" s="24">
        <f t="shared" si="60"/>
        <v>0</v>
      </c>
      <c r="K109" s="22">
        <f t="shared" si="61"/>
        <v>0</v>
      </c>
      <c r="L109" s="22">
        <f t="shared" si="62"/>
        <v>0</v>
      </c>
      <c r="M109" s="226">
        <f t="shared" si="63"/>
        <v>0</v>
      </c>
      <c r="N109" s="228">
        <v>11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>Social Cash Transfers -- see Data2</v>
      </c>
      <c r="B110" s="75">
        <f t="shared" ref="B110:C110" si="81">(B56/$B$83)</f>
        <v>1.1224395732520904</v>
      </c>
      <c r="C110" s="75">
        <f t="shared" si="81"/>
        <v>0</v>
      </c>
      <c r="D110" s="24">
        <f t="shared" si="57"/>
        <v>1.1224395732520904</v>
      </c>
      <c r="H110" s="24">
        <f t="shared" si="58"/>
        <v>0</v>
      </c>
      <c r="I110" s="22">
        <f t="shared" si="59"/>
        <v>0</v>
      </c>
      <c r="J110" s="24">
        <f t="shared" si="60"/>
        <v>0</v>
      </c>
      <c r="K110" s="22">
        <f t="shared" si="61"/>
        <v>1.1224395732520904</v>
      </c>
      <c r="L110" s="22">
        <f t="shared" si="62"/>
        <v>0</v>
      </c>
      <c r="M110" s="226">
        <f t="shared" si="63"/>
        <v>0</v>
      </c>
      <c r="N110" s="228">
        <v>14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>Remittances: no. times per year</v>
      </c>
      <c r="B111" s="75">
        <f t="shared" ref="B111:C111" si="82">(B57/$B$83)</f>
        <v>0</v>
      </c>
      <c r="C111" s="75">
        <f t="shared" si="82"/>
        <v>0</v>
      </c>
      <c r="D111" s="24">
        <f t="shared" si="57"/>
        <v>0</v>
      </c>
      <c r="H111" s="24">
        <f t="shared" si="58"/>
        <v>0.67272727272727284</v>
      </c>
      <c r="I111" s="22">
        <f t="shared" si="59"/>
        <v>0</v>
      </c>
      <c r="J111" s="24">
        <f t="shared" si="60"/>
        <v>0</v>
      </c>
      <c r="K111" s="22">
        <f t="shared" si="61"/>
        <v>0</v>
      </c>
      <c r="L111" s="22">
        <f t="shared" si="62"/>
        <v>0</v>
      </c>
      <c r="M111" s="226">
        <f t="shared" si="63"/>
        <v>0</v>
      </c>
      <c r="N111" s="228">
        <v>15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ref="B112:C112" si="83">(B58/$B$83)</f>
        <v>0</v>
      </c>
      <c r="C112" s="75">
        <f t="shared" si="83"/>
        <v>0</v>
      </c>
      <c r="D112" s="24">
        <f t="shared" si="57"/>
        <v>0</v>
      </c>
      <c r="H112" s="24">
        <f t="shared" si="58"/>
        <v>0.60606060606060608</v>
      </c>
      <c r="I112" s="22">
        <f t="shared" si="59"/>
        <v>0</v>
      </c>
      <c r="J112" s="24">
        <f t="shared" si="60"/>
        <v>0</v>
      </c>
      <c r="K112" s="22">
        <f t="shared" si="61"/>
        <v>0</v>
      </c>
      <c r="L112" s="22">
        <f t="shared" si="62"/>
        <v>0</v>
      </c>
      <c r="M112" s="226">
        <f t="shared" si="63"/>
        <v>0</v>
      </c>
      <c r="N112" s="228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ref="B113:C113" si="84">(B59/$B$83)</f>
        <v>0</v>
      </c>
      <c r="C113" s="75">
        <f t="shared" si="84"/>
        <v>0</v>
      </c>
      <c r="D113" s="24">
        <f t="shared" si="57"/>
        <v>0</v>
      </c>
      <c r="H113" s="24">
        <f t="shared" si="58"/>
        <v>0.60606060606060608</v>
      </c>
      <c r="I113" s="22">
        <f t="shared" si="59"/>
        <v>0</v>
      </c>
      <c r="J113" s="24">
        <f t="shared" si="60"/>
        <v>0</v>
      </c>
      <c r="K113" s="22">
        <f t="shared" si="61"/>
        <v>0</v>
      </c>
      <c r="L113" s="22">
        <f t="shared" si="62"/>
        <v>0</v>
      </c>
      <c r="M113" s="226">
        <f t="shared" si="63"/>
        <v>0</v>
      </c>
      <c r="N113" s="228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ref="B114:C114" si="85">(B60/$B$83)</f>
        <v>0</v>
      </c>
      <c r="C114" s="75">
        <f t="shared" si="85"/>
        <v>0</v>
      </c>
      <c r="D114" s="24">
        <f t="shared" si="57"/>
        <v>0</v>
      </c>
      <c r="H114" s="24">
        <f t="shared" si="58"/>
        <v>0.60606060606060608</v>
      </c>
      <c r="I114" s="22">
        <f t="shared" si="59"/>
        <v>0</v>
      </c>
      <c r="J114" s="24">
        <f t="shared" si="60"/>
        <v>0</v>
      </c>
      <c r="K114" s="22">
        <f t="shared" si="61"/>
        <v>0</v>
      </c>
      <c r="L114" s="22">
        <f t="shared" si="62"/>
        <v>0</v>
      </c>
      <c r="M114" s="226">
        <f t="shared" si="63"/>
        <v>0</v>
      </c>
      <c r="N114" s="228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ref="B115:C115" si="86">(B61/$B$83)</f>
        <v>0</v>
      </c>
      <c r="C115" s="75">
        <f t="shared" si="86"/>
        <v>0</v>
      </c>
      <c r="D115" s="24">
        <f t="shared" si="57"/>
        <v>0</v>
      </c>
      <c r="H115" s="24">
        <f t="shared" si="58"/>
        <v>0.60606060606060608</v>
      </c>
      <c r="I115" s="22">
        <f t="shared" si="59"/>
        <v>0</v>
      </c>
      <c r="J115" s="24">
        <f t="shared" si="60"/>
        <v>0</v>
      </c>
      <c r="K115" s="22">
        <f t="shared" si="61"/>
        <v>0</v>
      </c>
      <c r="L115" s="22">
        <f t="shared" si="62"/>
        <v>0</v>
      </c>
      <c r="M115" s="226">
        <f t="shared" si="63"/>
        <v>0</v>
      </c>
      <c r="N115" s="228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ref="B116:C116" si="87">(B62/$B$83)</f>
        <v>0</v>
      </c>
      <c r="C116" s="75">
        <f t="shared" si="87"/>
        <v>0</v>
      </c>
      <c r="D116" s="24">
        <f t="shared" si="57"/>
        <v>0</v>
      </c>
      <c r="H116" s="24">
        <f t="shared" si="58"/>
        <v>0.60606060606060608</v>
      </c>
      <c r="I116" s="22">
        <f t="shared" si="59"/>
        <v>0</v>
      </c>
      <c r="J116" s="24">
        <f t="shared" si="60"/>
        <v>0</v>
      </c>
      <c r="K116" s="22">
        <f t="shared" si="61"/>
        <v>0</v>
      </c>
      <c r="L116" s="22">
        <f t="shared" si="62"/>
        <v>0</v>
      </c>
      <c r="M116" s="226">
        <f t="shared" si="63"/>
        <v>0</v>
      </c>
      <c r="N116" s="2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ref="B117:C117" si="88">(B63/$B$83)</f>
        <v>0</v>
      </c>
      <c r="C117" s="75">
        <f t="shared" si="88"/>
        <v>0</v>
      </c>
      <c r="D117" s="24">
        <f t="shared" si="57"/>
        <v>0</v>
      </c>
      <c r="H117" s="24">
        <f t="shared" si="58"/>
        <v>0.60606060606060608</v>
      </c>
      <c r="I117" s="22">
        <f t="shared" si="59"/>
        <v>0</v>
      </c>
      <c r="J117" s="24">
        <f t="shared" si="60"/>
        <v>0</v>
      </c>
      <c r="K117" s="22">
        <f t="shared" si="61"/>
        <v>0</v>
      </c>
      <c r="L117" s="22">
        <f t="shared" si="62"/>
        <v>0</v>
      </c>
      <c r="M117" s="226">
        <f t="shared" si="63"/>
        <v>0</v>
      </c>
      <c r="N117" s="2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ref="B118:C118" si="89">(B64/$B$83)</f>
        <v>0</v>
      </c>
      <c r="C118" s="75">
        <f t="shared" si="89"/>
        <v>0</v>
      </c>
      <c r="D118" s="24">
        <f t="shared" si="57"/>
        <v>0</v>
      </c>
      <c r="H118" s="24">
        <f t="shared" si="58"/>
        <v>0.60606060606060608</v>
      </c>
      <c r="I118" s="22">
        <f t="shared" si="59"/>
        <v>0</v>
      </c>
      <c r="J118" s="24">
        <f t="shared" si="60"/>
        <v>0</v>
      </c>
      <c r="K118" s="22">
        <f t="shared" si="61"/>
        <v>0</v>
      </c>
      <c r="L118" s="22">
        <f t="shared" si="62"/>
        <v>0</v>
      </c>
      <c r="M118" s="226">
        <f t="shared" si="63"/>
        <v>0</v>
      </c>
      <c r="N118" s="2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33.974419340253071</v>
      </c>
      <c r="C119" s="22">
        <f>SUM(C91:C118)</f>
        <v>-1.7418435634784735</v>
      </c>
      <c r="D119" s="24">
        <f>SUM(D91:D118)</f>
        <v>32.232575776774596</v>
      </c>
      <c r="E119" s="22"/>
      <c r="F119" s="2"/>
      <c r="G119" s="2"/>
      <c r="H119" s="31"/>
      <c r="I119" s="22">
        <f>SUM(I91:I118)</f>
        <v>17.831335918746262</v>
      </c>
      <c r="J119" s="24">
        <f>SUM(J91:J118)</f>
        <v>19.334280151220799</v>
      </c>
      <c r="K119" s="22">
        <f>SUM(K91:K118)</f>
        <v>33.974419340253071</v>
      </c>
      <c r="L119" s="22">
        <f>SUM(L91:L118)</f>
        <v>19.315852197732532</v>
      </c>
      <c r="M119" s="57">
        <f t="shared" si="50"/>
        <v>19.334280151220799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Better-off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0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0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B70/B$83</f>
        <v>2.7065149411656977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2.2964369197769559</v>
      </c>
      <c r="J124" s="236">
        <f>IF(SUMPRODUCT($B$124:$B124,$H$124:$H124)&lt;J$119,($B124*$H124),J$119)</f>
        <v>2.2964369197769559</v>
      </c>
      <c r="K124" s="22">
        <f>(B124)</f>
        <v>2.7065149411656977</v>
      </c>
      <c r="L124" s="29">
        <f>IF(SUMPRODUCT($B$124:$B124,$H$124:$H124)&lt;L$119,($B124*$H124),L$119)</f>
        <v>2.2964369197769559</v>
      </c>
      <c r="M124" s="57">
        <f t="shared" si="90"/>
        <v>2.2964369197769559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75">
        <f>B71/B$83</f>
        <v>2.2141421748132006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1.5834471310785314</v>
      </c>
      <c r="J125" s="236">
        <f>IF(SUMPRODUCT($B$124:$B125,$H$124:$H125)&lt;J$119,($B125*$H125),IF(SUMPRODUCT($B$124:$B124,$H$124:$H124)&lt;J$119,J$119-SUMPRODUCT($B$124:$B124,$H$124:$H124),0))</f>
        <v>1.5834471310785314</v>
      </c>
      <c r="K125" s="22">
        <f t="shared" ref="K125:K126" si="91">(B125)</f>
        <v>2.2141421748132006</v>
      </c>
      <c r="L125" s="29">
        <f>IF(SUMPRODUCT($B$124:$B125,$H$124:$H125)&lt;L$119,($B125*$H125),IF(SUMPRODUCT($B$124:$B124,$H$124:$H124)&lt;L$119,L$119-SUMPRODUCT($B$124:$B124,$H$124:$H124),0))</f>
        <v>1.5834471310785314</v>
      </c>
      <c r="M125" s="57">
        <f t="shared" ref="M125:M126" si="92">(J125)</f>
        <v>1.5834471310785314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75">
        <f>B72/B$83</f>
        <v>3.575898042029888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2.5573089027850111</v>
      </c>
      <c r="K126" s="22">
        <f t="shared" si="91"/>
        <v>3.575898042029888</v>
      </c>
      <c r="L126" s="29">
        <f>IF(SUMPRODUCT($B$124:$B126,$H$124:$H126)&lt;(L$119-L$128),($B126*$H126),IF(SUMPRODUCT($B$124:$B125,$H$124:$H125)&lt;(L$119-L$128),L$119-L$128-SUMPRODUCT($B$124:$B125,$H$124:$H125),0))</f>
        <v>2.5573089027850111</v>
      </c>
      <c r="M126" s="57">
        <f t="shared" si="92"/>
        <v>2.5573089027850111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11.482173849737592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8.2114940258729447</v>
      </c>
      <c r="K127" s="22">
        <f>(B127)</f>
        <v>11.482173849737592</v>
      </c>
      <c r="L127" s="29">
        <f>IF(SUMPRODUCT($B$124:$B127,$H$124:$H127)&lt;(L$119-L$128),($B127*$H127),IF(SUMPRODUCT($B$124:$B126,$H$124:$H126)&lt;(L$119-L128),L$119-L$128-SUMPRODUCT($B$124:$B126,$H$124:$H126),0))</f>
        <v>8.2114940258729447</v>
      </c>
      <c r="M127" s="57">
        <f t="shared" si="90"/>
        <v>8.2114940258729447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0.64712539405799685</v>
      </c>
      <c r="C128" s="2"/>
      <c r="D128" s="31"/>
      <c r="E128" s="2"/>
      <c r="F128" s="2"/>
      <c r="G128" s="2"/>
      <c r="H128" s="24"/>
      <c r="I128" s="29">
        <f>(I30)</f>
        <v>15.534898998969307</v>
      </c>
      <c r="J128" s="227">
        <f>(J30)</f>
        <v>0.26570027470729551</v>
      </c>
      <c r="K128" s="22">
        <f>(B128)</f>
        <v>0.64712539405799685</v>
      </c>
      <c r="L128" s="22">
        <f>IF(L124=L119,0,(L119-L124)/(B119-B124)*K128)</f>
        <v>0.35223645556192612</v>
      </c>
      <c r="M128" s="57">
        <f t="shared" si="90"/>
        <v>0.26570027470729551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13.348564938448696</v>
      </c>
      <c r="C129" s="2"/>
      <c r="D129" s="31"/>
      <c r="E129" s="2"/>
      <c r="F129" s="2"/>
      <c r="G129" s="2"/>
      <c r="H129" s="24"/>
      <c r="I129" s="29"/>
      <c r="J129" s="227">
        <f>IF(SUM(J124:J128)&gt;J130,0,J130-SUM(J124:J128))</f>
        <v>4.4198928970000608</v>
      </c>
      <c r="K129" s="29">
        <f>(B129)</f>
        <v>13.348564938448696</v>
      </c>
      <c r="L129" s="60">
        <f>IF(SUM(L124:L128)&gt;L130,0,L130-SUM(L124:L128))</f>
        <v>4.3149287626571642</v>
      </c>
      <c r="M129" s="57">
        <f t="shared" si="90"/>
        <v>4.4198928970000608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33.974419340253071</v>
      </c>
      <c r="C130" s="2"/>
      <c r="D130" s="31"/>
      <c r="E130" s="2"/>
      <c r="F130" s="2"/>
      <c r="G130" s="2"/>
      <c r="H130" s="24"/>
      <c r="I130" s="29">
        <f>(I119)</f>
        <v>17.831335918746262</v>
      </c>
      <c r="J130" s="227">
        <f>(J119)</f>
        <v>19.334280151220799</v>
      </c>
      <c r="K130" s="22">
        <f>(B130)</f>
        <v>33.974419340253071</v>
      </c>
      <c r="L130" s="22">
        <f>(L119)</f>
        <v>19.315852197732532</v>
      </c>
      <c r="M130" s="57">
        <f t="shared" si="90"/>
        <v>19.334280151220799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1.5834471310785325</v>
      </c>
      <c r="J131" s="236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6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130" priority="164" operator="equal">
      <formula>16</formula>
    </cfRule>
    <cfRule type="cellIs" dxfId="129" priority="165" operator="equal">
      <formula>15</formula>
    </cfRule>
    <cfRule type="cellIs" dxfId="128" priority="166" operator="equal">
      <formula>14</formula>
    </cfRule>
    <cfRule type="cellIs" dxfId="127" priority="167" operator="equal">
      <formula>13</formula>
    </cfRule>
    <cfRule type="cellIs" dxfId="126" priority="168" operator="equal">
      <formula>12</formula>
    </cfRule>
    <cfRule type="cellIs" dxfId="125" priority="169" operator="equal">
      <formula>11</formula>
    </cfRule>
    <cfRule type="cellIs" dxfId="124" priority="170" operator="equal">
      <formula>10</formula>
    </cfRule>
    <cfRule type="cellIs" dxfId="123" priority="171" operator="equal">
      <formula>9</formula>
    </cfRule>
    <cfRule type="cellIs" dxfId="122" priority="172" operator="equal">
      <formula>8</formula>
    </cfRule>
    <cfRule type="cellIs" dxfId="121" priority="173" operator="equal">
      <formula>7</formula>
    </cfRule>
    <cfRule type="cellIs" dxfId="120" priority="174" operator="equal">
      <formula>6</formula>
    </cfRule>
    <cfRule type="cellIs" dxfId="119" priority="175" operator="equal">
      <formula>5</formula>
    </cfRule>
    <cfRule type="cellIs" dxfId="118" priority="176" operator="equal">
      <formula>4</formula>
    </cfRule>
    <cfRule type="cellIs" dxfId="117" priority="177" operator="equal">
      <formula>3</formula>
    </cfRule>
    <cfRule type="cellIs" dxfId="116" priority="178" operator="equal">
      <formula>2</formula>
    </cfRule>
    <cfRule type="cellIs" dxfId="115" priority="179" operator="equal">
      <formula>1</formula>
    </cfRule>
  </conditionalFormatting>
  <conditionalFormatting sqref="N29">
    <cfRule type="cellIs" dxfId="114" priority="148" operator="equal">
      <formula>16</formula>
    </cfRule>
    <cfRule type="cellIs" dxfId="113" priority="149" operator="equal">
      <formula>15</formula>
    </cfRule>
    <cfRule type="cellIs" dxfId="112" priority="150" operator="equal">
      <formula>14</formula>
    </cfRule>
    <cfRule type="cellIs" dxfId="111" priority="151" operator="equal">
      <formula>13</formula>
    </cfRule>
    <cfRule type="cellIs" dxfId="110" priority="152" operator="equal">
      <formula>12</formula>
    </cfRule>
    <cfRule type="cellIs" dxfId="109" priority="153" operator="equal">
      <formula>11</formula>
    </cfRule>
    <cfRule type="cellIs" dxfId="108" priority="154" operator="equal">
      <formula>10</formula>
    </cfRule>
    <cfRule type="cellIs" dxfId="107" priority="155" operator="equal">
      <formula>9</formula>
    </cfRule>
    <cfRule type="cellIs" dxfId="106" priority="156" operator="equal">
      <formula>8</formula>
    </cfRule>
    <cfRule type="cellIs" dxfId="105" priority="157" operator="equal">
      <formula>7</formula>
    </cfRule>
    <cfRule type="cellIs" dxfId="104" priority="158" operator="equal">
      <formula>6</formula>
    </cfRule>
    <cfRule type="cellIs" dxfId="103" priority="159" operator="equal">
      <formula>5</formula>
    </cfRule>
    <cfRule type="cellIs" dxfId="102" priority="160" operator="equal">
      <formula>4</formula>
    </cfRule>
    <cfRule type="cellIs" dxfId="101" priority="161" operator="equal">
      <formula>3</formula>
    </cfRule>
    <cfRule type="cellIs" dxfId="100" priority="162" operator="equal">
      <formula>2</formula>
    </cfRule>
    <cfRule type="cellIs" dxfId="99" priority="163" operator="equal">
      <formula>1</formula>
    </cfRule>
  </conditionalFormatting>
  <conditionalFormatting sqref="N113:N118">
    <cfRule type="cellIs" dxfId="98" priority="100" operator="equal">
      <formula>16</formula>
    </cfRule>
    <cfRule type="cellIs" dxfId="97" priority="101" operator="equal">
      <formula>15</formula>
    </cfRule>
    <cfRule type="cellIs" dxfId="96" priority="102" operator="equal">
      <formula>14</formula>
    </cfRule>
    <cfRule type="cellIs" dxfId="95" priority="103" operator="equal">
      <formula>13</formula>
    </cfRule>
    <cfRule type="cellIs" dxfId="94" priority="104" operator="equal">
      <formula>12</formula>
    </cfRule>
    <cfRule type="cellIs" dxfId="93" priority="105" operator="equal">
      <formula>11</formula>
    </cfRule>
    <cfRule type="cellIs" dxfId="92" priority="106" operator="equal">
      <formula>10</formula>
    </cfRule>
    <cfRule type="cellIs" dxfId="91" priority="107" operator="equal">
      <formula>9</formula>
    </cfRule>
    <cfRule type="cellIs" dxfId="90" priority="108" operator="equal">
      <formula>8</formula>
    </cfRule>
    <cfRule type="cellIs" dxfId="89" priority="109" operator="equal">
      <formula>7</formula>
    </cfRule>
    <cfRule type="cellIs" dxfId="88" priority="110" operator="equal">
      <formula>6</formula>
    </cfRule>
    <cfRule type="cellIs" dxfId="87" priority="111" operator="equal">
      <formula>5</formula>
    </cfRule>
    <cfRule type="cellIs" dxfId="86" priority="112" operator="equal">
      <formula>4</formula>
    </cfRule>
    <cfRule type="cellIs" dxfId="85" priority="113" operator="equal">
      <formula>3</formula>
    </cfRule>
    <cfRule type="cellIs" dxfId="84" priority="114" operator="equal">
      <formula>2</formula>
    </cfRule>
    <cfRule type="cellIs" dxfId="83" priority="115" operator="equal">
      <formula>1</formula>
    </cfRule>
  </conditionalFormatting>
  <conditionalFormatting sqref="N27:N28">
    <cfRule type="cellIs" dxfId="82" priority="84" operator="equal">
      <formula>16</formula>
    </cfRule>
    <cfRule type="cellIs" dxfId="81" priority="85" operator="equal">
      <formula>15</formula>
    </cfRule>
    <cfRule type="cellIs" dxfId="80" priority="86" operator="equal">
      <formula>14</formula>
    </cfRule>
    <cfRule type="cellIs" dxfId="79" priority="87" operator="equal">
      <formula>13</formula>
    </cfRule>
    <cfRule type="cellIs" dxfId="78" priority="88" operator="equal">
      <formula>12</formula>
    </cfRule>
    <cfRule type="cellIs" dxfId="77" priority="89" operator="equal">
      <formula>11</formula>
    </cfRule>
    <cfRule type="cellIs" dxfId="76" priority="90" operator="equal">
      <formula>10</formula>
    </cfRule>
    <cfRule type="cellIs" dxfId="75" priority="91" operator="equal">
      <formula>9</formula>
    </cfRule>
    <cfRule type="cellIs" dxfId="74" priority="92" operator="equal">
      <formula>8</formula>
    </cfRule>
    <cfRule type="cellIs" dxfId="73" priority="93" operator="equal">
      <formula>7</formula>
    </cfRule>
    <cfRule type="cellIs" dxfId="72" priority="94" operator="equal">
      <formula>6</formula>
    </cfRule>
    <cfRule type="cellIs" dxfId="71" priority="95" operator="equal">
      <formula>5</formula>
    </cfRule>
    <cfRule type="cellIs" dxfId="70" priority="96" operator="equal">
      <formula>4</formula>
    </cfRule>
    <cfRule type="cellIs" dxfId="69" priority="97" operator="equal">
      <formula>3</formula>
    </cfRule>
    <cfRule type="cellIs" dxfId="68" priority="98" operator="equal">
      <formula>2</formula>
    </cfRule>
    <cfRule type="cellIs" dxfId="67" priority="99" operator="equal">
      <formula>1</formula>
    </cfRule>
  </conditionalFormatting>
  <conditionalFormatting sqref="N112">
    <cfRule type="cellIs" dxfId="66" priority="52" operator="equal">
      <formula>16</formula>
    </cfRule>
    <cfRule type="cellIs" dxfId="65" priority="53" operator="equal">
      <formula>15</formula>
    </cfRule>
    <cfRule type="cellIs" dxfId="64" priority="54" operator="equal">
      <formula>14</formula>
    </cfRule>
    <cfRule type="cellIs" dxfId="63" priority="55" operator="equal">
      <formula>13</formula>
    </cfRule>
    <cfRule type="cellIs" dxfId="62" priority="56" operator="equal">
      <formula>12</formula>
    </cfRule>
    <cfRule type="cellIs" dxfId="61" priority="57" operator="equal">
      <formula>11</formula>
    </cfRule>
    <cfRule type="cellIs" dxfId="60" priority="58" operator="equal">
      <formula>10</formula>
    </cfRule>
    <cfRule type="cellIs" dxfId="59" priority="59" operator="equal">
      <formula>9</formula>
    </cfRule>
    <cfRule type="cellIs" dxfId="58" priority="60" operator="equal">
      <formula>8</formula>
    </cfRule>
    <cfRule type="cellIs" dxfId="57" priority="61" operator="equal">
      <formula>7</formula>
    </cfRule>
    <cfRule type="cellIs" dxfId="56" priority="62" operator="equal">
      <formula>6</formula>
    </cfRule>
    <cfRule type="cellIs" dxfId="55" priority="63" operator="equal">
      <formula>5</formula>
    </cfRule>
    <cfRule type="cellIs" dxfId="54" priority="64" operator="equal">
      <formula>4</formula>
    </cfRule>
    <cfRule type="cellIs" dxfId="53" priority="65" operator="equal">
      <formula>3</formula>
    </cfRule>
    <cfRule type="cellIs" dxfId="52" priority="66" operator="equal">
      <formula>2</formula>
    </cfRule>
    <cfRule type="cellIs" dxfId="51" priority="67" operator="equal">
      <formula>1</formula>
    </cfRule>
  </conditionalFormatting>
  <conditionalFormatting sqref="N91:N104">
    <cfRule type="cellIs" dxfId="50" priority="36" operator="equal">
      <formula>16</formula>
    </cfRule>
    <cfRule type="cellIs" dxfId="49" priority="37" operator="equal">
      <formula>15</formula>
    </cfRule>
    <cfRule type="cellIs" dxfId="48" priority="38" operator="equal">
      <formula>14</formula>
    </cfRule>
    <cfRule type="cellIs" dxfId="47" priority="39" operator="equal">
      <formula>13</formula>
    </cfRule>
    <cfRule type="cellIs" dxfId="46" priority="40" operator="equal">
      <formula>12</formula>
    </cfRule>
    <cfRule type="cellIs" dxfId="45" priority="41" operator="equal">
      <formula>11</formula>
    </cfRule>
    <cfRule type="cellIs" dxfId="44" priority="42" operator="equal">
      <formula>10</formula>
    </cfRule>
    <cfRule type="cellIs" dxfId="43" priority="43" operator="equal">
      <formula>9</formula>
    </cfRule>
    <cfRule type="cellIs" dxfId="42" priority="44" operator="equal">
      <formula>8</formula>
    </cfRule>
    <cfRule type="cellIs" dxfId="41" priority="45" operator="equal">
      <formula>7</formula>
    </cfRule>
    <cfRule type="cellIs" dxfId="40" priority="46" operator="equal">
      <formula>6</formula>
    </cfRule>
    <cfRule type="cellIs" dxfId="39" priority="47" operator="equal">
      <formula>5</formula>
    </cfRule>
    <cfRule type="cellIs" dxfId="38" priority="48" operator="equal">
      <formula>4</formula>
    </cfRule>
    <cfRule type="cellIs" dxfId="37" priority="49" operator="equal">
      <formula>3</formula>
    </cfRule>
    <cfRule type="cellIs" dxfId="36" priority="50" operator="equal">
      <formula>2</formula>
    </cfRule>
    <cfRule type="cellIs" dxfId="35" priority="51" operator="equal">
      <formula>1</formula>
    </cfRule>
  </conditionalFormatting>
  <conditionalFormatting sqref="N105:N111">
    <cfRule type="cellIs" dxfId="34" priority="20" operator="equal">
      <formula>16</formula>
    </cfRule>
    <cfRule type="cellIs" dxfId="33" priority="21" operator="equal">
      <formula>15</formula>
    </cfRule>
    <cfRule type="cellIs" dxfId="32" priority="22" operator="equal">
      <formula>14</formula>
    </cfRule>
    <cfRule type="cellIs" dxfId="31" priority="23" operator="equal">
      <formula>13</formula>
    </cfRule>
    <cfRule type="cellIs" dxfId="30" priority="24" operator="equal">
      <formula>12</formula>
    </cfRule>
    <cfRule type="cellIs" dxfId="29" priority="25" operator="equal">
      <formula>11</formula>
    </cfRule>
    <cfRule type="cellIs" dxfId="28" priority="26" operator="equal">
      <formula>10</formula>
    </cfRule>
    <cfRule type="cellIs" dxfId="27" priority="27" operator="equal">
      <formula>9</formula>
    </cfRule>
    <cfRule type="cellIs" dxfId="26" priority="28" operator="equal">
      <formula>8</formula>
    </cfRule>
    <cfRule type="cellIs" dxfId="25" priority="29" operator="equal">
      <formula>7</formula>
    </cfRule>
    <cfRule type="cellIs" dxfId="24" priority="30" operator="equal">
      <formula>6</formula>
    </cfRule>
    <cfRule type="cellIs" dxfId="23" priority="31" operator="equal">
      <formula>5</formula>
    </cfRule>
    <cfRule type="cellIs" dxfId="22" priority="32" operator="equal">
      <formula>4</formula>
    </cfRule>
    <cfRule type="cellIs" dxfId="21" priority="33" operator="equal">
      <formula>3</formula>
    </cfRule>
    <cfRule type="cellIs" dxfId="20" priority="34" operator="equal">
      <formula>2</formula>
    </cfRule>
    <cfRule type="cellIs" dxfId="19" priority="35" operator="equal">
      <formula>1</formula>
    </cfRule>
  </conditionalFormatting>
  <conditionalFormatting sqref="N6:N26">
    <cfRule type="cellIs" dxfId="18" priority="4" operator="equal">
      <formula>16</formula>
    </cfRule>
    <cfRule type="cellIs" dxfId="17" priority="5" operator="equal">
      <formula>15</formula>
    </cfRule>
    <cfRule type="cellIs" dxfId="16" priority="6" operator="equal">
      <formula>14</formula>
    </cfRule>
    <cfRule type="cellIs" dxfId="15" priority="7" operator="equal">
      <formula>13</formula>
    </cfRule>
    <cfRule type="cellIs" dxfId="14" priority="8" operator="equal">
      <formula>12</formula>
    </cfRule>
    <cfRule type="cellIs" dxfId="13" priority="9" operator="equal">
      <formula>11</formula>
    </cfRule>
    <cfRule type="cellIs" dxfId="12" priority="10" operator="equal">
      <formula>10</formula>
    </cfRule>
    <cfRule type="cellIs" dxfId="11" priority="11" operator="equal">
      <formula>9</formula>
    </cfRule>
    <cfRule type="cellIs" dxfId="10" priority="12" operator="equal">
      <formula>8</formula>
    </cfRule>
    <cfRule type="cellIs" dxfId="9" priority="13" operator="equal">
      <formula>7</formula>
    </cfRule>
    <cfRule type="cellIs" dxfId="8" priority="14" operator="equal">
      <formula>6</formula>
    </cfRule>
    <cfRule type="cellIs" dxfId="7" priority="15" operator="equal">
      <formula>5</formula>
    </cfRule>
    <cfRule type="cellIs" dxfId="6" priority="16" operator="equal">
      <formula>4</formula>
    </cfRule>
    <cfRule type="cellIs" dxfId="5" priority="17" operator="equal">
      <formula>3</formula>
    </cfRule>
    <cfRule type="cellIs" dxfId="4" priority="18" operator="equal">
      <formula>2</formula>
    </cfRule>
    <cfRule type="cellIs" dxfId="3" priority="19" operator="equal">
      <formula>1</formula>
    </cfRule>
  </conditionalFormatting>
  <conditionalFormatting sqref="R31:T31">
    <cfRule type="cellIs" dxfId="2" priority="3" operator="greaterThan">
      <formula>0</formula>
    </cfRule>
  </conditionalFormatting>
  <conditionalFormatting sqref="R32:T32">
    <cfRule type="cellIs" dxfId="1" priority="2" operator="greaterThan">
      <formula>0</formula>
    </cfRule>
  </conditionalFormatting>
  <conditionalFormatting sqref="R30:T30">
    <cfRule type="cellIs" dxfId="0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zoomScale="90" zoomScaleNormal="90" zoomScalePageLayoutView="90" workbookViewId="0">
      <selection activeCell="W26" sqref="W26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8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9">
      <c r="A2" s="247"/>
      <c r="B2" s="247"/>
      <c r="C2" s="247"/>
      <c r="D2" s="247"/>
      <c r="E2" s="247"/>
      <c r="F2" s="248"/>
      <c r="G2" s="245"/>
      <c r="H2" s="245"/>
      <c r="I2" s="245"/>
      <c r="J2" s="245"/>
      <c r="K2" s="264" t="str">
        <f>Poor!A1</f>
        <v>ZALOI: 59302</v>
      </c>
      <c r="L2" s="264"/>
      <c r="M2" s="264"/>
      <c r="N2" s="264"/>
      <c r="O2" s="264"/>
      <c r="P2" s="264"/>
      <c r="Q2" s="264"/>
      <c r="R2" s="247"/>
      <c r="S2" s="247"/>
      <c r="T2" s="247"/>
      <c r="U2" s="247"/>
      <c r="V2" s="247"/>
    </row>
    <row r="3" spans="1:22" s="92" customFormat="1" ht="17">
      <c r="A3" s="90"/>
      <c r="B3" s="265" t="str">
        <f>V.Poor!A3</f>
        <v>Sources of Food : Very Poor HHs</v>
      </c>
      <c r="C3" s="266"/>
      <c r="D3" s="266"/>
      <c r="E3" s="266"/>
      <c r="F3" s="244"/>
      <c r="G3" s="263" t="str">
        <f>Poor!A3</f>
        <v>Sources of Food : Poor HHs</v>
      </c>
      <c r="H3" s="263"/>
      <c r="I3" s="263"/>
      <c r="J3" s="263"/>
      <c r="K3" s="245"/>
      <c r="L3" s="263" t="str">
        <f>Middle!A3</f>
        <v>Sources of Food : Middle HHs</v>
      </c>
      <c r="M3" s="263"/>
      <c r="N3" s="263"/>
      <c r="O3" s="263"/>
      <c r="P3" s="263"/>
      <c r="Q3" s="246"/>
      <c r="R3" s="263" t="str">
        <f>Rich!A3</f>
        <v>Sources of Food : Better-off HHs</v>
      </c>
      <c r="S3" s="263"/>
      <c r="T3" s="263"/>
      <c r="U3" s="263"/>
      <c r="V3" s="90"/>
    </row>
    <row r="4" spans="1:22">
      <c r="A4" s="87"/>
      <c r="B4" s="87"/>
      <c r="C4" s="87"/>
      <c r="D4" s="87"/>
      <c r="E4" s="87"/>
      <c r="F4" s="88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8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8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8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8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8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8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8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8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8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8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8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8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8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8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8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8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8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8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8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8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8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8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8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8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8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8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8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8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8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8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8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8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8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8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8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8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8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8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8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8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8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8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8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8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8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tabSelected="1" topLeftCell="H57" workbookViewId="0">
      <selection activeCell="T65" sqref="T65"/>
    </sheetView>
  </sheetViews>
  <sheetFormatPr baseColWidth="10" defaultColWidth="8.7109375" defaultRowHeight="15" x14ac:dyDescent="0"/>
  <cols>
    <col min="1" max="1" width="24.42578125" bestFit="1" customWidth="1"/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21">
      <c r="A2" s="87"/>
      <c r="B2" s="87"/>
      <c r="C2" s="87"/>
      <c r="D2" s="87"/>
      <c r="E2" s="87"/>
      <c r="F2" s="87"/>
      <c r="G2" s="89"/>
      <c r="H2" s="89"/>
      <c r="I2" s="89"/>
      <c r="J2" s="89"/>
      <c r="K2" s="268" t="str">
        <f>Poor!A1</f>
        <v>ZALOI: 59302</v>
      </c>
      <c r="L2" s="268"/>
      <c r="M2" s="268"/>
      <c r="N2" s="268"/>
      <c r="O2" s="268"/>
      <c r="P2" s="268"/>
      <c r="Q2" s="268"/>
      <c r="R2" s="87"/>
      <c r="S2" s="87"/>
      <c r="T2" s="87"/>
      <c r="U2" s="87"/>
      <c r="V2" s="87"/>
    </row>
    <row r="3" spans="1:22" s="92" customFormat="1" ht="17">
      <c r="A3" s="90"/>
      <c r="B3" s="89"/>
      <c r="C3" s="269" t="str">
        <f>V.Poor!A34</f>
        <v>Income : Very Poor HHs</v>
      </c>
      <c r="D3" s="269"/>
      <c r="E3" s="269"/>
      <c r="F3" s="90"/>
      <c r="G3" s="267" t="str">
        <f>Poor!A34</f>
        <v>Income : Poor HHs</v>
      </c>
      <c r="H3" s="267"/>
      <c r="I3" s="267"/>
      <c r="J3" s="267"/>
      <c r="K3" s="89"/>
      <c r="L3" s="267" t="str">
        <f>Middle!A34</f>
        <v>Income : Middle HHs</v>
      </c>
      <c r="M3" s="267"/>
      <c r="N3" s="267"/>
      <c r="O3" s="267"/>
      <c r="P3" s="267"/>
      <c r="Q3" s="91"/>
      <c r="R3" s="267" t="str">
        <f>Rich!A34</f>
        <v>Income : Better-off HHs</v>
      </c>
      <c r="S3" s="267"/>
      <c r="T3" s="267"/>
      <c r="U3" s="267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71" spans="1:9">
      <c r="B71" s="170" t="s">
        <v>88</v>
      </c>
      <c r="C71" s="170" t="s">
        <v>89</v>
      </c>
      <c r="D71" s="170" t="s">
        <v>90</v>
      </c>
      <c r="E71" s="170" t="s">
        <v>91</v>
      </c>
      <c r="F71" s="170" t="s">
        <v>92</v>
      </c>
      <c r="G71" s="170" t="s">
        <v>93</v>
      </c>
      <c r="H71" s="170" t="s">
        <v>94</v>
      </c>
      <c r="I71" s="170" t="s">
        <v>95</v>
      </c>
    </row>
    <row r="72" spans="1:9">
      <c r="A72" t="str">
        <f>V.Poor!Q7</f>
        <v>Own crops Consumed</v>
      </c>
      <c r="B72" s="109">
        <f>V.Poor!R7</f>
        <v>2273.0022575656412</v>
      </c>
      <c r="C72" s="109">
        <f>Poor!R7</f>
        <v>4695.3507878055107</v>
      </c>
      <c r="D72" s="109">
        <f>Middle!R7</f>
        <v>5493.7993359155798</v>
      </c>
      <c r="E72" s="109">
        <f>Rich!R7</f>
        <v>3588.691220685665</v>
      </c>
      <c r="F72" s="109">
        <f>V.Poor!T7</f>
        <v>3343.563195889893</v>
      </c>
      <c r="G72" s="109">
        <f>Poor!T7</f>
        <v>8038.7800036428862</v>
      </c>
      <c r="H72" s="109">
        <f>Middle!T7</f>
        <v>10229.996934657667</v>
      </c>
      <c r="I72" s="109">
        <f>Rich!T7</f>
        <v>4081.2639721778764</v>
      </c>
    </row>
    <row r="73" spans="1:9">
      <c r="A73" t="str">
        <f>V.Poor!Q8</f>
        <v>Own crops sold</v>
      </c>
      <c r="B73" s="109">
        <f>V.Poor!R8</f>
        <v>1656.5539794384563</v>
      </c>
      <c r="C73" s="109">
        <f>Poor!R8</f>
        <v>3893.9208216150018</v>
      </c>
      <c r="D73" s="109">
        <f>Middle!R8</f>
        <v>7824.2334266095804</v>
      </c>
      <c r="E73" s="109">
        <f>Rich!R8</f>
        <v>19755.539548914556</v>
      </c>
      <c r="F73" s="109">
        <f>V.Poor!T8</f>
        <v>0</v>
      </c>
      <c r="G73" s="109">
        <f>Poor!T8</f>
        <v>0</v>
      </c>
      <c r="H73" s="109">
        <f>Middle!T8</f>
        <v>2476.2445739542432</v>
      </c>
      <c r="I73" s="109">
        <f>Rich!T8</f>
        <v>19701.065020179296</v>
      </c>
    </row>
    <row r="74" spans="1:9">
      <c r="A74" t="str">
        <f>V.Poor!Q9</f>
        <v>Animal products consumed</v>
      </c>
      <c r="B74" s="109">
        <f>V.Poor!R9</f>
        <v>0</v>
      </c>
      <c r="C74" s="109">
        <f>Poor!R9</f>
        <v>264.98815561722739</v>
      </c>
      <c r="D74" s="109">
        <f>Middle!R9</f>
        <v>596.68339902004163</v>
      </c>
      <c r="E74" s="109">
        <f>Rich!R9</f>
        <v>2463.7589230601739</v>
      </c>
      <c r="F74" s="109">
        <f>V.Poor!T9</f>
        <v>0</v>
      </c>
      <c r="G74" s="109">
        <f>Poor!T9</f>
        <v>150.18172241243082</v>
      </c>
      <c r="H74" s="109">
        <f>Middle!T9</f>
        <v>338.16960758493536</v>
      </c>
      <c r="I74" s="109">
        <f>Rich!T9</f>
        <v>1396.3324429060535</v>
      </c>
    </row>
    <row r="75" spans="1:9">
      <c r="A75" t="str">
        <f>V.Poor!Q10</f>
        <v>Animal products sold</v>
      </c>
      <c r="B75" s="109">
        <f>V.Poor!R10</f>
        <v>0</v>
      </c>
      <c r="C75" s="109">
        <f>Poor!R10</f>
        <v>0</v>
      </c>
      <c r="D75" s="109">
        <f>Middle!R10</f>
        <v>0</v>
      </c>
      <c r="E75" s="109">
        <f>Rich!R10</f>
        <v>0</v>
      </c>
      <c r="F75" s="109">
        <f>V.Poor!T10</f>
        <v>0</v>
      </c>
      <c r="G75" s="109">
        <f>Poor!T10</f>
        <v>0</v>
      </c>
      <c r="H75" s="109">
        <f>Middle!T10</f>
        <v>0</v>
      </c>
      <c r="I75" s="109">
        <f>Rich!T10</f>
        <v>0</v>
      </c>
    </row>
    <row r="76" spans="1:9">
      <c r="A76" t="str">
        <f>V.Poor!Q11</f>
        <v>Animals sold</v>
      </c>
      <c r="B76" s="109">
        <f>V.Poor!R11</f>
        <v>0</v>
      </c>
      <c r="C76" s="109">
        <f>Poor!R11</f>
        <v>2911.3426703663563</v>
      </c>
      <c r="D76" s="109">
        <f>Middle!R11</f>
        <v>12809.907749611966</v>
      </c>
      <c r="E76" s="109">
        <f>Rich!R11</f>
        <v>41840.153234122205</v>
      </c>
      <c r="F76" s="109">
        <f>V.Poor!T11</f>
        <v>0</v>
      </c>
      <c r="G76" s="109">
        <f>Poor!T11</f>
        <v>1887.9999999999998</v>
      </c>
      <c r="H76" s="109">
        <f>Middle!T11</f>
        <v>9991.819951331745</v>
      </c>
      <c r="I76" s="109">
        <f>Rich!T11</f>
        <v>27143.301389018576</v>
      </c>
    </row>
    <row r="77" spans="1:9">
      <c r="A77" t="str">
        <f>V.Poor!Q12</f>
        <v>Wild foods consumed and sold</v>
      </c>
      <c r="B77" s="109">
        <f>V.Poor!R12</f>
        <v>2081.5291403487377</v>
      </c>
      <c r="C77" s="109">
        <f>Poor!R12</f>
        <v>3391.7142109768047</v>
      </c>
      <c r="D77" s="109">
        <f>Middle!R12</f>
        <v>0</v>
      </c>
      <c r="E77" s="109">
        <f>Rich!R12</f>
        <v>0</v>
      </c>
      <c r="F77" s="109">
        <f>V.Poor!T12</f>
        <v>2566.5</v>
      </c>
      <c r="G77" s="109">
        <f>Poor!T12</f>
        <v>5354.2499999999991</v>
      </c>
      <c r="H77" s="109">
        <f>Middle!T12</f>
        <v>0</v>
      </c>
      <c r="I77" s="109">
        <f>Rich!T12</f>
        <v>0</v>
      </c>
    </row>
    <row r="78" spans="1:9">
      <c r="A78" t="str">
        <f>V.Poor!Q13</f>
        <v>Labour - casual</v>
      </c>
      <c r="B78" s="109">
        <f>V.Poor!R13</f>
        <v>12130.269869815804</v>
      </c>
      <c r="C78" s="109">
        <f>Poor!R13</f>
        <v>21404.918573139941</v>
      </c>
      <c r="D78" s="109">
        <f>Middle!R13</f>
        <v>0</v>
      </c>
      <c r="E78" s="109">
        <f>Rich!R13</f>
        <v>0</v>
      </c>
      <c r="F78" s="109">
        <f>V.Poor!T13</f>
        <v>9894.0320779562808</v>
      </c>
      <c r="G78" s="109">
        <f>Poor!T13</f>
        <v>16656.524348169609</v>
      </c>
      <c r="H78" s="109">
        <f>Middle!T13</f>
        <v>0</v>
      </c>
      <c r="I78" s="109">
        <f>Rich!T13</f>
        <v>0</v>
      </c>
    </row>
    <row r="79" spans="1:9">
      <c r="A79" t="str">
        <f>V.Poor!Q14</f>
        <v>Labour - formal emp</v>
      </c>
      <c r="B79" s="109">
        <f>V.Poor!R14</f>
        <v>0</v>
      </c>
      <c r="C79" s="109">
        <f>Poor!R14</f>
        <v>20961.667226637765</v>
      </c>
      <c r="D79" s="109">
        <f>Middle!R14</f>
        <v>113542.36414428789</v>
      </c>
      <c r="E79" s="109">
        <f>Rich!R14</f>
        <v>309434.13525036693</v>
      </c>
      <c r="F79" s="109">
        <f>V.Poor!T14</f>
        <v>0</v>
      </c>
      <c r="G79" s="109">
        <f>Poor!T14</f>
        <v>13593.599999999999</v>
      </c>
      <c r="H79" s="109">
        <f>Middle!T14</f>
        <v>73632</v>
      </c>
      <c r="I79" s="109">
        <f>Rich!T14</f>
        <v>200667.42857142861</v>
      </c>
    </row>
    <row r="80" spans="1:9">
      <c r="A80" t="str">
        <f>V.Poor!Q15</f>
        <v>Labour - public works</v>
      </c>
      <c r="B80" s="109">
        <f>V.Poor!R15</f>
        <v>0</v>
      </c>
      <c r="C80" s="109">
        <f>Poor!R15</f>
        <v>0</v>
      </c>
      <c r="D80" s="109">
        <f>Middle!R15</f>
        <v>0</v>
      </c>
      <c r="E80" s="109">
        <f>Rich!R15</f>
        <v>0</v>
      </c>
      <c r="F80" s="109">
        <f>V.Poor!T15</f>
        <v>0</v>
      </c>
      <c r="G80" s="109">
        <f>Poor!T15</f>
        <v>0</v>
      </c>
      <c r="H80" s="109">
        <f>Middle!T15</f>
        <v>0</v>
      </c>
      <c r="I80" s="109">
        <f>Rich!T15</f>
        <v>0</v>
      </c>
    </row>
    <row r="81" spans="1:9">
      <c r="A81" t="str">
        <f>V.Poor!Q16</f>
        <v>Self - employment</v>
      </c>
      <c r="B81" s="109">
        <f>V.Poor!R16</f>
        <v>0</v>
      </c>
      <c r="C81" s="109">
        <f>Poor!R16</f>
        <v>9345.4099718760026</v>
      </c>
      <c r="D81" s="109">
        <f>Middle!R16</f>
        <v>1746.8056022198136</v>
      </c>
      <c r="E81" s="109">
        <f>Rich!R16</f>
        <v>0</v>
      </c>
      <c r="F81" s="109">
        <f>V.Poor!T16</f>
        <v>0</v>
      </c>
      <c r="G81" s="109">
        <f>Poor!T16</f>
        <v>6163.2</v>
      </c>
      <c r="H81" s="109">
        <f>Middle!T16</f>
        <v>1112.2820294989149</v>
      </c>
      <c r="I81" s="109">
        <f>Rich!T16</f>
        <v>0</v>
      </c>
    </row>
    <row r="82" spans="1:9">
      <c r="A82" t="str">
        <f>V.Poor!Q17</f>
        <v>Small business/petty trading</v>
      </c>
      <c r="B82" s="109">
        <f>V.Poor!R17</f>
        <v>0</v>
      </c>
      <c r="C82" s="109">
        <f>Poor!R17</f>
        <v>1397.4444817758508</v>
      </c>
      <c r="D82" s="109">
        <f>Middle!R17</f>
        <v>0</v>
      </c>
      <c r="E82" s="109">
        <f>Rich!R17</f>
        <v>0</v>
      </c>
      <c r="F82" s="109">
        <f>V.Poor!T17</f>
        <v>0</v>
      </c>
      <c r="G82" s="109">
        <f>Poor!T17</f>
        <v>906.24</v>
      </c>
      <c r="H82" s="109">
        <f>Middle!T17</f>
        <v>0</v>
      </c>
      <c r="I82" s="109">
        <f>Rich!T17</f>
        <v>0</v>
      </c>
    </row>
    <row r="83" spans="1:9">
      <c r="A83" t="str">
        <f>V.Poor!Q18</f>
        <v>Food transfer - official</v>
      </c>
      <c r="B83" s="109">
        <f>V.Poor!R18</f>
        <v>1008.3916845262437</v>
      </c>
      <c r="C83" s="109">
        <f>Poor!R18</f>
        <v>840.32640377186965</v>
      </c>
      <c r="D83" s="109">
        <f>Middle!R18</f>
        <v>0</v>
      </c>
      <c r="E83" s="109">
        <f>Rich!R18</f>
        <v>0</v>
      </c>
      <c r="F83" s="109">
        <f>V.Poor!T18</f>
        <v>1143.0095786415466</v>
      </c>
      <c r="G83" s="109">
        <f>Poor!T18</f>
        <v>952.50798220128877</v>
      </c>
      <c r="H83" s="109">
        <f>Middle!T18</f>
        <v>0</v>
      </c>
      <c r="I83" s="109">
        <f>Rich!T18</f>
        <v>0</v>
      </c>
    </row>
    <row r="84" spans="1:9">
      <c r="A84" t="str">
        <f>V.Poor!Q19</f>
        <v>Food transfer - gifts</v>
      </c>
      <c r="B84" s="109">
        <f>V.Poor!R19</f>
        <v>66.615078009330801</v>
      </c>
      <c r="C84" s="109">
        <f>Poor!R19</f>
        <v>79.938093611196948</v>
      </c>
      <c r="D84" s="109">
        <f>Middle!R19</f>
        <v>106.58412481492928</v>
      </c>
      <c r="E84" s="109">
        <f>Rich!R19</f>
        <v>0</v>
      </c>
      <c r="F84" s="109">
        <f>V.Poor!T19</f>
        <v>75.508032657361071</v>
      </c>
      <c r="G84" s="109">
        <f>Poor!T19</f>
        <v>90.60963918883327</v>
      </c>
      <c r="H84" s="109">
        <f>Middle!T19</f>
        <v>120.8128522517777</v>
      </c>
      <c r="I84" s="109">
        <f>Rich!T19</f>
        <v>0</v>
      </c>
    </row>
    <row r="85" spans="1:9">
      <c r="A85" t="str">
        <f>V.Poor!Q20</f>
        <v>Cash transfer - official</v>
      </c>
      <c r="B85" s="109">
        <f>V.Poor!R20</f>
        <v>29433.674397403858</v>
      </c>
      <c r="C85" s="109">
        <f>Poor!R20</f>
        <v>29433.674397403858</v>
      </c>
      <c r="D85" s="109">
        <f>Middle!R20</f>
        <v>11092.215574095817</v>
      </c>
      <c r="E85" s="109">
        <f>Rich!R20</f>
        <v>12676.817798966647</v>
      </c>
      <c r="F85" s="109">
        <f>V.Poor!T20</f>
        <v>0</v>
      </c>
      <c r="G85" s="109">
        <f>Poor!T20</f>
        <v>0</v>
      </c>
      <c r="H85" s="109">
        <f>Middle!T20</f>
        <v>0</v>
      </c>
      <c r="I85" s="109">
        <f>Rich!T20</f>
        <v>0</v>
      </c>
    </row>
    <row r="86" spans="1:9">
      <c r="A86" t="str">
        <f>V.Poor!Q21</f>
        <v>Cash transfer - gifts</v>
      </c>
      <c r="B86" s="109">
        <f>V.Poor!R21</f>
        <v>0</v>
      </c>
      <c r="C86" s="109">
        <f>Poor!R21</f>
        <v>6987.2224088792545</v>
      </c>
      <c r="D86" s="109">
        <f>Middle!R21</f>
        <v>0</v>
      </c>
      <c r="E86" s="109">
        <f>Rich!R21</f>
        <v>0</v>
      </c>
      <c r="F86" s="109">
        <f>V.Poor!T21</f>
        <v>0</v>
      </c>
      <c r="G86" s="109">
        <f>Poor!T21</f>
        <v>5327.9999999999991</v>
      </c>
      <c r="H86" s="109">
        <f>Middle!T21</f>
        <v>0</v>
      </c>
      <c r="I86" s="109">
        <f>Rich!T21</f>
        <v>0</v>
      </c>
    </row>
    <row r="87" spans="1:9">
      <c r="A87" t="str">
        <f>V.Poor!Q22</f>
        <v>Other</v>
      </c>
      <c r="B87" s="109">
        <f>V.Poor!R22</f>
        <v>0</v>
      </c>
      <c r="C87" s="109">
        <f>Poor!R22</f>
        <v>0</v>
      </c>
      <c r="D87" s="109">
        <f>Middle!R22</f>
        <v>0</v>
      </c>
      <c r="E87" s="109">
        <f>Rich!R22</f>
        <v>0</v>
      </c>
      <c r="F87" s="109">
        <f>V.Poor!T22</f>
        <v>0</v>
      </c>
      <c r="G87" s="109">
        <f>Poor!T22</f>
        <v>0</v>
      </c>
      <c r="H87" s="109">
        <f>Middle!T22</f>
        <v>0</v>
      </c>
      <c r="I87" s="109">
        <f>Rich!T22</f>
        <v>0</v>
      </c>
    </row>
    <row r="88" spans="1:9">
      <c r="A88" t="str">
        <f>V.Poor!Q23</f>
        <v>TOTAL</v>
      </c>
      <c r="B88" s="109">
        <f>V.Poor!R23</f>
        <v>48650.036407108069</v>
      </c>
      <c r="C88" s="109">
        <f>Poor!R23</f>
        <v>105607.91820347664</v>
      </c>
      <c r="D88" s="109">
        <f>Middle!R23</f>
        <v>153212.59335657558</v>
      </c>
      <c r="E88" s="109">
        <f>Rich!R23</f>
        <v>389759.09597611619</v>
      </c>
      <c r="F88" s="109">
        <f>V.Poor!T23</f>
        <v>17022.612885145085</v>
      </c>
      <c r="G88" s="109">
        <f>Poor!T23</f>
        <v>59121.893695615043</v>
      </c>
      <c r="H88" s="109">
        <f>Middle!T23</f>
        <v>97901.3259492793</v>
      </c>
      <c r="I88" s="109">
        <f>Rich!T23</f>
        <v>252989.39139571041</v>
      </c>
    </row>
    <row r="89" spans="1:9">
      <c r="A89" t="str">
        <f>V.Poor!Q24</f>
        <v>Food Poverty line</v>
      </c>
      <c r="B89" s="109">
        <f>V.Poor!R24</f>
        <v>39324.286292052799</v>
      </c>
      <c r="C89" s="109">
        <f>Poor!R24</f>
        <v>39324.286292052799</v>
      </c>
      <c r="D89" s="109">
        <f>Middle!R24</f>
        <v>39324.286292052799</v>
      </c>
      <c r="E89" s="109">
        <f>Rich!R24</f>
        <v>39324.286292052806</v>
      </c>
      <c r="F89" s="109">
        <f>V.Poor!T24</f>
        <v>39324.286292052799</v>
      </c>
      <c r="G89" s="109">
        <f>Poor!T24</f>
        <v>39324.286292052799</v>
      </c>
      <c r="H89" s="109">
        <f>Middle!T24</f>
        <v>39324.286292052799</v>
      </c>
      <c r="I89" s="109">
        <f>Rich!T24</f>
        <v>39324.286292052806</v>
      </c>
    </row>
    <row r="90" spans="1:9">
      <c r="A90" s="108" t="str">
        <f>V.Poor!Q25</f>
        <v>Lower Bound Poverty line</v>
      </c>
      <c r="B90" s="109">
        <f>V.Poor!R25</f>
        <v>59595.112958719466</v>
      </c>
      <c r="C90" s="109">
        <f>Poor!R25</f>
        <v>59595.112958719466</v>
      </c>
      <c r="D90" s="109">
        <f>Middle!R25</f>
        <v>59595.112958719466</v>
      </c>
      <c r="E90" s="109">
        <f>Rich!R25</f>
        <v>59595.112958719466</v>
      </c>
      <c r="F90" s="109">
        <f>V.Poor!T25</f>
        <v>59595.112958719466</v>
      </c>
      <c r="G90" s="109">
        <f>Poor!T25</f>
        <v>59595.112958719466</v>
      </c>
      <c r="H90" s="109">
        <f>Middle!T25</f>
        <v>59595.112958719466</v>
      </c>
      <c r="I90" s="109">
        <f>Rich!T25</f>
        <v>59595.112958719466</v>
      </c>
    </row>
    <row r="91" spans="1:9">
      <c r="A91" s="108" t="str">
        <f>V.Poor!Q26</f>
        <v>Upper Bound Poverty line</v>
      </c>
      <c r="B91" s="109">
        <f>V.Poor!R26</f>
        <v>92333.032958719472</v>
      </c>
      <c r="C91" s="109">
        <f>Poor!R26</f>
        <v>92333.032958719472</v>
      </c>
      <c r="D91" s="109">
        <f>Middle!R26</f>
        <v>92333.032958719472</v>
      </c>
      <c r="E91" s="109">
        <f>Rich!R26</f>
        <v>92333.032958719457</v>
      </c>
      <c r="F91" s="109">
        <f>V.Poor!T26</f>
        <v>92333.032958719472</v>
      </c>
      <c r="G91" s="109">
        <f>Poor!T26</f>
        <v>92333.032958719472</v>
      </c>
      <c r="H91" s="109">
        <f>Middle!T26</f>
        <v>92333.032958719472</v>
      </c>
      <c r="I91" s="109">
        <f>Rich!T26</f>
        <v>92333.032958719457</v>
      </c>
    </row>
    <row r="92" spans="1:9">
      <c r="A92" s="108" t="str">
        <f>V.Poor!Q27</f>
        <v>Resilience line</v>
      </c>
      <c r="B92" s="109">
        <f>V.Poor!R27</f>
        <v>0</v>
      </c>
      <c r="C92" s="109">
        <f>Poor!R27</f>
        <v>0</v>
      </c>
      <c r="D92" s="109">
        <f>Middle!R27</f>
        <v>0</v>
      </c>
      <c r="E92" s="109">
        <f>Rich!R27</f>
        <v>0</v>
      </c>
      <c r="F92" s="109">
        <f>V.Poor!T27</f>
        <v>0</v>
      </c>
      <c r="G92" s="109">
        <f>Poor!T27</f>
        <v>0</v>
      </c>
      <c r="H92" s="109">
        <f>Middle!T27</f>
        <v>0</v>
      </c>
      <c r="I92" s="109">
        <f>Rich!T27</f>
        <v>0</v>
      </c>
    </row>
    <row r="93" spans="1:9">
      <c r="A93" t="str">
        <f>V.Poor!Q24</f>
        <v>Food Poverty line</v>
      </c>
      <c r="F93" s="109">
        <f>V.Poor!T24</f>
        <v>39324.286292052799</v>
      </c>
      <c r="G93" s="109">
        <f>Poor!T24</f>
        <v>39324.286292052799</v>
      </c>
      <c r="H93" s="109">
        <f>Middle!T24</f>
        <v>39324.286292052799</v>
      </c>
      <c r="I93" s="109">
        <f>Rich!T24</f>
        <v>39324.286292052806</v>
      </c>
    </row>
    <row r="94" spans="1:9">
      <c r="A94" t="str">
        <f>V.Poor!Q25</f>
        <v>Lower Bound Poverty line</v>
      </c>
      <c r="F94" s="109">
        <f>V.Poor!T25</f>
        <v>59595.112958719466</v>
      </c>
      <c r="G94" s="109">
        <f>Poor!T25</f>
        <v>59595.112958719466</v>
      </c>
      <c r="H94" s="109">
        <f>Middle!T25</f>
        <v>59595.112958719466</v>
      </c>
      <c r="I94" s="109">
        <f>Rich!T25</f>
        <v>59595.112958719466</v>
      </c>
    </row>
    <row r="95" spans="1:9">
      <c r="A95" t="str">
        <f>V.Poor!Q26</f>
        <v>Upper Bound Poverty line</v>
      </c>
      <c r="F95" s="109">
        <f>V.Poor!T26</f>
        <v>92333.032958719472</v>
      </c>
      <c r="G95" s="109">
        <f>Poor!T26</f>
        <v>92333.032958719472</v>
      </c>
      <c r="H95" s="109">
        <f>Middle!T26</f>
        <v>92333.032958719472</v>
      </c>
      <c r="I95" s="109">
        <f>Rich!T26</f>
        <v>92333.032958719457</v>
      </c>
    </row>
    <row r="96" spans="1:9">
      <c r="A96" t="str">
        <f>V.Poor!Q27</f>
        <v>Resilience line</v>
      </c>
      <c r="F96" s="109">
        <f>V.Poor!T27</f>
        <v>0</v>
      </c>
      <c r="G96" s="109">
        <f>Poor!T27</f>
        <v>0</v>
      </c>
      <c r="H96" s="109">
        <f>Middle!T27</f>
        <v>0</v>
      </c>
      <c r="I96" s="109">
        <f>Rich!T27</f>
        <v>0</v>
      </c>
    </row>
    <row r="98" spans="1:9">
      <c r="A98" t="s">
        <v>141</v>
      </c>
      <c r="B98" s="238">
        <f>IF(B89&gt;B$88,B89-B$88,0)</f>
        <v>0</v>
      </c>
      <c r="C98" s="238">
        <f t="shared" ref="C98:I101" si="0">IF(C89&gt;C$88,C89-C$88,0)</f>
        <v>0</v>
      </c>
      <c r="D98" s="238">
        <f t="shared" si="0"/>
        <v>0</v>
      </c>
      <c r="E98" s="238">
        <f t="shared" si="0"/>
        <v>0</v>
      </c>
      <c r="F98" s="238">
        <f t="shared" si="0"/>
        <v>22301.673406907714</v>
      </c>
      <c r="G98" s="238">
        <f t="shared" si="0"/>
        <v>0</v>
      </c>
      <c r="H98" s="238">
        <f t="shared" si="0"/>
        <v>0</v>
      </c>
      <c r="I98" s="238">
        <f t="shared" si="0"/>
        <v>0</v>
      </c>
    </row>
    <row r="99" spans="1:9">
      <c r="A99" t="s">
        <v>142</v>
      </c>
      <c r="B99" s="238">
        <f>IF(B90&gt;B$88,B90-B$88,0)</f>
        <v>10945.076551611397</v>
      </c>
      <c r="C99" s="238">
        <f t="shared" si="0"/>
        <v>0</v>
      </c>
      <c r="D99" s="238">
        <f t="shared" si="0"/>
        <v>0</v>
      </c>
      <c r="E99" s="238">
        <f t="shared" si="0"/>
        <v>0</v>
      </c>
      <c r="F99" s="238">
        <f t="shared" si="0"/>
        <v>42572.500073574382</v>
      </c>
      <c r="G99" s="238">
        <f t="shared" si="0"/>
        <v>473.21926310442359</v>
      </c>
      <c r="H99" s="238">
        <f t="shared" si="0"/>
        <v>0</v>
      </c>
      <c r="I99" s="238">
        <f t="shared" si="0"/>
        <v>0</v>
      </c>
    </row>
    <row r="100" spans="1:9">
      <c r="A100" t="s">
        <v>143</v>
      </c>
      <c r="B100" s="238">
        <f>IF(B91&gt;B$88,B91-B$88,0)</f>
        <v>43682.996551611403</v>
      </c>
      <c r="C100" s="238">
        <f t="shared" si="0"/>
        <v>0</v>
      </c>
      <c r="D100" s="238">
        <f t="shared" si="0"/>
        <v>0</v>
      </c>
      <c r="E100" s="238">
        <f t="shared" si="0"/>
        <v>0</v>
      </c>
      <c r="F100" s="238">
        <f t="shared" si="0"/>
        <v>75310.42007357438</v>
      </c>
      <c r="G100" s="238">
        <f t="shared" si="0"/>
        <v>33211.139263104429</v>
      </c>
      <c r="H100" s="238">
        <f t="shared" si="0"/>
        <v>0</v>
      </c>
      <c r="I100" s="238">
        <f t="shared" si="0"/>
        <v>0</v>
      </c>
    </row>
    <row r="101" spans="1:9">
      <c r="A101" t="s">
        <v>144</v>
      </c>
      <c r="B101" s="238">
        <f>IF(B92&gt;B$88,B92-B$88,0)</f>
        <v>0</v>
      </c>
      <c r="C101" s="238">
        <f t="shared" si="0"/>
        <v>0</v>
      </c>
      <c r="D101" s="238">
        <f t="shared" si="0"/>
        <v>0</v>
      </c>
      <c r="E101" s="238">
        <f t="shared" si="0"/>
        <v>0</v>
      </c>
      <c r="F101" s="238">
        <f t="shared" si="0"/>
        <v>0</v>
      </c>
      <c r="G101" s="238">
        <f t="shared" si="0"/>
        <v>0</v>
      </c>
      <c r="H101" s="238">
        <f t="shared" si="0"/>
        <v>0</v>
      </c>
      <c r="I101" s="238">
        <f t="shared" si="0"/>
        <v>0</v>
      </c>
    </row>
  </sheetData>
  <mergeCells count="5">
    <mergeCell ref="R3:U3"/>
    <mergeCell ref="K2:Q2"/>
    <mergeCell ref="C3:E3"/>
    <mergeCell ref="G3:J3"/>
    <mergeCell ref="L3:P3"/>
  </mergeCells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zoomScale="75" workbookViewId="0">
      <selection activeCell="Z18" sqref="Z18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s="250" customFormat="1" ht="19">
      <c r="A2" s="247"/>
      <c r="B2" s="247"/>
      <c r="C2" s="247"/>
      <c r="D2" s="247"/>
      <c r="E2" s="247"/>
      <c r="F2" s="247"/>
      <c r="G2" s="245"/>
      <c r="H2" s="245"/>
      <c r="I2" s="245"/>
      <c r="J2" s="245"/>
      <c r="K2" s="264" t="str">
        <f>Poor!A1</f>
        <v>ZALOI: 59302</v>
      </c>
      <c r="L2" s="264"/>
      <c r="M2" s="264"/>
      <c r="N2" s="264"/>
      <c r="O2" s="264"/>
      <c r="P2" s="264"/>
      <c r="Q2" s="264"/>
      <c r="R2" s="247"/>
      <c r="S2" s="247"/>
      <c r="T2" s="247"/>
      <c r="U2" s="247"/>
      <c r="V2" s="247"/>
    </row>
    <row r="3" spans="1:22" s="92" customFormat="1" ht="17">
      <c r="A3" s="90"/>
      <c r="B3" s="265" t="str">
        <f>V.Poor!A67</f>
        <v>Expenditure : Very Poor HHs</v>
      </c>
      <c r="C3" s="265"/>
      <c r="D3" s="265"/>
      <c r="E3" s="265"/>
      <c r="F3" s="249"/>
      <c r="G3" s="263" t="str">
        <f>Poor!A67</f>
        <v>Expenditure : Poor HHs</v>
      </c>
      <c r="H3" s="263"/>
      <c r="I3" s="263"/>
      <c r="J3" s="263"/>
      <c r="K3" s="245"/>
      <c r="L3" s="263" t="str">
        <f>Middle!A67</f>
        <v>Expenditure : Middle HHs</v>
      </c>
      <c r="M3" s="263"/>
      <c r="N3" s="263"/>
      <c r="O3" s="263"/>
      <c r="P3" s="263"/>
      <c r="Q3" s="246"/>
      <c r="R3" s="263" t="str">
        <f>Rich!A67</f>
        <v>Expenditure : Better-off HHs</v>
      </c>
      <c r="S3" s="263"/>
      <c r="T3" s="263"/>
      <c r="U3" s="263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20"/>
  <sheetViews>
    <sheetView zoomScale="125" zoomScaleNormal="125" zoomScalePageLayoutView="125" workbookViewId="0">
      <pane xSplit="1" ySplit="2" topLeftCell="B70" activePane="bottomRight" state="frozen"/>
      <selection pane="topRight" activeCell="B1" sqref="B1"/>
      <selection pane="bottomLeft" activeCell="A3" sqref="A3"/>
      <selection pane="bottomRight" activeCell="AD98" sqref="AD98"/>
    </sheetView>
  </sheetViews>
  <sheetFormatPr baseColWidth="10" defaultColWidth="11.5703125" defaultRowHeight="11" x14ac:dyDescent="0"/>
  <cols>
    <col min="1" max="1" width="23.28515625" style="201" bestFit="1" customWidth="1"/>
    <col min="2" max="2" width="9" style="201" bestFit="1" customWidth="1"/>
    <col min="3" max="4" width="6.5703125" style="201" bestFit="1" customWidth="1"/>
    <col min="5" max="5" width="8.28515625" style="201" bestFit="1" customWidth="1"/>
    <col min="6" max="9" width="7.5703125" style="201" bestFit="1" customWidth="1"/>
    <col min="10" max="10" width="8.42578125" style="201" bestFit="1" customWidth="1"/>
    <col min="11" max="14" width="7.5703125" style="201" bestFit="1" customWidth="1"/>
    <col min="15" max="15" width="8.28515625" style="201" customWidth="1"/>
    <col min="16" max="43" width="7.42578125" style="201" bestFit="1" customWidth="1"/>
    <col min="44" max="89" width="8.42578125" style="201" bestFit="1" customWidth="1"/>
    <col min="90" max="105" width="9.42578125" style="201" bestFit="1" customWidth="1"/>
    <col min="106" max="16384" width="11.5703125" style="201"/>
  </cols>
  <sheetData>
    <row r="1" spans="1:106">
      <c r="B1" s="201" t="s">
        <v>97</v>
      </c>
      <c r="C1" s="201" t="s">
        <v>96</v>
      </c>
      <c r="D1" s="201" t="s">
        <v>98</v>
      </c>
      <c r="E1" s="201" t="s">
        <v>99</v>
      </c>
    </row>
    <row r="2" spans="1:106">
      <c r="B2" s="202">
        <f>[1]!WB_summary</f>
        <v>0.47</v>
      </c>
      <c r="C2" s="202">
        <f>[1]WB!$CK$10</f>
        <v>0.25</v>
      </c>
      <c r="D2" s="202">
        <f>[1]WB!$CK$11</f>
        <v>0.18</v>
      </c>
      <c r="E2" s="202">
        <f>[1]WB!$CK$12</f>
        <v>0.1</v>
      </c>
      <c r="F2" s="202">
        <v>0.01</v>
      </c>
      <c r="G2" s="202">
        <v>0.02</v>
      </c>
      <c r="H2" s="202">
        <v>0.03</v>
      </c>
      <c r="I2" s="202">
        <v>0.04</v>
      </c>
      <c r="J2" s="202">
        <v>0.05</v>
      </c>
      <c r="K2" s="202">
        <v>0.06</v>
      </c>
      <c r="L2" s="202">
        <v>7.0000000000000007E-2</v>
      </c>
      <c r="M2" s="202">
        <v>0.08</v>
      </c>
      <c r="N2" s="202">
        <v>0.09</v>
      </c>
      <c r="O2" s="202">
        <v>0.1</v>
      </c>
      <c r="P2" s="202">
        <v>0.11</v>
      </c>
      <c r="Q2" s="202">
        <v>0.12</v>
      </c>
      <c r="R2" s="202">
        <v>0.13</v>
      </c>
      <c r="S2" s="202">
        <v>0.14000000000000001</v>
      </c>
      <c r="T2" s="202">
        <v>0.15</v>
      </c>
      <c r="U2" s="202">
        <v>0.16</v>
      </c>
      <c r="V2" s="202">
        <v>0.17</v>
      </c>
      <c r="W2" s="202">
        <v>0.18</v>
      </c>
      <c r="X2" s="202">
        <v>0.19</v>
      </c>
      <c r="Y2" s="202">
        <v>0.2</v>
      </c>
      <c r="Z2" s="202">
        <v>0.21</v>
      </c>
      <c r="AA2" s="202">
        <v>0.22</v>
      </c>
      <c r="AB2" s="202">
        <v>0.23</v>
      </c>
      <c r="AC2" s="202">
        <v>0.24</v>
      </c>
      <c r="AD2" s="202">
        <v>0.25</v>
      </c>
      <c r="AE2" s="202">
        <v>0.26</v>
      </c>
      <c r="AF2" s="202">
        <v>0.27</v>
      </c>
      <c r="AG2" s="202">
        <v>0.28000000000000003</v>
      </c>
      <c r="AH2" s="202">
        <v>0.28999999999999998</v>
      </c>
      <c r="AI2" s="202">
        <v>0.3</v>
      </c>
      <c r="AJ2" s="202">
        <v>0.31</v>
      </c>
      <c r="AK2" s="202">
        <v>0.32</v>
      </c>
      <c r="AL2" s="202">
        <v>0.33</v>
      </c>
      <c r="AM2" s="202">
        <v>0.34</v>
      </c>
      <c r="AN2" s="202">
        <v>0.35</v>
      </c>
      <c r="AO2" s="202">
        <v>0.36</v>
      </c>
      <c r="AP2" s="202">
        <v>0.37</v>
      </c>
      <c r="AQ2" s="202">
        <v>0.38</v>
      </c>
      <c r="AR2" s="202">
        <v>0.39</v>
      </c>
      <c r="AS2" s="202">
        <v>0.4</v>
      </c>
      <c r="AT2" s="202">
        <v>0.41</v>
      </c>
      <c r="AU2" s="202">
        <v>0.42</v>
      </c>
      <c r="AV2" s="202">
        <v>0.43</v>
      </c>
      <c r="AW2" s="202">
        <v>0.44</v>
      </c>
      <c r="AX2" s="202">
        <v>0.45</v>
      </c>
      <c r="AY2" s="202">
        <v>0.46</v>
      </c>
      <c r="AZ2" s="202">
        <v>0.47</v>
      </c>
      <c r="BA2" s="202">
        <v>0.48</v>
      </c>
      <c r="BB2" s="202">
        <v>0.49</v>
      </c>
      <c r="BC2" s="202">
        <v>0.5</v>
      </c>
      <c r="BD2" s="202">
        <v>0.51</v>
      </c>
      <c r="BE2" s="202">
        <v>0.52</v>
      </c>
      <c r="BF2" s="202">
        <v>0.53</v>
      </c>
      <c r="BG2" s="202">
        <v>0.54</v>
      </c>
      <c r="BH2" s="202">
        <v>0.55000000000000004</v>
      </c>
      <c r="BI2" s="202">
        <v>0.56000000000000005</v>
      </c>
      <c r="BJ2" s="202">
        <v>0.56999999999999995</v>
      </c>
      <c r="BK2" s="202">
        <v>0.57999999999999996</v>
      </c>
      <c r="BL2" s="202">
        <v>0.59</v>
      </c>
      <c r="BM2" s="202">
        <v>0.6</v>
      </c>
      <c r="BN2" s="202">
        <v>0.61</v>
      </c>
      <c r="BO2" s="202">
        <v>0.62</v>
      </c>
      <c r="BP2" s="202">
        <v>0.63</v>
      </c>
      <c r="BQ2" s="202">
        <v>0.64</v>
      </c>
      <c r="BR2" s="202">
        <v>0.65</v>
      </c>
      <c r="BS2" s="202">
        <v>0.66</v>
      </c>
      <c r="BT2" s="202">
        <v>0.67</v>
      </c>
      <c r="BU2" s="202">
        <v>0.68</v>
      </c>
      <c r="BV2" s="202">
        <v>0.69</v>
      </c>
      <c r="BW2" s="202">
        <v>0.7</v>
      </c>
      <c r="BX2" s="202">
        <v>0.71</v>
      </c>
      <c r="BY2" s="202">
        <v>0.72</v>
      </c>
      <c r="BZ2" s="202">
        <v>0.73</v>
      </c>
      <c r="CA2" s="202">
        <v>0.74</v>
      </c>
      <c r="CB2" s="202">
        <v>0.75</v>
      </c>
      <c r="CC2" s="202">
        <v>0.76</v>
      </c>
      <c r="CD2" s="202">
        <v>0.77</v>
      </c>
      <c r="CE2" s="202">
        <v>0.78</v>
      </c>
      <c r="CF2" s="202">
        <v>0.79</v>
      </c>
      <c r="CG2" s="202">
        <v>0.8</v>
      </c>
      <c r="CH2" s="202">
        <v>0.81</v>
      </c>
      <c r="CI2" s="202">
        <v>0.82</v>
      </c>
      <c r="CJ2" s="202">
        <v>0.83</v>
      </c>
      <c r="CK2" s="202">
        <v>0.84</v>
      </c>
      <c r="CL2" s="202">
        <v>0.85</v>
      </c>
      <c r="CM2" s="202">
        <v>0.86</v>
      </c>
      <c r="CN2" s="202">
        <v>0.87</v>
      </c>
      <c r="CO2" s="202">
        <v>0.88</v>
      </c>
      <c r="CP2" s="202">
        <v>0.89</v>
      </c>
      <c r="CQ2" s="202">
        <v>0.9</v>
      </c>
      <c r="CR2" s="202">
        <v>0.91</v>
      </c>
      <c r="CS2" s="202">
        <v>0.92</v>
      </c>
      <c r="CT2" s="202">
        <v>0.93</v>
      </c>
      <c r="CU2" s="202">
        <v>0.94</v>
      </c>
      <c r="CV2" s="202">
        <v>0.95</v>
      </c>
      <c r="CW2" s="202">
        <v>0.96</v>
      </c>
      <c r="CX2" s="202">
        <v>0.97</v>
      </c>
      <c r="CY2" s="202">
        <v>0.98</v>
      </c>
      <c r="CZ2" s="202">
        <v>0.99</v>
      </c>
      <c r="DA2" s="202">
        <v>1</v>
      </c>
      <c r="DB2" s="202"/>
    </row>
    <row r="3" spans="1:106">
      <c r="A3" s="201" t="str">
        <f>Income!A72</f>
        <v>Own crops Consumed</v>
      </c>
      <c r="B3" s="203">
        <f>Income!B72</f>
        <v>2273.0022575656412</v>
      </c>
      <c r="C3" s="203">
        <f>Income!C72</f>
        <v>4695.3507878055107</v>
      </c>
      <c r="D3" s="203">
        <f>Income!D72</f>
        <v>5493.7993359155798</v>
      </c>
      <c r="E3" s="203">
        <f>Income!E72</f>
        <v>3588.691220685665</v>
      </c>
      <c r="F3" s="204">
        <f>IF(F$2&lt;=($B$2+$C$2+$D$2),IF(F$2&lt;=($B$2+$C$2),IF(F$2&lt;=$B$2,$B3,$C3),$D3),$E3)</f>
        <v>2273.0022575656412</v>
      </c>
      <c r="G3" s="204">
        <f t="shared" ref="G3:AW7" si="0">IF(G$2&lt;=($B$2+$C$2+$D$2),IF(G$2&lt;=($B$2+$C$2),IF(G$2&lt;=$B$2,$B3,$C3),$D3),$E3)</f>
        <v>2273.0022575656412</v>
      </c>
      <c r="H3" s="204">
        <f t="shared" si="0"/>
        <v>2273.0022575656412</v>
      </c>
      <c r="I3" s="204">
        <f t="shared" si="0"/>
        <v>2273.0022575656412</v>
      </c>
      <c r="J3" s="204">
        <f t="shared" si="0"/>
        <v>2273.0022575656412</v>
      </c>
      <c r="K3" s="204">
        <f t="shared" si="0"/>
        <v>2273.0022575656412</v>
      </c>
      <c r="L3" s="204">
        <f t="shared" si="0"/>
        <v>2273.0022575656412</v>
      </c>
      <c r="M3" s="204">
        <f t="shared" si="0"/>
        <v>2273.0022575656412</v>
      </c>
      <c r="N3" s="204">
        <f t="shared" si="0"/>
        <v>2273.0022575656412</v>
      </c>
      <c r="O3" s="204">
        <f t="shared" si="0"/>
        <v>2273.0022575656412</v>
      </c>
      <c r="P3" s="204">
        <f t="shared" si="0"/>
        <v>2273.0022575656412</v>
      </c>
      <c r="Q3" s="204">
        <f t="shared" si="0"/>
        <v>2273.0022575656412</v>
      </c>
      <c r="R3" s="204">
        <f t="shared" si="0"/>
        <v>2273.0022575656412</v>
      </c>
      <c r="S3" s="204">
        <f t="shared" si="0"/>
        <v>2273.0022575656412</v>
      </c>
      <c r="T3" s="204">
        <f t="shared" si="0"/>
        <v>2273.0022575656412</v>
      </c>
      <c r="U3" s="204">
        <f t="shared" si="0"/>
        <v>2273.0022575656412</v>
      </c>
      <c r="V3" s="204">
        <f t="shared" si="0"/>
        <v>2273.0022575656412</v>
      </c>
      <c r="W3" s="204">
        <f t="shared" si="0"/>
        <v>2273.0022575656412</v>
      </c>
      <c r="X3" s="204">
        <f t="shared" si="0"/>
        <v>2273.0022575656412</v>
      </c>
      <c r="Y3" s="204">
        <f t="shared" si="0"/>
        <v>2273.0022575656412</v>
      </c>
      <c r="Z3" s="204">
        <f t="shared" si="0"/>
        <v>2273.0022575656412</v>
      </c>
      <c r="AA3" s="204">
        <f t="shared" si="0"/>
        <v>2273.0022575656412</v>
      </c>
      <c r="AB3" s="204">
        <f t="shared" si="0"/>
        <v>2273.0022575656412</v>
      </c>
      <c r="AC3" s="204">
        <f t="shared" si="0"/>
        <v>2273.0022575656412</v>
      </c>
      <c r="AD3" s="204">
        <f t="shared" si="0"/>
        <v>2273.0022575656412</v>
      </c>
      <c r="AE3" s="204">
        <f t="shared" si="0"/>
        <v>2273.0022575656412</v>
      </c>
      <c r="AF3" s="204">
        <f t="shared" si="0"/>
        <v>2273.0022575656412</v>
      </c>
      <c r="AG3" s="204">
        <f t="shared" si="0"/>
        <v>2273.0022575656412</v>
      </c>
      <c r="AH3" s="204">
        <f t="shared" si="0"/>
        <v>2273.0022575656412</v>
      </c>
      <c r="AI3" s="204">
        <f t="shared" si="0"/>
        <v>2273.0022575656412</v>
      </c>
      <c r="AJ3" s="204">
        <f t="shared" si="0"/>
        <v>2273.0022575656412</v>
      </c>
      <c r="AK3" s="204">
        <f t="shared" si="0"/>
        <v>2273.0022575656412</v>
      </c>
      <c r="AL3" s="204">
        <f t="shared" si="0"/>
        <v>2273.0022575656412</v>
      </c>
      <c r="AM3" s="204">
        <f t="shared" si="0"/>
        <v>2273.0022575656412</v>
      </c>
      <c r="AN3" s="204">
        <f t="shared" si="0"/>
        <v>2273.0022575656412</v>
      </c>
      <c r="AO3" s="204">
        <f t="shared" si="0"/>
        <v>2273.0022575656412</v>
      </c>
      <c r="AP3" s="204">
        <f t="shared" si="0"/>
        <v>2273.0022575656412</v>
      </c>
      <c r="AQ3" s="204">
        <f t="shared" si="0"/>
        <v>2273.0022575656412</v>
      </c>
      <c r="AR3" s="204">
        <f t="shared" si="0"/>
        <v>2273.0022575656412</v>
      </c>
      <c r="AS3" s="204">
        <f t="shared" si="0"/>
        <v>2273.0022575656412</v>
      </c>
      <c r="AT3" s="204">
        <f t="shared" si="0"/>
        <v>2273.0022575656412</v>
      </c>
      <c r="AU3" s="204">
        <f t="shared" si="0"/>
        <v>2273.0022575656412</v>
      </c>
      <c r="AV3" s="204">
        <f t="shared" si="0"/>
        <v>2273.0022575656412</v>
      </c>
      <c r="AW3" s="204">
        <f t="shared" si="0"/>
        <v>2273.0022575656412</v>
      </c>
      <c r="AX3" s="204">
        <f t="shared" ref="AX3:BZ10" si="1">IF(AX$2&lt;=($B$2+$C$2+$D$2),IF(AX$2&lt;=($B$2+$C$2),IF(AX$2&lt;=$B$2,$B3,$C3),$D3),$E3)</f>
        <v>2273.0022575656412</v>
      </c>
      <c r="AY3" s="204">
        <f t="shared" si="1"/>
        <v>2273.0022575656412</v>
      </c>
      <c r="AZ3" s="204">
        <f t="shared" si="1"/>
        <v>2273.0022575656412</v>
      </c>
      <c r="BA3" s="204">
        <f t="shared" si="1"/>
        <v>4695.3507878055107</v>
      </c>
      <c r="BB3" s="204">
        <f t="shared" si="1"/>
        <v>4695.3507878055107</v>
      </c>
      <c r="BC3" s="204">
        <f t="shared" si="1"/>
        <v>4695.3507878055107</v>
      </c>
      <c r="BD3" s="204">
        <f t="shared" si="1"/>
        <v>4695.3507878055107</v>
      </c>
      <c r="BE3" s="204">
        <f t="shared" si="1"/>
        <v>4695.3507878055107</v>
      </c>
      <c r="BF3" s="204">
        <f t="shared" si="1"/>
        <v>4695.3507878055107</v>
      </c>
      <c r="BG3" s="204">
        <f t="shared" si="1"/>
        <v>4695.3507878055107</v>
      </c>
      <c r="BH3" s="204">
        <f t="shared" si="1"/>
        <v>4695.3507878055107</v>
      </c>
      <c r="BI3" s="204">
        <f t="shared" si="1"/>
        <v>4695.3507878055107</v>
      </c>
      <c r="BJ3" s="204">
        <f t="shared" si="1"/>
        <v>4695.3507878055107</v>
      </c>
      <c r="BK3" s="204">
        <f t="shared" si="1"/>
        <v>4695.3507878055107</v>
      </c>
      <c r="BL3" s="204">
        <f t="shared" si="1"/>
        <v>4695.3507878055107</v>
      </c>
      <c r="BM3" s="204">
        <f t="shared" si="1"/>
        <v>4695.3507878055107</v>
      </c>
      <c r="BN3" s="204">
        <f t="shared" si="1"/>
        <v>4695.3507878055107</v>
      </c>
      <c r="BO3" s="204">
        <f t="shared" si="1"/>
        <v>4695.3507878055107</v>
      </c>
      <c r="BP3" s="204">
        <f t="shared" si="1"/>
        <v>4695.3507878055107</v>
      </c>
      <c r="BQ3" s="204">
        <f t="shared" si="1"/>
        <v>4695.3507878055107</v>
      </c>
      <c r="BR3" s="204">
        <f t="shared" si="1"/>
        <v>4695.3507878055107</v>
      </c>
      <c r="BS3" s="204">
        <f t="shared" si="1"/>
        <v>4695.3507878055107</v>
      </c>
      <c r="BT3" s="204">
        <f t="shared" si="1"/>
        <v>4695.3507878055107</v>
      </c>
      <c r="BU3" s="204">
        <f t="shared" si="1"/>
        <v>4695.3507878055107</v>
      </c>
      <c r="BV3" s="204">
        <f t="shared" si="1"/>
        <v>4695.3507878055107</v>
      </c>
      <c r="BW3" s="204">
        <f t="shared" si="1"/>
        <v>4695.3507878055107</v>
      </c>
      <c r="BX3" s="204">
        <f t="shared" si="1"/>
        <v>4695.3507878055107</v>
      </c>
      <c r="BY3" s="204">
        <f t="shared" si="1"/>
        <v>4695.3507878055107</v>
      </c>
      <c r="BZ3" s="204">
        <f t="shared" si="1"/>
        <v>5493.7993359155798</v>
      </c>
      <c r="CA3" s="204">
        <f t="shared" ref="CA3:CR15" si="2">IF(CA$2&lt;=($B$2+$C$2+$D$2),IF(CA$2&lt;=($B$2+$C$2),IF(CA$2&lt;=$B$2,$B3,$C3),$D3),$E3)</f>
        <v>5493.7993359155798</v>
      </c>
      <c r="CB3" s="204">
        <f t="shared" si="2"/>
        <v>5493.7993359155798</v>
      </c>
      <c r="CC3" s="204">
        <f t="shared" si="2"/>
        <v>5493.7993359155798</v>
      </c>
      <c r="CD3" s="204">
        <f t="shared" si="2"/>
        <v>5493.7993359155798</v>
      </c>
      <c r="CE3" s="204">
        <f t="shared" si="2"/>
        <v>5493.7993359155798</v>
      </c>
      <c r="CF3" s="204">
        <f t="shared" si="2"/>
        <v>5493.7993359155798</v>
      </c>
      <c r="CG3" s="204">
        <f t="shared" si="2"/>
        <v>5493.7993359155798</v>
      </c>
      <c r="CH3" s="204">
        <f t="shared" si="2"/>
        <v>5493.7993359155798</v>
      </c>
      <c r="CI3" s="204">
        <f t="shared" si="2"/>
        <v>5493.7993359155798</v>
      </c>
      <c r="CJ3" s="204">
        <f t="shared" si="2"/>
        <v>5493.7993359155798</v>
      </c>
      <c r="CK3" s="204">
        <f t="shared" si="2"/>
        <v>5493.7993359155798</v>
      </c>
      <c r="CL3" s="204">
        <f t="shared" si="2"/>
        <v>5493.7993359155798</v>
      </c>
      <c r="CM3" s="204">
        <f t="shared" si="2"/>
        <v>5493.7993359155798</v>
      </c>
      <c r="CN3" s="204">
        <f t="shared" si="2"/>
        <v>5493.7993359155798</v>
      </c>
      <c r="CO3" s="204">
        <f t="shared" si="2"/>
        <v>5493.7993359155798</v>
      </c>
      <c r="CP3" s="204">
        <f t="shared" si="2"/>
        <v>5493.7993359155798</v>
      </c>
      <c r="CQ3" s="204">
        <f t="shared" si="2"/>
        <v>5493.7993359155798</v>
      </c>
      <c r="CR3" s="204">
        <f t="shared" si="2"/>
        <v>3588.691220685665</v>
      </c>
      <c r="CS3" s="204">
        <f t="shared" ref="CS3:DA15" si="3">IF(CS$2&lt;=($B$2+$C$2+$D$2),IF(CS$2&lt;=($B$2+$C$2),IF(CS$2&lt;=$B$2,$B3,$C3),$D3),$E3)</f>
        <v>3588.691220685665</v>
      </c>
      <c r="CT3" s="204">
        <f t="shared" si="3"/>
        <v>3588.691220685665</v>
      </c>
      <c r="CU3" s="204">
        <f t="shared" si="3"/>
        <v>3588.691220685665</v>
      </c>
      <c r="CV3" s="204">
        <f t="shared" si="3"/>
        <v>3588.691220685665</v>
      </c>
      <c r="CW3" s="204">
        <f t="shared" si="3"/>
        <v>3588.691220685665</v>
      </c>
      <c r="CX3" s="204">
        <f t="shared" si="3"/>
        <v>3588.691220685665</v>
      </c>
      <c r="CY3" s="204">
        <f t="shared" si="3"/>
        <v>3588.691220685665</v>
      </c>
      <c r="CZ3" s="204">
        <f t="shared" si="3"/>
        <v>3588.691220685665</v>
      </c>
      <c r="DA3" s="204">
        <f t="shared" si="3"/>
        <v>3588.691220685665</v>
      </c>
      <c r="DB3" s="204"/>
    </row>
    <row r="4" spans="1:106">
      <c r="A4" s="201" t="str">
        <f>Income!A73</f>
        <v>Own crops sold</v>
      </c>
      <c r="B4" s="203">
        <f>Income!B73</f>
        <v>1656.5539794384563</v>
      </c>
      <c r="C4" s="203">
        <f>Income!C73</f>
        <v>3893.9208216150018</v>
      </c>
      <c r="D4" s="203">
        <f>Income!D73</f>
        <v>7824.2334266095804</v>
      </c>
      <c r="E4" s="203">
        <f>Income!E73</f>
        <v>19755.539548914556</v>
      </c>
      <c r="F4" s="204">
        <f t="shared" ref="F4:U17" si="4">IF(F$2&lt;=($B$2+$C$2+$D$2),IF(F$2&lt;=($B$2+$C$2),IF(F$2&lt;=$B$2,$B4,$C4),$D4),$E4)</f>
        <v>1656.5539794384563</v>
      </c>
      <c r="G4" s="204">
        <f t="shared" si="0"/>
        <v>1656.5539794384563</v>
      </c>
      <c r="H4" s="204">
        <f t="shared" si="0"/>
        <v>1656.5539794384563</v>
      </c>
      <c r="I4" s="204">
        <f t="shared" si="0"/>
        <v>1656.5539794384563</v>
      </c>
      <c r="J4" s="204">
        <f t="shared" si="0"/>
        <v>1656.5539794384563</v>
      </c>
      <c r="K4" s="204">
        <f t="shared" si="0"/>
        <v>1656.5539794384563</v>
      </c>
      <c r="L4" s="204">
        <f t="shared" si="0"/>
        <v>1656.5539794384563</v>
      </c>
      <c r="M4" s="204">
        <f t="shared" si="0"/>
        <v>1656.5539794384563</v>
      </c>
      <c r="N4" s="204">
        <f t="shared" si="0"/>
        <v>1656.5539794384563</v>
      </c>
      <c r="O4" s="204">
        <f t="shared" si="0"/>
        <v>1656.5539794384563</v>
      </c>
      <c r="P4" s="204">
        <f t="shared" si="0"/>
        <v>1656.5539794384563</v>
      </c>
      <c r="Q4" s="204">
        <f t="shared" si="0"/>
        <v>1656.5539794384563</v>
      </c>
      <c r="R4" s="204">
        <f t="shared" si="0"/>
        <v>1656.5539794384563</v>
      </c>
      <c r="S4" s="204">
        <f t="shared" si="0"/>
        <v>1656.5539794384563</v>
      </c>
      <c r="T4" s="204">
        <f t="shared" si="0"/>
        <v>1656.5539794384563</v>
      </c>
      <c r="U4" s="204">
        <f t="shared" si="0"/>
        <v>1656.5539794384563</v>
      </c>
      <c r="V4" s="204">
        <f t="shared" si="0"/>
        <v>1656.5539794384563</v>
      </c>
      <c r="W4" s="204">
        <f t="shared" si="0"/>
        <v>1656.5539794384563</v>
      </c>
      <c r="X4" s="204">
        <f t="shared" si="0"/>
        <v>1656.5539794384563</v>
      </c>
      <c r="Y4" s="204">
        <f t="shared" si="0"/>
        <v>1656.5539794384563</v>
      </c>
      <c r="Z4" s="204">
        <f t="shared" si="0"/>
        <v>1656.5539794384563</v>
      </c>
      <c r="AA4" s="204">
        <f t="shared" si="0"/>
        <v>1656.5539794384563</v>
      </c>
      <c r="AB4" s="204">
        <f t="shared" si="0"/>
        <v>1656.5539794384563</v>
      </c>
      <c r="AC4" s="204">
        <f t="shared" si="0"/>
        <v>1656.5539794384563</v>
      </c>
      <c r="AD4" s="204">
        <f t="shared" si="0"/>
        <v>1656.5539794384563</v>
      </c>
      <c r="AE4" s="204">
        <f t="shared" si="0"/>
        <v>1656.5539794384563</v>
      </c>
      <c r="AF4" s="204">
        <f t="shared" si="0"/>
        <v>1656.5539794384563</v>
      </c>
      <c r="AG4" s="204">
        <f t="shared" si="0"/>
        <v>1656.5539794384563</v>
      </c>
      <c r="AH4" s="204">
        <f t="shared" si="0"/>
        <v>1656.5539794384563</v>
      </c>
      <c r="AI4" s="204">
        <f t="shared" si="0"/>
        <v>1656.5539794384563</v>
      </c>
      <c r="AJ4" s="204">
        <f t="shared" si="0"/>
        <v>1656.5539794384563</v>
      </c>
      <c r="AK4" s="204">
        <f t="shared" si="0"/>
        <v>1656.5539794384563</v>
      </c>
      <c r="AL4" s="204">
        <f t="shared" si="0"/>
        <v>1656.5539794384563</v>
      </c>
      <c r="AM4" s="204">
        <f t="shared" si="0"/>
        <v>1656.5539794384563</v>
      </c>
      <c r="AN4" s="204">
        <f t="shared" si="0"/>
        <v>1656.5539794384563</v>
      </c>
      <c r="AO4" s="204">
        <f t="shared" si="0"/>
        <v>1656.5539794384563</v>
      </c>
      <c r="AP4" s="204">
        <f t="shared" si="0"/>
        <v>1656.5539794384563</v>
      </c>
      <c r="AQ4" s="204">
        <f t="shared" si="0"/>
        <v>1656.5539794384563</v>
      </c>
      <c r="AR4" s="204">
        <f t="shared" si="0"/>
        <v>1656.5539794384563</v>
      </c>
      <c r="AS4" s="204">
        <f t="shared" si="0"/>
        <v>1656.5539794384563</v>
      </c>
      <c r="AT4" s="204">
        <f t="shared" si="0"/>
        <v>1656.5539794384563</v>
      </c>
      <c r="AU4" s="204">
        <f t="shared" si="0"/>
        <v>1656.5539794384563</v>
      </c>
      <c r="AV4" s="204">
        <f t="shared" si="0"/>
        <v>1656.5539794384563</v>
      </c>
      <c r="AW4" s="204">
        <f t="shared" si="0"/>
        <v>1656.5539794384563</v>
      </c>
      <c r="AX4" s="204">
        <f t="shared" si="1"/>
        <v>1656.5539794384563</v>
      </c>
      <c r="AY4" s="204">
        <f t="shared" si="1"/>
        <v>1656.5539794384563</v>
      </c>
      <c r="AZ4" s="204">
        <f t="shared" si="1"/>
        <v>1656.5539794384563</v>
      </c>
      <c r="BA4" s="204">
        <f t="shared" si="1"/>
        <v>3893.9208216150018</v>
      </c>
      <c r="BB4" s="204">
        <f t="shared" si="1"/>
        <v>3893.9208216150018</v>
      </c>
      <c r="BC4" s="204">
        <f t="shared" si="1"/>
        <v>3893.9208216150018</v>
      </c>
      <c r="BD4" s="204">
        <f t="shared" si="1"/>
        <v>3893.9208216150018</v>
      </c>
      <c r="BE4" s="204">
        <f t="shared" si="1"/>
        <v>3893.9208216150018</v>
      </c>
      <c r="BF4" s="204">
        <f t="shared" si="1"/>
        <v>3893.9208216150018</v>
      </c>
      <c r="BG4" s="204">
        <f t="shared" si="1"/>
        <v>3893.9208216150018</v>
      </c>
      <c r="BH4" s="204">
        <f t="shared" si="1"/>
        <v>3893.9208216150018</v>
      </c>
      <c r="BI4" s="204">
        <f t="shared" si="1"/>
        <v>3893.9208216150018</v>
      </c>
      <c r="BJ4" s="204">
        <f t="shared" si="1"/>
        <v>3893.9208216150018</v>
      </c>
      <c r="BK4" s="204">
        <f t="shared" si="1"/>
        <v>3893.9208216150018</v>
      </c>
      <c r="BL4" s="204">
        <f t="shared" si="1"/>
        <v>3893.9208216150018</v>
      </c>
      <c r="BM4" s="204">
        <f t="shared" si="1"/>
        <v>3893.9208216150018</v>
      </c>
      <c r="BN4" s="204">
        <f t="shared" si="1"/>
        <v>3893.9208216150018</v>
      </c>
      <c r="BO4" s="204">
        <f t="shared" si="1"/>
        <v>3893.9208216150018</v>
      </c>
      <c r="BP4" s="204">
        <f t="shared" si="1"/>
        <v>3893.9208216150018</v>
      </c>
      <c r="BQ4" s="204">
        <f t="shared" si="1"/>
        <v>3893.9208216150018</v>
      </c>
      <c r="BR4" s="204">
        <f t="shared" si="1"/>
        <v>3893.9208216150018</v>
      </c>
      <c r="BS4" s="204">
        <f t="shared" si="1"/>
        <v>3893.9208216150018</v>
      </c>
      <c r="BT4" s="204">
        <f t="shared" si="1"/>
        <v>3893.9208216150018</v>
      </c>
      <c r="BU4" s="204">
        <f t="shared" si="1"/>
        <v>3893.9208216150018</v>
      </c>
      <c r="BV4" s="204">
        <f t="shared" si="1"/>
        <v>3893.9208216150018</v>
      </c>
      <c r="BW4" s="204">
        <f t="shared" si="1"/>
        <v>3893.9208216150018</v>
      </c>
      <c r="BX4" s="204">
        <f t="shared" si="1"/>
        <v>3893.9208216150018</v>
      </c>
      <c r="BY4" s="204">
        <f t="shared" si="1"/>
        <v>3893.9208216150018</v>
      </c>
      <c r="BZ4" s="204">
        <f t="shared" si="1"/>
        <v>7824.2334266095804</v>
      </c>
      <c r="CA4" s="204">
        <f t="shared" si="2"/>
        <v>7824.2334266095804</v>
      </c>
      <c r="CB4" s="204">
        <f t="shared" si="2"/>
        <v>7824.2334266095804</v>
      </c>
      <c r="CC4" s="204">
        <f t="shared" si="2"/>
        <v>7824.2334266095804</v>
      </c>
      <c r="CD4" s="204">
        <f t="shared" si="2"/>
        <v>7824.2334266095804</v>
      </c>
      <c r="CE4" s="204">
        <f t="shared" si="2"/>
        <v>7824.2334266095804</v>
      </c>
      <c r="CF4" s="204">
        <f t="shared" si="2"/>
        <v>7824.2334266095804</v>
      </c>
      <c r="CG4" s="204">
        <f t="shared" si="2"/>
        <v>7824.2334266095804</v>
      </c>
      <c r="CH4" s="204">
        <f t="shared" si="2"/>
        <v>7824.2334266095804</v>
      </c>
      <c r="CI4" s="204">
        <f t="shared" si="2"/>
        <v>7824.2334266095804</v>
      </c>
      <c r="CJ4" s="204">
        <f t="shared" si="2"/>
        <v>7824.2334266095804</v>
      </c>
      <c r="CK4" s="204">
        <f t="shared" si="2"/>
        <v>7824.2334266095804</v>
      </c>
      <c r="CL4" s="204">
        <f t="shared" si="2"/>
        <v>7824.2334266095804</v>
      </c>
      <c r="CM4" s="204">
        <f t="shared" si="2"/>
        <v>7824.2334266095804</v>
      </c>
      <c r="CN4" s="204">
        <f t="shared" si="2"/>
        <v>7824.2334266095804</v>
      </c>
      <c r="CO4" s="204">
        <f t="shared" si="2"/>
        <v>7824.2334266095804</v>
      </c>
      <c r="CP4" s="204">
        <f t="shared" si="2"/>
        <v>7824.2334266095804</v>
      </c>
      <c r="CQ4" s="204">
        <f t="shared" si="2"/>
        <v>7824.2334266095804</v>
      </c>
      <c r="CR4" s="204">
        <f t="shared" si="2"/>
        <v>19755.539548914556</v>
      </c>
      <c r="CS4" s="204">
        <f t="shared" si="3"/>
        <v>19755.539548914556</v>
      </c>
      <c r="CT4" s="204">
        <f t="shared" si="3"/>
        <v>19755.539548914556</v>
      </c>
      <c r="CU4" s="204">
        <f t="shared" si="3"/>
        <v>19755.539548914556</v>
      </c>
      <c r="CV4" s="204">
        <f t="shared" si="3"/>
        <v>19755.539548914556</v>
      </c>
      <c r="CW4" s="204">
        <f t="shared" si="3"/>
        <v>19755.539548914556</v>
      </c>
      <c r="CX4" s="204">
        <f t="shared" si="3"/>
        <v>19755.539548914556</v>
      </c>
      <c r="CY4" s="204">
        <f t="shared" si="3"/>
        <v>19755.539548914556</v>
      </c>
      <c r="CZ4" s="204">
        <f t="shared" si="3"/>
        <v>19755.539548914556</v>
      </c>
      <c r="DA4" s="204">
        <f t="shared" si="3"/>
        <v>19755.539548914556</v>
      </c>
      <c r="DB4" s="204"/>
    </row>
    <row r="5" spans="1:106">
      <c r="A5" s="201" t="str">
        <f>Income!A74</f>
        <v>Animal products consumed</v>
      </c>
      <c r="B5" s="203">
        <f>Income!B74</f>
        <v>0</v>
      </c>
      <c r="C5" s="203">
        <f>Income!C74</f>
        <v>264.98815561722739</v>
      </c>
      <c r="D5" s="203">
        <f>Income!D74</f>
        <v>596.68339902004163</v>
      </c>
      <c r="E5" s="203">
        <f>Income!E74</f>
        <v>2463.7589230601739</v>
      </c>
      <c r="F5" s="204">
        <f t="shared" si="4"/>
        <v>0</v>
      </c>
      <c r="G5" s="204">
        <f t="shared" si="0"/>
        <v>0</v>
      </c>
      <c r="H5" s="204">
        <f t="shared" si="0"/>
        <v>0</v>
      </c>
      <c r="I5" s="204">
        <f t="shared" si="0"/>
        <v>0</v>
      </c>
      <c r="J5" s="204">
        <f t="shared" si="0"/>
        <v>0</v>
      </c>
      <c r="K5" s="204">
        <f t="shared" si="0"/>
        <v>0</v>
      </c>
      <c r="L5" s="204">
        <f t="shared" si="0"/>
        <v>0</v>
      </c>
      <c r="M5" s="204">
        <f t="shared" si="0"/>
        <v>0</v>
      </c>
      <c r="N5" s="204">
        <f t="shared" si="0"/>
        <v>0</v>
      </c>
      <c r="O5" s="204">
        <f t="shared" si="0"/>
        <v>0</v>
      </c>
      <c r="P5" s="204">
        <f t="shared" si="0"/>
        <v>0</v>
      </c>
      <c r="Q5" s="204">
        <f t="shared" si="0"/>
        <v>0</v>
      </c>
      <c r="R5" s="204">
        <f t="shared" si="0"/>
        <v>0</v>
      </c>
      <c r="S5" s="204">
        <f t="shared" si="0"/>
        <v>0</v>
      </c>
      <c r="T5" s="204">
        <f t="shared" si="0"/>
        <v>0</v>
      </c>
      <c r="U5" s="204">
        <f t="shared" si="0"/>
        <v>0</v>
      </c>
      <c r="V5" s="204">
        <f t="shared" si="0"/>
        <v>0</v>
      </c>
      <c r="W5" s="204">
        <f t="shared" si="0"/>
        <v>0</v>
      </c>
      <c r="X5" s="204">
        <f t="shared" si="0"/>
        <v>0</v>
      </c>
      <c r="Y5" s="204">
        <f t="shared" si="0"/>
        <v>0</v>
      </c>
      <c r="Z5" s="204">
        <f t="shared" si="0"/>
        <v>0</v>
      </c>
      <c r="AA5" s="204">
        <f t="shared" si="0"/>
        <v>0</v>
      </c>
      <c r="AB5" s="204">
        <f t="shared" si="0"/>
        <v>0</v>
      </c>
      <c r="AC5" s="204">
        <f t="shared" si="0"/>
        <v>0</v>
      </c>
      <c r="AD5" s="204">
        <f t="shared" si="0"/>
        <v>0</v>
      </c>
      <c r="AE5" s="204">
        <f t="shared" si="0"/>
        <v>0</v>
      </c>
      <c r="AF5" s="204">
        <f t="shared" si="0"/>
        <v>0</v>
      </c>
      <c r="AG5" s="204">
        <f t="shared" si="0"/>
        <v>0</v>
      </c>
      <c r="AH5" s="204">
        <f t="shared" si="0"/>
        <v>0</v>
      </c>
      <c r="AI5" s="204">
        <f t="shared" si="0"/>
        <v>0</v>
      </c>
      <c r="AJ5" s="204">
        <f t="shared" si="0"/>
        <v>0</v>
      </c>
      <c r="AK5" s="204">
        <f t="shared" si="0"/>
        <v>0</v>
      </c>
      <c r="AL5" s="204">
        <f t="shared" si="0"/>
        <v>0</v>
      </c>
      <c r="AM5" s="204">
        <f t="shared" si="0"/>
        <v>0</v>
      </c>
      <c r="AN5" s="204">
        <f t="shared" si="0"/>
        <v>0</v>
      </c>
      <c r="AO5" s="204">
        <f t="shared" si="0"/>
        <v>0</v>
      </c>
      <c r="AP5" s="204">
        <f t="shared" si="0"/>
        <v>0</v>
      </c>
      <c r="AQ5" s="204">
        <f t="shared" si="0"/>
        <v>0</v>
      </c>
      <c r="AR5" s="204">
        <f t="shared" si="0"/>
        <v>0</v>
      </c>
      <c r="AS5" s="204">
        <f t="shared" si="0"/>
        <v>0</v>
      </c>
      <c r="AT5" s="204">
        <f t="shared" si="0"/>
        <v>0</v>
      </c>
      <c r="AU5" s="204">
        <f t="shared" si="0"/>
        <v>0</v>
      </c>
      <c r="AV5" s="204">
        <f t="shared" si="0"/>
        <v>0</v>
      </c>
      <c r="AW5" s="204">
        <f t="shared" si="0"/>
        <v>0</v>
      </c>
      <c r="AX5" s="204">
        <f t="shared" si="1"/>
        <v>0</v>
      </c>
      <c r="AY5" s="204">
        <f t="shared" si="1"/>
        <v>0</v>
      </c>
      <c r="AZ5" s="204">
        <f t="shared" si="1"/>
        <v>0</v>
      </c>
      <c r="BA5" s="204">
        <f t="shared" si="1"/>
        <v>264.98815561722739</v>
      </c>
      <c r="BB5" s="204">
        <f t="shared" si="1"/>
        <v>264.98815561722739</v>
      </c>
      <c r="BC5" s="204">
        <f t="shared" si="1"/>
        <v>264.98815561722739</v>
      </c>
      <c r="BD5" s="204">
        <f t="shared" si="1"/>
        <v>264.98815561722739</v>
      </c>
      <c r="BE5" s="204">
        <f t="shared" si="1"/>
        <v>264.98815561722739</v>
      </c>
      <c r="BF5" s="204">
        <f t="shared" si="1"/>
        <v>264.98815561722739</v>
      </c>
      <c r="BG5" s="204">
        <f t="shared" si="1"/>
        <v>264.98815561722739</v>
      </c>
      <c r="BH5" s="204">
        <f t="shared" si="1"/>
        <v>264.98815561722739</v>
      </c>
      <c r="BI5" s="204">
        <f t="shared" si="1"/>
        <v>264.98815561722739</v>
      </c>
      <c r="BJ5" s="204">
        <f t="shared" si="1"/>
        <v>264.98815561722739</v>
      </c>
      <c r="BK5" s="204">
        <f t="shared" si="1"/>
        <v>264.98815561722739</v>
      </c>
      <c r="BL5" s="204">
        <f t="shared" si="1"/>
        <v>264.98815561722739</v>
      </c>
      <c r="BM5" s="204">
        <f t="shared" si="1"/>
        <v>264.98815561722739</v>
      </c>
      <c r="BN5" s="204">
        <f t="shared" si="1"/>
        <v>264.98815561722739</v>
      </c>
      <c r="BO5" s="204">
        <f t="shared" si="1"/>
        <v>264.98815561722739</v>
      </c>
      <c r="BP5" s="204">
        <f t="shared" si="1"/>
        <v>264.98815561722739</v>
      </c>
      <c r="BQ5" s="204">
        <f t="shared" si="1"/>
        <v>264.98815561722739</v>
      </c>
      <c r="BR5" s="204">
        <f t="shared" si="1"/>
        <v>264.98815561722739</v>
      </c>
      <c r="BS5" s="204">
        <f t="shared" si="1"/>
        <v>264.98815561722739</v>
      </c>
      <c r="BT5" s="204">
        <f t="shared" si="1"/>
        <v>264.98815561722739</v>
      </c>
      <c r="BU5" s="204">
        <f t="shared" si="1"/>
        <v>264.98815561722739</v>
      </c>
      <c r="BV5" s="204">
        <f t="shared" si="1"/>
        <v>264.98815561722739</v>
      </c>
      <c r="BW5" s="204">
        <f t="shared" si="1"/>
        <v>264.98815561722739</v>
      </c>
      <c r="BX5" s="204">
        <f t="shared" si="1"/>
        <v>264.98815561722739</v>
      </c>
      <c r="BY5" s="204">
        <f t="shared" si="1"/>
        <v>264.98815561722739</v>
      </c>
      <c r="BZ5" s="204">
        <f t="shared" si="1"/>
        <v>596.68339902004163</v>
      </c>
      <c r="CA5" s="204">
        <f t="shared" si="2"/>
        <v>596.68339902004163</v>
      </c>
      <c r="CB5" s="204">
        <f t="shared" si="2"/>
        <v>596.68339902004163</v>
      </c>
      <c r="CC5" s="204">
        <f t="shared" si="2"/>
        <v>596.68339902004163</v>
      </c>
      <c r="CD5" s="204">
        <f t="shared" si="2"/>
        <v>596.68339902004163</v>
      </c>
      <c r="CE5" s="204">
        <f t="shared" si="2"/>
        <v>596.68339902004163</v>
      </c>
      <c r="CF5" s="204">
        <f t="shared" si="2"/>
        <v>596.68339902004163</v>
      </c>
      <c r="CG5" s="204">
        <f t="shared" si="2"/>
        <v>596.68339902004163</v>
      </c>
      <c r="CH5" s="204">
        <f t="shared" si="2"/>
        <v>596.68339902004163</v>
      </c>
      <c r="CI5" s="204">
        <f t="shared" si="2"/>
        <v>596.68339902004163</v>
      </c>
      <c r="CJ5" s="204">
        <f t="shared" si="2"/>
        <v>596.68339902004163</v>
      </c>
      <c r="CK5" s="204">
        <f t="shared" si="2"/>
        <v>596.68339902004163</v>
      </c>
      <c r="CL5" s="204">
        <f t="shared" si="2"/>
        <v>596.68339902004163</v>
      </c>
      <c r="CM5" s="204">
        <f t="shared" si="2"/>
        <v>596.68339902004163</v>
      </c>
      <c r="CN5" s="204">
        <f t="shared" si="2"/>
        <v>596.68339902004163</v>
      </c>
      <c r="CO5" s="204">
        <f t="shared" si="2"/>
        <v>596.68339902004163</v>
      </c>
      <c r="CP5" s="204">
        <f t="shared" si="2"/>
        <v>596.68339902004163</v>
      </c>
      <c r="CQ5" s="204">
        <f t="shared" si="2"/>
        <v>596.68339902004163</v>
      </c>
      <c r="CR5" s="204">
        <f t="shared" si="2"/>
        <v>2463.7589230601739</v>
      </c>
      <c r="CS5" s="204">
        <f t="shared" si="3"/>
        <v>2463.7589230601739</v>
      </c>
      <c r="CT5" s="204">
        <f t="shared" si="3"/>
        <v>2463.7589230601739</v>
      </c>
      <c r="CU5" s="204">
        <f t="shared" si="3"/>
        <v>2463.7589230601739</v>
      </c>
      <c r="CV5" s="204">
        <f t="shared" si="3"/>
        <v>2463.7589230601739</v>
      </c>
      <c r="CW5" s="204">
        <f t="shared" si="3"/>
        <v>2463.7589230601739</v>
      </c>
      <c r="CX5" s="204">
        <f t="shared" si="3"/>
        <v>2463.7589230601739</v>
      </c>
      <c r="CY5" s="204">
        <f t="shared" si="3"/>
        <v>2463.7589230601739</v>
      </c>
      <c r="CZ5" s="204">
        <f t="shared" si="3"/>
        <v>2463.7589230601739</v>
      </c>
      <c r="DA5" s="204">
        <f t="shared" si="3"/>
        <v>2463.7589230601739</v>
      </c>
      <c r="DB5" s="204"/>
    </row>
    <row r="6" spans="1:106">
      <c r="A6" s="201" t="str">
        <f>Income!A75</f>
        <v>Animal products sold</v>
      </c>
      <c r="B6" s="203">
        <f>Income!B75</f>
        <v>0</v>
      </c>
      <c r="C6" s="203">
        <f>Income!C75</f>
        <v>0</v>
      </c>
      <c r="D6" s="203">
        <f>Income!D75</f>
        <v>0</v>
      </c>
      <c r="E6" s="203">
        <f>Income!E75</f>
        <v>0</v>
      </c>
      <c r="F6" s="204">
        <f t="shared" si="4"/>
        <v>0</v>
      </c>
      <c r="G6" s="204">
        <f t="shared" si="0"/>
        <v>0</v>
      </c>
      <c r="H6" s="204">
        <f t="shared" si="0"/>
        <v>0</v>
      </c>
      <c r="I6" s="204">
        <f t="shared" si="0"/>
        <v>0</v>
      </c>
      <c r="J6" s="204">
        <f t="shared" si="0"/>
        <v>0</v>
      </c>
      <c r="K6" s="204">
        <f t="shared" si="0"/>
        <v>0</v>
      </c>
      <c r="L6" s="204">
        <f t="shared" si="0"/>
        <v>0</v>
      </c>
      <c r="M6" s="204">
        <f t="shared" si="0"/>
        <v>0</v>
      </c>
      <c r="N6" s="204">
        <f t="shared" si="0"/>
        <v>0</v>
      </c>
      <c r="O6" s="204">
        <f t="shared" si="0"/>
        <v>0</v>
      </c>
      <c r="P6" s="204">
        <f t="shared" si="0"/>
        <v>0</v>
      </c>
      <c r="Q6" s="204">
        <f t="shared" si="0"/>
        <v>0</v>
      </c>
      <c r="R6" s="204">
        <f t="shared" si="0"/>
        <v>0</v>
      </c>
      <c r="S6" s="204">
        <f t="shared" si="0"/>
        <v>0</v>
      </c>
      <c r="T6" s="204">
        <f t="shared" si="0"/>
        <v>0</v>
      </c>
      <c r="U6" s="204">
        <f t="shared" si="0"/>
        <v>0</v>
      </c>
      <c r="V6" s="204">
        <f t="shared" si="0"/>
        <v>0</v>
      </c>
      <c r="W6" s="204">
        <f t="shared" si="0"/>
        <v>0</v>
      </c>
      <c r="X6" s="204">
        <f t="shared" si="0"/>
        <v>0</v>
      </c>
      <c r="Y6" s="204">
        <f t="shared" si="0"/>
        <v>0</v>
      </c>
      <c r="Z6" s="204">
        <f t="shared" si="0"/>
        <v>0</v>
      </c>
      <c r="AA6" s="204">
        <f t="shared" si="0"/>
        <v>0</v>
      </c>
      <c r="AB6" s="204">
        <f t="shared" si="0"/>
        <v>0</v>
      </c>
      <c r="AC6" s="204">
        <f t="shared" si="0"/>
        <v>0</v>
      </c>
      <c r="AD6" s="204">
        <f t="shared" si="0"/>
        <v>0</v>
      </c>
      <c r="AE6" s="204">
        <f t="shared" si="0"/>
        <v>0</v>
      </c>
      <c r="AF6" s="204">
        <f t="shared" si="0"/>
        <v>0</v>
      </c>
      <c r="AG6" s="204">
        <f t="shared" si="0"/>
        <v>0</v>
      </c>
      <c r="AH6" s="204">
        <f t="shared" si="0"/>
        <v>0</v>
      </c>
      <c r="AI6" s="204">
        <f t="shared" si="0"/>
        <v>0</v>
      </c>
      <c r="AJ6" s="204">
        <f t="shared" si="0"/>
        <v>0</v>
      </c>
      <c r="AK6" s="204">
        <f t="shared" si="0"/>
        <v>0</v>
      </c>
      <c r="AL6" s="204">
        <f t="shared" si="0"/>
        <v>0</v>
      </c>
      <c r="AM6" s="204">
        <f t="shared" si="0"/>
        <v>0</v>
      </c>
      <c r="AN6" s="204">
        <f t="shared" si="0"/>
        <v>0</v>
      </c>
      <c r="AO6" s="204">
        <f t="shared" si="0"/>
        <v>0</v>
      </c>
      <c r="AP6" s="204">
        <f t="shared" si="0"/>
        <v>0</v>
      </c>
      <c r="AQ6" s="204">
        <f t="shared" si="0"/>
        <v>0</v>
      </c>
      <c r="AR6" s="204">
        <f t="shared" si="0"/>
        <v>0</v>
      </c>
      <c r="AS6" s="204">
        <f t="shared" si="0"/>
        <v>0</v>
      </c>
      <c r="AT6" s="204">
        <f t="shared" si="0"/>
        <v>0</v>
      </c>
      <c r="AU6" s="204">
        <f t="shared" si="0"/>
        <v>0</v>
      </c>
      <c r="AV6" s="204">
        <f t="shared" si="0"/>
        <v>0</v>
      </c>
      <c r="AW6" s="204">
        <f t="shared" si="0"/>
        <v>0</v>
      </c>
      <c r="AX6" s="204">
        <f t="shared" si="1"/>
        <v>0</v>
      </c>
      <c r="AY6" s="204">
        <f t="shared" si="1"/>
        <v>0</v>
      </c>
      <c r="AZ6" s="204">
        <f t="shared" si="1"/>
        <v>0</v>
      </c>
      <c r="BA6" s="204">
        <f t="shared" si="1"/>
        <v>0</v>
      </c>
      <c r="BB6" s="204">
        <f t="shared" si="1"/>
        <v>0</v>
      </c>
      <c r="BC6" s="204">
        <f t="shared" si="1"/>
        <v>0</v>
      </c>
      <c r="BD6" s="204">
        <f t="shared" si="1"/>
        <v>0</v>
      </c>
      <c r="BE6" s="204">
        <f t="shared" si="1"/>
        <v>0</v>
      </c>
      <c r="BF6" s="204">
        <f t="shared" si="1"/>
        <v>0</v>
      </c>
      <c r="BG6" s="204">
        <f t="shared" si="1"/>
        <v>0</v>
      </c>
      <c r="BH6" s="204">
        <f t="shared" si="1"/>
        <v>0</v>
      </c>
      <c r="BI6" s="204">
        <f t="shared" si="1"/>
        <v>0</v>
      </c>
      <c r="BJ6" s="204">
        <f t="shared" si="1"/>
        <v>0</v>
      </c>
      <c r="BK6" s="204">
        <f t="shared" si="1"/>
        <v>0</v>
      </c>
      <c r="BL6" s="204">
        <f t="shared" si="1"/>
        <v>0</v>
      </c>
      <c r="BM6" s="204">
        <f t="shared" si="1"/>
        <v>0</v>
      </c>
      <c r="BN6" s="204">
        <f t="shared" si="1"/>
        <v>0</v>
      </c>
      <c r="BO6" s="204">
        <f t="shared" si="1"/>
        <v>0</v>
      </c>
      <c r="BP6" s="204">
        <f t="shared" si="1"/>
        <v>0</v>
      </c>
      <c r="BQ6" s="204">
        <f t="shared" si="1"/>
        <v>0</v>
      </c>
      <c r="BR6" s="204">
        <f t="shared" si="1"/>
        <v>0</v>
      </c>
      <c r="BS6" s="204">
        <f t="shared" si="1"/>
        <v>0</v>
      </c>
      <c r="BT6" s="204">
        <f t="shared" si="1"/>
        <v>0</v>
      </c>
      <c r="BU6" s="204">
        <f t="shared" si="1"/>
        <v>0</v>
      </c>
      <c r="BV6" s="204">
        <f t="shared" si="1"/>
        <v>0</v>
      </c>
      <c r="BW6" s="204">
        <f t="shared" si="1"/>
        <v>0</v>
      </c>
      <c r="BX6" s="204">
        <f t="shared" si="1"/>
        <v>0</v>
      </c>
      <c r="BY6" s="204">
        <f t="shared" si="1"/>
        <v>0</v>
      </c>
      <c r="BZ6" s="204">
        <f t="shared" si="1"/>
        <v>0</v>
      </c>
      <c r="CA6" s="204">
        <f t="shared" si="2"/>
        <v>0</v>
      </c>
      <c r="CB6" s="204">
        <f t="shared" si="2"/>
        <v>0</v>
      </c>
      <c r="CC6" s="204">
        <f t="shared" si="2"/>
        <v>0</v>
      </c>
      <c r="CD6" s="204">
        <f t="shared" si="2"/>
        <v>0</v>
      </c>
      <c r="CE6" s="204">
        <f t="shared" si="2"/>
        <v>0</v>
      </c>
      <c r="CF6" s="204">
        <f t="shared" si="2"/>
        <v>0</v>
      </c>
      <c r="CG6" s="204">
        <f t="shared" si="2"/>
        <v>0</v>
      </c>
      <c r="CH6" s="204">
        <f t="shared" si="2"/>
        <v>0</v>
      </c>
      <c r="CI6" s="204">
        <f t="shared" si="2"/>
        <v>0</v>
      </c>
      <c r="CJ6" s="204">
        <f t="shared" si="2"/>
        <v>0</v>
      </c>
      <c r="CK6" s="204">
        <f t="shared" si="2"/>
        <v>0</v>
      </c>
      <c r="CL6" s="204">
        <f t="shared" si="2"/>
        <v>0</v>
      </c>
      <c r="CM6" s="204">
        <f t="shared" si="2"/>
        <v>0</v>
      </c>
      <c r="CN6" s="204">
        <f t="shared" si="2"/>
        <v>0</v>
      </c>
      <c r="CO6" s="204">
        <f t="shared" si="2"/>
        <v>0</v>
      </c>
      <c r="CP6" s="204">
        <f t="shared" si="2"/>
        <v>0</v>
      </c>
      <c r="CQ6" s="204">
        <f t="shared" si="2"/>
        <v>0</v>
      </c>
      <c r="CR6" s="204">
        <f t="shared" si="2"/>
        <v>0</v>
      </c>
      <c r="CS6" s="204">
        <f t="shared" si="3"/>
        <v>0</v>
      </c>
      <c r="CT6" s="204">
        <f t="shared" si="3"/>
        <v>0</v>
      </c>
      <c r="CU6" s="204">
        <f t="shared" si="3"/>
        <v>0</v>
      </c>
      <c r="CV6" s="204">
        <f t="shared" si="3"/>
        <v>0</v>
      </c>
      <c r="CW6" s="204">
        <f t="shared" si="3"/>
        <v>0</v>
      </c>
      <c r="CX6" s="204">
        <f t="shared" si="3"/>
        <v>0</v>
      </c>
      <c r="CY6" s="204">
        <f t="shared" si="3"/>
        <v>0</v>
      </c>
      <c r="CZ6" s="204">
        <f t="shared" si="3"/>
        <v>0</v>
      </c>
      <c r="DA6" s="204">
        <f t="shared" si="3"/>
        <v>0</v>
      </c>
      <c r="DB6" s="204"/>
    </row>
    <row r="7" spans="1:106">
      <c r="A7" s="201" t="str">
        <f>Income!A76</f>
        <v>Animals sold</v>
      </c>
      <c r="B7" s="203">
        <f>Income!B76</f>
        <v>0</v>
      </c>
      <c r="C7" s="203">
        <f>Income!C76</f>
        <v>2911.3426703663563</v>
      </c>
      <c r="D7" s="203">
        <f>Income!D76</f>
        <v>12809.907749611966</v>
      </c>
      <c r="E7" s="203">
        <f>Income!E76</f>
        <v>41840.153234122205</v>
      </c>
      <c r="F7" s="204">
        <f t="shared" si="4"/>
        <v>0</v>
      </c>
      <c r="G7" s="204">
        <f t="shared" si="0"/>
        <v>0</v>
      </c>
      <c r="H7" s="204">
        <f t="shared" si="0"/>
        <v>0</v>
      </c>
      <c r="I7" s="204">
        <f t="shared" si="0"/>
        <v>0</v>
      </c>
      <c r="J7" s="204">
        <f t="shared" si="0"/>
        <v>0</v>
      </c>
      <c r="K7" s="204">
        <f t="shared" si="0"/>
        <v>0</v>
      </c>
      <c r="L7" s="204">
        <f t="shared" si="0"/>
        <v>0</v>
      </c>
      <c r="M7" s="204">
        <f t="shared" si="0"/>
        <v>0</v>
      </c>
      <c r="N7" s="204">
        <f t="shared" si="0"/>
        <v>0</v>
      </c>
      <c r="O7" s="204">
        <f t="shared" si="0"/>
        <v>0</v>
      </c>
      <c r="P7" s="204">
        <f t="shared" si="0"/>
        <v>0</v>
      </c>
      <c r="Q7" s="204">
        <f t="shared" si="0"/>
        <v>0</v>
      </c>
      <c r="R7" s="204">
        <f t="shared" si="0"/>
        <v>0</v>
      </c>
      <c r="S7" s="204">
        <f t="shared" si="0"/>
        <v>0</v>
      </c>
      <c r="T7" s="204">
        <f t="shared" si="0"/>
        <v>0</v>
      </c>
      <c r="U7" s="204">
        <f t="shared" si="0"/>
        <v>0</v>
      </c>
      <c r="V7" s="204">
        <f t="shared" si="0"/>
        <v>0</v>
      </c>
      <c r="W7" s="204">
        <f t="shared" si="0"/>
        <v>0</v>
      </c>
      <c r="X7" s="204">
        <f t="shared" si="0"/>
        <v>0</v>
      </c>
      <c r="Y7" s="204">
        <f t="shared" si="0"/>
        <v>0</v>
      </c>
      <c r="Z7" s="204">
        <f t="shared" si="0"/>
        <v>0</v>
      </c>
      <c r="AA7" s="204">
        <f t="shared" si="0"/>
        <v>0</v>
      </c>
      <c r="AB7" s="204">
        <f t="shared" si="0"/>
        <v>0</v>
      </c>
      <c r="AC7" s="204">
        <f t="shared" si="0"/>
        <v>0</v>
      </c>
      <c r="AD7" s="204">
        <f t="shared" si="0"/>
        <v>0</v>
      </c>
      <c r="AE7" s="204">
        <f t="shared" si="0"/>
        <v>0</v>
      </c>
      <c r="AF7" s="204">
        <f t="shared" si="0"/>
        <v>0</v>
      </c>
      <c r="AG7" s="204">
        <f t="shared" si="0"/>
        <v>0</v>
      </c>
      <c r="AH7" s="204">
        <f t="shared" si="0"/>
        <v>0</v>
      </c>
      <c r="AI7" s="204">
        <f t="shared" si="0"/>
        <v>0</v>
      </c>
      <c r="AJ7" s="204">
        <f t="shared" si="0"/>
        <v>0</v>
      </c>
      <c r="AK7" s="204">
        <f t="shared" si="0"/>
        <v>0</v>
      </c>
      <c r="AL7" s="204">
        <f t="shared" si="0"/>
        <v>0</v>
      </c>
      <c r="AM7" s="204">
        <f t="shared" si="0"/>
        <v>0</v>
      </c>
      <c r="AN7" s="204">
        <f t="shared" si="0"/>
        <v>0</v>
      </c>
      <c r="AO7" s="204">
        <f t="shared" si="0"/>
        <v>0</v>
      </c>
      <c r="AP7" s="204">
        <f t="shared" si="0"/>
        <v>0</v>
      </c>
      <c r="AQ7" s="204">
        <f t="shared" si="0"/>
        <v>0</v>
      </c>
      <c r="AR7" s="204">
        <f t="shared" si="0"/>
        <v>0</v>
      </c>
      <c r="AS7" s="204">
        <f t="shared" si="0"/>
        <v>0</v>
      </c>
      <c r="AT7" s="204">
        <f t="shared" si="0"/>
        <v>0</v>
      </c>
      <c r="AU7" s="204">
        <f t="shared" ref="AU7:BJ8" si="5">IF(AU$2&lt;=($B$2+$C$2+$D$2),IF(AU$2&lt;=($B$2+$C$2),IF(AU$2&lt;=$B$2,$B7,$C7),$D7),$E7)</f>
        <v>0</v>
      </c>
      <c r="AV7" s="204">
        <f t="shared" si="5"/>
        <v>0</v>
      </c>
      <c r="AW7" s="204">
        <f t="shared" si="5"/>
        <v>0</v>
      </c>
      <c r="AX7" s="204">
        <f t="shared" si="5"/>
        <v>0</v>
      </c>
      <c r="AY7" s="204">
        <f t="shared" si="5"/>
        <v>0</v>
      </c>
      <c r="AZ7" s="204">
        <f t="shared" si="5"/>
        <v>0</v>
      </c>
      <c r="BA7" s="204">
        <f t="shared" si="5"/>
        <v>2911.3426703663563</v>
      </c>
      <c r="BB7" s="204">
        <f t="shared" si="5"/>
        <v>2911.3426703663563</v>
      </c>
      <c r="BC7" s="204">
        <f t="shared" si="5"/>
        <v>2911.3426703663563</v>
      </c>
      <c r="BD7" s="204">
        <f t="shared" si="5"/>
        <v>2911.3426703663563</v>
      </c>
      <c r="BE7" s="204">
        <f t="shared" si="5"/>
        <v>2911.3426703663563</v>
      </c>
      <c r="BF7" s="204">
        <f t="shared" si="5"/>
        <v>2911.3426703663563</v>
      </c>
      <c r="BG7" s="204">
        <f t="shared" si="5"/>
        <v>2911.3426703663563</v>
      </c>
      <c r="BH7" s="204">
        <f t="shared" si="5"/>
        <v>2911.3426703663563</v>
      </c>
      <c r="BI7" s="204">
        <f t="shared" si="5"/>
        <v>2911.3426703663563</v>
      </c>
      <c r="BJ7" s="204">
        <f t="shared" si="5"/>
        <v>2911.3426703663563</v>
      </c>
      <c r="BK7" s="204">
        <f t="shared" si="1"/>
        <v>2911.3426703663563</v>
      </c>
      <c r="BL7" s="204">
        <f t="shared" si="1"/>
        <v>2911.3426703663563</v>
      </c>
      <c r="BM7" s="204">
        <f t="shared" si="1"/>
        <v>2911.3426703663563</v>
      </c>
      <c r="BN7" s="204">
        <f t="shared" si="1"/>
        <v>2911.3426703663563</v>
      </c>
      <c r="BO7" s="204">
        <f t="shared" si="1"/>
        <v>2911.3426703663563</v>
      </c>
      <c r="BP7" s="204">
        <f t="shared" si="1"/>
        <v>2911.3426703663563</v>
      </c>
      <c r="BQ7" s="204">
        <f t="shared" si="1"/>
        <v>2911.3426703663563</v>
      </c>
      <c r="BR7" s="204">
        <f t="shared" si="1"/>
        <v>2911.3426703663563</v>
      </c>
      <c r="BS7" s="204">
        <f t="shared" si="1"/>
        <v>2911.3426703663563</v>
      </c>
      <c r="BT7" s="204">
        <f t="shared" si="1"/>
        <v>2911.3426703663563</v>
      </c>
      <c r="BU7" s="204">
        <f t="shared" si="1"/>
        <v>2911.3426703663563</v>
      </c>
      <c r="BV7" s="204">
        <f t="shared" si="1"/>
        <v>2911.3426703663563</v>
      </c>
      <c r="BW7" s="204">
        <f t="shared" si="1"/>
        <v>2911.3426703663563</v>
      </c>
      <c r="BX7" s="204">
        <f t="shared" si="1"/>
        <v>2911.3426703663563</v>
      </c>
      <c r="BY7" s="204">
        <f t="shared" si="1"/>
        <v>2911.3426703663563</v>
      </c>
      <c r="BZ7" s="204">
        <f t="shared" si="1"/>
        <v>12809.907749611966</v>
      </c>
      <c r="CA7" s="204">
        <f t="shared" si="2"/>
        <v>12809.907749611966</v>
      </c>
      <c r="CB7" s="204">
        <f t="shared" si="2"/>
        <v>12809.907749611966</v>
      </c>
      <c r="CC7" s="204">
        <f t="shared" si="2"/>
        <v>12809.907749611966</v>
      </c>
      <c r="CD7" s="204">
        <f t="shared" si="2"/>
        <v>12809.907749611966</v>
      </c>
      <c r="CE7" s="204">
        <f t="shared" si="2"/>
        <v>12809.907749611966</v>
      </c>
      <c r="CF7" s="204">
        <f t="shared" si="2"/>
        <v>12809.907749611966</v>
      </c>
      <c r="CG7" s="204">
        <f t="shared" si="2"/>
        <v>12809.907749611966</v>
      </c>
      <c r="CH7" s="204">
        <f t="shared" si="2"/>
        <v>12809.907749611966</v>
      </c>
      <c r="CI7" s="204">
        <f t="shared" si="2"/>
        <v>12809.907749611966</v>
      </c>
      <c r="CJ7" s="204">
        <f t="shared" si="2"/>
        <v>12809.907749611966</v>
      </c>
      <c r="CK7" s="204">
        <f t="shared" si="2"/>
        <v>12809.907749611966</v>
      </c>
      <c r="CL7" s="204">
        <f t="shared" si="2"/>
        <v>12809.907749611966</v>
      </c>
      <c r="CM7" s="204">
        <f t="shared" si="2"/>
        <v>12809.907749611966</v>
      </c>
      <c r="CN7" s="204">
        <f t="shared" si="2"/>
        <v>12809.907749611966</v>
      </c>
      <c r="CO7" s="204">
        <f t="shared" si="2"/>
        <v>12809.907749611966</v>
      </c>
      <c r="CP7" s="204">
        <f t="shared" si="2"/>
        <v>12809.907749611966</v>
      </c>
      <c r="CQ7" s="204">
        <f t="shared" si="2"/>
        <v>12809.907749611966</v>
      </c>
      <c r="CR7" s="204">
        <f t="shared" si="2"/>
        <v>41840.153234122205</v>
      </c>
      <c r="CS7" s="204">
        <f t="shared" si="3"/>
        <v>41840.153234122205</v>
      </c>
      <c r="CT7" s="204">
        <f t="shared" si="3"/>
        <v>41840.153234122205</v>
      </c>
      <c r="CU7" s="204">
        <f t="shared" si="3"/>
        <v>41840.153234122205</v>
      </c>
      <c r="CV7" s="204">
        <f t="shared" si="3"/>
        <v>41840.153234122205</v>
      </c>
      <c r="CW7" s="204">
        <f t="shared" si="3"/>
        <v>41840.153234122205</v>
      </c>
      <c r="CX7" s="204">
        <f t="shared" si="3"/>
        <v>41840.153234122205</v>
      </c>
      <c r="CY7" s="204">
        <f t="shared" si="3"/>
        <v>41840.153234122205</v>
      </c>
      <c r="CZ7" s="204">
        <f t="shared" si="3"/>
        <v>41840.153234122205</v>
      </c>
      <c r="DA7" s="204">
        <f t="shared" si="3"/>
        <v>41840.153234122205</v>
      </c>
      <c r="DB7" s="204"/>
    </row>
    <row r="8" spans="1:106">
      <c r="A8" s="201" t="str">
        <f>Income!A77</f>
        <v>Wild foods consumed and sold</v>
      </c>
      <c r="B8" s="203">
        <f>Income!B77</f>
        <v>2081.5291403487377</v>
      </c>
      <c r="C8" s="203">
        <f>Income!C77</f>
        <v>3391.7142109768047</v>
      </c>
      <c r="D8" s="203">
        <f>Income!D77</f>
        <v>0</v>
      </c>
      <c r="E8" s="203">
        <f>Income!E77</f>
        <v>0</v>
      </c>
      <c r="F8" s="204">
        <f t="shared" si="4"/>
        <v>2081.5291403487377</v>
      </c>
      <c r="G8" s="204">
        <f t="shared" si="4"/>
        <v>2081.5291403487377</v>
      </c>
      <c r="H8" s="204">
        <f t="shared" si="4"/>
        <v>2081.5291403487377</v>
      </c>
      <c r="I8" s="204">
        <f t="shared" si="4"/>
        <v>2081.5291403487377</v>
      </c>
      <c r="J8" s="204">
        <f t="shared" si="4"/>
        <v>2081.5291403487377</v>
      </c>
      <c r="K8" s="204">
        <f t="shared" si="4"/>
        <v>2081.5291403487377</v>
      </c>
      <c r="L8" s="204">
        <f t="shared" si="4"/>
        <v>2081.5291403487377</v>
      </c>
      <c r="M8" s="204">
        <f t="shared" si="4"/>
        <v>2081.5291403487377</v>
      </c>
      <c r="N8" s="204">
        <f t="shared" si="4"/>
        <v>2081.5291403487377</v>
      </c>
      <c r="O8" s="204">
        <f t="shared" si="4"/>
        <v>2081.5291403487377</v>
      </c>
      <c r="P8" s="204">
        <f t="shared" si="4"/>
        <v>2081.5291403487377</v>
      </c>
      <c r="Q8" s="204">
        <f t="shared" si="4"/>
        <v>2081.5291403487377</v>
      </c>
      <c r="R8" s="204">
        <f t="shared" si="4"/>
        <v>2081.5291403487377</v>
      </c>
      <c r="S8" s="204">
        <f t="shared" si="4"/>
        <v>2081.5291403487377</v>
      </c>
      <c r="T8" s="204">
        <f t="shared" si="4"/>
        <v>2081.5291403487377</v>
      </c>
      <c r="U8" s="204">
        <f t="shared" si="4"/>
        <v>2081.5291403487377</v>
      </c>
      <c r="V8" s="204">
        <f t="shared" ref="V8:AK18" si="6">IF(V$2&lt;=($B$2+$C$2+$D$2),IF(V$2&lt;=($B$2+$C$2),IF(V$2&lt;=$B$2,$B8,$C8),$D8),$E8)</f>
        <v>2081.5291403487377</v>
      </c>
      <c r="W8" s="204">
        <f t="shared" si="6"/>
        <v>2081.5291403487377</v>
      </c>
      <c r="X8" s="204">
        <f t="shared" si="6"/>
        <v>2081.5291403487377</v>
      </c>
      <c r="Y8" s="204">
        <f t="shared" si="6"/>
        <v>2081.5291403487377</v>
      </c>
      <c r="Z8" s="204">
        <f t="shared" si="6"/>
        <v>2081.5291403487377</v>
      </c>
      <c r="AA8" s="204">
        <f t="shared" si="6"/>
        <v>2081.5291403487377</v>
      </c>
      <c r="AB8" s="204">
        <f t="shared" si="6"/>
        <v>2081.5291403487377</v>
      </c>
      <c r="AC8" s="204">
        <f t="shared" si="6"/>
        <v>2081.5291403487377</v>
      </c>
      <c r="AD8" s="204">
        <f t="shared" si="6"/>
        <v>2081.5291403487377</v>
      </c>
      <c r="AE8" s="204">
        <f t="shared" si="6"/>
        <v>2081.5291403487377</v>
      </c>
      <c r="AF8" s="204">
        <f t="shared" si="6"/>
        <v>2081.5291403487377</v>
      </c>
      <c r="AG8" s="204">
        <f t="shared" si="6"/>
        <v>2081.5291403487377</v>
      </c>
      <c r="AH8" s="204">
        <f t="shared" si="6"/>
        <v>2081.5291403487377</v>
      </c>
      <c r="AI8" s="204">
        <f t="shared" si="6"/>
        <v>2081.5291403487377</v>
      </c>
      <c r="AJ8" s="204">
        <f t="shared" si="6"/>
        <v>2081.5291403487377</v>
      </c>
      <c r="AK8" s="204">
        <f t="shared" si="6"/>
        <v>2081.5291403487377</v>
      </c>
      <c r="AL8" s="204">
        <f t="shared" ref="AL8:BA18" si="7">IF(AL$2&lt;=($B$2+$C$2+$D$2),IF(AL$2&lt;=($B$2+$C$2),IF(AL$2&lt;=$B$2,$B8,$C8),$D8),$E8)</f>
        <v>2081.5291403487377</v>
      </c>
      <c r="AM8" s="204">
        <f t="shared" si="7"/>
        <v>2081.5291403487377</v>
      </c>
      <c r="AN8" s="204">
        <f t="shared" si="7"/>
        <v>2081.5291403487377</v>
      </c>
      <c r="AO8" s="204">
        <f t="shared" si="7"/>
        <v>2081.5291403487377</v>
      </c>
      <c r="AP8" s="204">
        <f t="shared" si="7"/>
        <v>2081.5291403487377</v>
      </c>
      <c r="AQ8" s="204">
        <f t="shared" si="7"/>
        <v>2081.5291403487377</v>
      </c>
      <c r="AR8" s="204">
        <f t="shared" si="7"/>
        <v>2081.5291403487377</v>
      </c>
      <c r="AS8" s="204">
        <f t="shared" si="7"/>
        <v>2081.5291403487377</v>
      </c>
      <c r="AT8" s="204">
        <f t="shared" si="7"/>
        <v>2081.5291403487377</v>
      </c>
      <c r="AU8" s="204">
        <f t="shared" si="7"/>
        <v>2081.5291403487377</v>
      </c>
      <c r="AV8" s="204">
        <f t="shared" si="7"/>
        <v>2081.5291403487377</v>
      </c>
      <c r="AW8" s="204">
        <f t="shared" si="7"/>
        <v>2081.5291403487377</v>
      </c>
      <c r="AX8" s="204">
        <f t="shared" si="7"/>
        <v>2081.5291403487377</v>
      </c>
      <c r="AY8" s="204">
        <f t="shared" si="7"/>
        <v>2081.5291403487377</v>
      </c>
      <c r="AZ8" s="204">
        <f t="shared" si="7"/>
        <v>2081.5291403487377</v>
      </c>
      <c r="BA8" s="204">
        <f t="shared" si="7"/>
        <v>3391.7142109768047</v>
      </c>
      <c r="BB8" s="204">
        <f t="shared" si="5"/>
        <v>3391.7142109768047</v>
      </c>
      <c r="BC8" s="204">
        <f t="shared" si="5"/>
        <v>3391.7142109768047</v>
      </c>
      <c r="BD8" s="204">
        <f t="shared" si="5"/>
        <v>3391.7142109768047</v>
      </c>
      <c r="BE8" s="204">
        <f t="shared" si="5"/>
        <v>3391.7142109768047</v>
      </c>
      <c r="BF8" s="204">
        <f t="shared" si="5"/>
        <v>3391.7142109768047</v>
      </c>
      <c r="BG8" s="204">
        <f t="shared" si="5"/>
        <v>3391.7142109768047</v>
      </c>
      <c r="BH8" s="204">
        <f t="shared" si="5"/>
        <v>3391.7142109768047</v>
      </c>
      <c r="BI8" s="204">
        <f t="shared" si="5"/>
        <v>3391.7142109768047</v>
      </c>
      <c r="BJ8" s="204">
        <f t="shared" si="5"/>
        <v>3391.7142109768047</v>
      </c>
      <c r="BK8" s="204">
        <f t="shared" si="1"/>
        <v>3391.7142109768047</v>
      </c>
      <c r="BL8" s="204">
        <f t="shared" si="1"/>
        <v>3391.7142109768047</v>
      </c>
      <c r="BM8" s="204">
        <f t="shared" si="1"/>
        <v>3391.7142109768047</v>
      </c>
      <c r="BN8" s="204">
        <f t="shared" si="1"/>
        <v>3391.7142109768047</v>
      </c>
      <c r="BO8" s="204">
        <f t="shared" si="1"/>
        <v>3391.7142109768047</v>
      </c>
      <c r="BP8" s="204">
        <f t="shared" si="1"/>
        <v>3391.7142109768047</v>
      </c>
      <c r="BQ8" s="204">
        <f t="shared" si="1"/>
        <v>3391.7142109768047</v>
      </c>
      <c r="BR8" s="204">
        <f t="shared" si="1"/>
        <v>3391.7142109768047</v>
      </c>
      <c r="BS8" s="204">
        <f t="shared" si="1"/>
        <v>3391.7142109768047</v>
      </c>
      <c r="BT8" s="204">
        <f t="shared" si="1"/>
        <v>3391.7142109768047</v>
      </c>
      <c r="BU8" s="204">
        <f t="shared" si="1"/>
        <v>3391.7142109768047</v>
      </c>
      <c r="BV8" s="204">
        <f t="shared" si="1"/>
        <v>3391.7142109768047</v>
      </c>
      <c r="BW8" s="204">
        <f t="shared" si="1"/>
        <v>3391.7142109768047</v>
      </c>
      <c r="BX8" s="204">
        <f t="shared" si="1"/>
        <v>3391.7142109768047</v>
      </c>
      <c r="BY8" s="204">
        <f t="shared" si="1"/>
        <v>3391.7142109768047</v>
      </c>
      <c r="BZ8" s="204">
        <f t="shared" si="1"/>
        <v>0</v>
      </c>
      <c r="CA8" s="204">
        <f t="shared" si="2"/>
        <v>0</v>
      </c>
      <c r="CB8" s="204">
        <f t="shared" si="2"/>
        <v>0</v>
      </c>
      <c r="CC8" s="204">
        <f t="shared" si="2"/>
        <v>0</v>
      </c>
      <c r="CD8" s="204">
        <f t="shared" si="2"/>
        <v>0</v>
      </c>
      <c r="CE8" s="204">
        <f t="shared" si="2"/>
        <v>0</v>
      </c>
      <c r="CF8" s="204">
        <f t="shared" si="2"/>
        <v>0</v>
      </c>
      <c r="CG8" s="204">
        <f t="shared" si="2"/>
        <v>0</v>
      </c>
      <c r="CH8" s="204">
        <f t="shared" si="2"/>
        <v>0</v>
      </c>
      <c r="CI8" s="204">
        <f t="shared" si="2"/>
        <v>0</v>
      </c>
      <c r="CJ8" s="204">
        <f t="shared" si="2"/>
        <v>0</v>
      </c>
      <c r="CK8" s="204">
        <f t="shared" si="2"/>
        <v>0</v>
      </c>
      <c r="CL8" s="204">
        <f t="shared" si="2"/>
        <v>0</v>
      </c>
      <c r="CM8" s="204">
        <f t="shared" si="2"/>
        <v>0</v>
      </c>
      <c r="CN8" s="204">
        <f t="shared" si="2"/>
        <v>0</v>
      </c>
      <c r="CO8" s="204">
        <f t="shared" si="2"/>
        <v>0</v>
      </c>
      <c r="CP8" s="204">
        <f t="shared" si="2"/>
        <v>0</v>
      </c>
      <c r="CQ8" s="204">
        <f t="shared" si="2"/>
        <v>0</v>
      </c>
      <c r="CR8" s="204">
        <f t="shared" si="2"/>
        <v>0</v>
      </c>
      <c r="CS8" s="204">
        <f t="shared" si="3"/>
        <v>0</v>
      </c>
      <c r="CT8" s="204">
        <f t="shared" si="3"/>
        <v>0</v>
      </c>
      <c r="CU8" s="204">
        <f t="shared" si="3"/>
        <v>0</v>
      </c>
      <c r="CV8" s="204">
        <f t="shared" si="3"/>
        <v>0</v>
      </c>
      <c r="CW8" s="204">
        <f t="shared" si="3"/>
        <v>0</v>
      </c>
      <c r="CX8" s="204">
        <f t="shared" si="3"/>
        <v>0</v>
      </c>
      <c r="CY8" s="204">
        <f t="shared" si="3"/>
        <v>0</v>
      </c>
      <c r="CZ8" s="204">
        <f t="shared" si="3"/>
        <v>0</v>
      </c>
      <c r="DA8" s="204">
        <f t="shared" si="3"/>
        <v>0</v>
      </c>
      <c r="DB8" s="204"/>
    </row>
    <row r="9" spans="1:106">
      <c r="A9" s="201" t="str">
        <f>Income!A78</f>
        <v>Labour - casual</v>
      </c>
      <c r="B9" s="203">
        <f>Income!B78</f>
        <v>12130.269869815804</v>
      </c>
      <c r="C9" s="203">
        <f>Income!C78</f>
        <v>21404.918573139941</v>
      </c>
      <c r="D9" s="203">
        <f>Income!D78</f>
        <v>0</v>
      </c>
      <c r="E9" s="203">
        <f>Income!E78</f>
        <v>0</v>
      </c>
      <c r="F9" s="204">
        <f t="shared" si="4"/>
        <v>12130.269869815804</v>
      </c>
      <c r="G9" s="204">
        <f t="shared" si="4"/>
        <v>12130.269869815804</v>
      </c>
      <c r="H9" s="204">
        <f t="shared" si="4"/>
        <v>12130.269869815804</v>
      </c>
      <c r="I9" s="204">
        <f t="shared" si="4"/>
        <v>12130.269869815804</v>
      </c>
      <c r="J9" s="204">
        <f t="shared" si="4"/>
        <v>12130.269869815804</v>
      </c>
      <c r="K9" s="204">
        <f t="shared" si="4"/>
        <v>12130.269869815804</v>
      </c>
      <c r="L9" s="204">
        <f t="shared" si="4"/>
        <v>12130.269869815804</v>
      </c>
      <c r="M9" s="204">
        <f t="shared" si="4"/>
        <v>12130.269869815804</v>
      </c>
      <c r="N9" s="204">
        <f t="shared" si="4"/>
        <v>12130.269869815804</v>
      </c>
      <c r="O9" s="204">
        <f t="shared" si="4"/>
        <v>12130.269869815804</v>
      </c>
      <c r="P9" s="204">
        <f t="shared" si="4"/>
        <v>12130.269869815804</v>
      </c>
      <c r="Q9" s="204">
        <f t="shared" si="4"/>
        <v>12130.269869815804</v>
      </c>
      <c r="R9" s="204">
        <f t="shared" si="4"/>
        <v>12130.269869815804</v>
      </c>
      <c r="S9" s="204">
        <f t="shared" si="4"/>
        <v>12130.269869815804</v>
      </c>
      <c r="T9" s="204">
        <f t="shared" si="4"/>
        <v>12130.269869815804</v>
      </c>
      <c r="U9" s="204">
        <f t="shared" si="4"/>
        <v>12130.269869815804</v>
      </c>
      <c r="V9" s="204">
        <f t="shared" si="6"/>
        <v>12130.269869815804</v>
      </c>
      <c r="W9" s="204">
        <f t="shared" si="6"/>
        <v>12130.269869815804</v>
      </c>
      <c r="X9" s="204">
        <f t="shared" si="6"/>
        <v>12130.269869815804</v>
      </c>
      <c r="Y9" s="204">
        <f t="shared" si="6"/>
        <v>12130.269869815804</v>
      </c>
      <c r="Z9" s="204">
        <f t="shared" si="6"/>
        <v>12130.269869815804</v>
      </c>
      <c r="AA9" s="204">
        <f t="shared" si="6"/>
        <v>12130.269869815804</v>
      </c>
      <c r="AB9" s="204">
        <f t="shared" si="6"/>
        <v>12130.269869815804</v>
      </c>
      <c r="AC9" s="204">
        <f t="shared" si="6"/>
        <v>12130.269869815804</v>
      </c>
      <c r="AD9" s="204">
        <f t="shared" si="6"/>
        <v>12130.269869815804</v>
      </c>
      <c r="AE9" s="204">
        <f t="shared" si="6"/>
        <v>12130.269869815804</v>
      </c>
      <c r="AF9" s="204">
        <f t="shared" si="6"/>
        <v>12130.269869815804</v>
      </c>
      <c r="AG9" s="204">
        <f t="shared" si="6"/>
        <v>12130.269869815804</v>
      </c>
      <c r="AH9" s="204">
        <f t="shared" si="6"/>
        <v>12130.269869815804</v>
      </c>
      <c r="AI9" s="204">
        <f t="shared" si="6"/>
        <v>12130.269869815804</v>
      </c>
      <c r="AJ9" s="204">
        <f t="shared" si="6"/>
        <v>12130.269869815804</v>
      </c>
      <c r="AK9" s="204">
        <f t="shared" si="6"/>
        <v>12130.269869815804</v>
      </c>
      <c r="AL9" s="204">
        <f t="shared" si="7"/>
        <v>12130.269869815804</v>
      </c>
      <c r="AM9" s="204">
        <f t="shared" si="7"/>
        <v>12130.269869815804</v>
      </c>
      <c r="AN9" s="204">
        <f t="shared" si="7"/>
        <v>12130.269869815804</v>
      </c>
      <c r="AO9" s="204">
        <f t="shared" si="7"/>
        <v>12130.269869815804</v>
      </c>
      <c r="AP9" s="204">
        <f t="shared" si="7"/>
        <v>12130.269869815804</v>
      </c>
      <c r="AQ9" s="204">
        <f t="shared" si="7"/>
        <v>12130.269869815804</v>
      </c>
      <c r="AR9" s="204">
        <f t="shared" si="7"/>
        <v>12130.269869815804</v>
      </c>
      <c r="AS9" s="204">
        <f t="shared" si="7"/>
        <v>12130.269869815804</v>
      </c>
      <c r="AT9" s="204">
        <f t="shared" si="7"/>
        <v>12130.269869815804</v>
      </c>
      <c r="AU9" s="204">
        <f t="shared" si="7"/>
        <v>12130.269869815804</v>
      </c>
      <c r="AV9" s="204">
        <f t="shared" si="7"/>
        <v>12130.269869815804</v>
      </c>
      <c r="AW9" s="204">
        <f t="shared" si="7"/>
        <v>12130.269869815804</v>
      </c>
      <c r="AX9" s="204">
        <f t="shared" si="1"/>
        <v>12130.269869815804</v>
      </c>
      <c r="AY9" s="204">
        <f t="shared" si="1"/>
        <v>12130.269869815804</v>
      </c>
      <c r="AZ9" s="204">
        <f t="shared" si="1"/>
        <v>12130.269869815804</v>
      </c>
      <c r="BA9" s="204">
        <f t="shared" si="1"/>
        <v>21404.918573139941</v>
      </c>
      <c r="BB9" s="204">
        <f t="shared" si="1"/>
        <v>21404.918573139941</v>
      </c>
      <c r="BC9" s="204">
        <f t="shared" si="1"/>
        <v>21404.918573139941</v>
      </c>
      <c r="BD9" s="204">
        <f t="shared" si="1"/>
        <v>21404.918573139941</v>
      </c>
      <c r="BE9" s="204">
        <f t="shared" si="1"/>
        <v>21404.918573139941</v>
      </c>
      <c r="BF9" s="204">
        <f t="shared" si="1"/>
        <v>21404.918573139941</v>
      </c>
      <c r="BG9" s="204">
        <f t="shared" si="1"/>
        <v>21404.918573139941</v>
      </c>
      <c r="BH9" s="204">
        <f t="shared" si="1"/>
        <v>21404.918573139941</v>
      </c>
      <c r="BI9" s="204">
        <f t="shared" si="1"/>
        <v>21404.918573139941</v>
      </c>
      <c r="BJ9" s="204">
        <f t="shared" si="1"/>
        <v>21404.918573139941</v>
      </c>
      <c r="BK9" s="204">
        <f t="shared" si="1"/>
        <v>21404.918573139941</v>
      </c>
      <c r="BL9" s="204">
        <f t="shared" si="1"/>
        <v>21404.918573139941</v>
      </c>
      <c r="BM9" s="204">
        <f t="shared" si="1"/>
        <v>21404.918573139941</v>
      </c>
      <c r="BN9" s="204">
        <f t="shared" si="1"/>
        <v>21404.918573139941</v>
      </c>
      <c r="BO9" s="204">
        <f t="shared" si="1"/>
        <v>21404.918573139941</v>
      </c>
      <c r="BP9" s="204">
        <f t="shared" si="1"/>
        <v>21404.918573139941</v>
      </c>
      <c r="BQ9" s="204">
        <f t="shared" si="1"/>
        <v>21404.918573139941</v>
      </c>
      <c r="BR9" s="204">
        <f t="shared" si="1"/>
        <v>21404.918573139941</v>
      </c>
      <c r="BS9" s="204">
        <f t="shared" si="1"/>
        <v>21404.918573139941</v>
      </c>
      <c r="BT9" s="204">
        <f t="shared" si="1"/>
        <v>21404.918573139941</v>
      </c>
      <c r="BU9" s="204">
        <f t="shared" si="1"/>
        <v>21404.918573139941</v>
      </c>
      <c r="BV9" s="204">
        <f t="shared" si="1"/>
        <v>21404.918573139941</v>
      </c>
      <c r="BW9" s="204">
        <f t="shared" si="1"/>
        <v>21404.918573139941</v>
      </c>
      <c r="BX9" s="204">
        <f t="shared" si="1"/>
        <v>21404.918573139941</v>
      </c>
      <c r="BY9" s="204">
        <f t="shared" si="1"/>
        <v>21404.918573139941</v>
      </c>
      <c r="BZ9" s="204">
        <f t="shared" si="1"/>
        <v>0</v>
      </c>
      <c r="CA9" s="204">
        <f t="shared" si="2"/>
        <v>0</v>
      </c>
      <c r="CB9" s="204">
        <f t="shared" si="2"/>
        <v>0</v>
      </c>
      <c r="CC9" s="204">
        <f t="shared" si="2"/>
        <v>0</v>
      </c>
      <c r="CD9" s="204">
        <f t="shared" si="2"/>
        <v>0</v>
      </c>
      <c r="CE9" s="204">
        <f t="shared" si="2"/>
        <v>0</v>
      </c>
      <c r="CF9" s="204">
        <f t="shared" si="2"/>
        <v>0</v>
      </c>
      <c r="CG9" s="204">
        <f t="shared" si="2"/>
        <v>0</v>
      </c>
      <c r="CH9" s="204">
        <f t="shared" si="2"/>
        <v>0</v>
      </c>
      <c r="CI9" s="204">
        <f t="shared" si="2"/>
        <v>0</v>
      </c>
      <c r="CJ9" s="204">
        <f t="shared" si="2"/>
        <v>0</v>
      </c>
      <c r="CK9" s="204">
        <f t="shared" si="2"/>
        <v>0</v>
      </c>
      <c r="CL9" s="204">
        <f t="shared" si="2"/>
        <v>0</v>
      </c>
      <c r="CM9" s="204">
        <f t="shared" si="2"/>
        <v>0</v>
      </c>
      <c r="CN9" s="204">
        <f t="shared" si="2"/>
        <v>0</v>
      </c>
      <c r="CO9" s="204">
        <f t="shared" si="2"/>
        <v>0</v>
      </c>
      <c r="CP9" s="204">
        <f t="shared" si="2"/>
        <v>0</v>
      </c>
      <c r="CQ9" s="204">
        <f t="shared" si="2"/>
        <v>0</v>
      </c>
      <c r="CR9" s="204">
        <f t="shared" si="2"/>
        <v>0</v>
      </c>
      <c r="CS9" s="204">
        <f t="shared" si="3"/>
        <v>0</v>
      </c>
      <c r="CT9" s="204">
        <f t="shared" si="3"/>
        <v>0</v>
      </c>
      <c r="CU9" s="204">
        <f t="shared" si="3"/>
        <v>0</v>
      </c>
      <c r="CV9" s="204">
        <f t="shared" si="3"/>
        <v>0</v>
      </c>
      <c r="CW9" s="204">
        <f t="shared" si="3"/>
        <v>0</v>
      </c>
      <c r="CX9" s="204">
        <f t="shared" si="3"/>
        <v>0</v>
      </c>
      <c r="CY9" s="204">
        <f t="shared" si="3"/>
        <v>0</v>
      </c>
      <c r="CZ9" s="204">
        <f t="shared" si="3"/>
        <v>0</v>
      </c>
      <c r="DA9" s="204">
        <f t="shared" si="3"/>
        <v>0</v>
      </c>
      <c r="DB9" s="204"/>
    </row>
    <row r="10" spans="1:106">
      <c r="A10" s="201" t="str">
        <f>Income!A79</f>
        <v>Labour - formal emp</v>
      </c>
      <c r="B10" s="203">
        <f>Income!B79</f>
        <v>0</v>
      </c>
      <c r="C10" s="203">
        <f>Income!C79</f>
        <v>20961.667226637765</v>
      </c>
      <c r="D10" s="203">
        <f>Income!D79</f>
        <v>113542.36414428789</v>
      </c>
      <c r="E10" s="203">
        <f>Income!E79</f>
        <v>309434.13525036693</v>
      </c>
      <c r="F10" s="204">
        <f t="shared" si="4"/>
        <v>0</v>
      </c>
      <c r="G10" s="204">
        <f t="shared" si="4"/>
        <v>0</v>
      </c>
      <c r="H10" s="204">
        <f t="shared" si="4"/>
        <v>0</v>
      </c>
      <c r="I10" s="204">
        <f t="shared" si="4"/>
        <v>0</v>
      </c>
      <c r="J10" s="204">
        <f t="shared" si="4"/>
        <v>0</v>
      </c>
      <c r="K10" s="204">
        <f t="shared" si="4"/>
        <v>0</v>
      </c>
      <c r="L10" s="204">
        <f t="shared" si="4"/>
        <v>0</v>
      </c>
      <c r="M10" s="204">
        <f t="shared" si="4"/>
        <v>0</v>
      </c>
      <c r="N10" s="204">
        <f t="shared" si="4"/>
        <v>0</v>
      </c>
      <c r="O10" s="204">
        <f t="shared" si="4"/>
        <v>0</v>
      </c>
      <c r="P10" s="204">
        <f t="shared" si="4"/>
        <v>0</v>
      </c>
      <c r="Q10" s="204">
        <f t="shared" si="4"/>
        <v>0</v>
      </c>
      <c r="R10" s="204">
        <f t="shared" si="4"/>
        <v>0</v>
      </c>
      <c r="S10" s="204">
        <f t="shared" si="4"/>
        <v>0</v>
      </c>
      <c r="T10" s="204">
        <f t="shared" si="4"/>
        <v>0</v>
      </c>
      <c r="U10" s="204">
        <f t="shared" si="4"/>
        <v>0</v>
      </c>
      <c r="V10" s="204">
        <f t="shared" si="6"/>
        <v>0</v>
      </c>
      <c r="W10" s="204">
        <f t="shared" si="6"/>
        <v>0</v>
      </c>
      <c r="X10" s="204">
        <f t="shared" si="6"/>
        <v>0</v>
      </c>
      <c r="Y10" s="204">
        <f t="shared" si="6"/>
        <v>0</v>
      </c>
      <c r="Z10" s="204">
        <f t="shared" si="6"/>
        <v>0</v>
      </c>
      <c r="AA10" s="204">
        <f t="shared" si="6"/>
        <v>0</v>
      </c>
      <c r="AB10" s="204">
        <f t="shared" si="6"/>
        <v>0</v>
      </c>
      <c r="AC10" s="204">
        <f t="shared" si="6"/>
        <v>0</v>
      </c>
      <c r="AD10" s="204">
        <f t="shared" si="6"/>
        <v>0</v>
      </c>
      <c r="AE10" s="204">
        <f t="shared" si="6"/>
        <v>0</v>
      </c>
      <c r="AF10" s="204">
        <f t="shared" si="6"/>
        <v>0</v>
      </c>
      <c r="AG10" s="204">
        <f t="shared" si="6"/>
        <v>0</v>
      </c>
      <c r="AH10" s="204">
        <f t="shared" si="6"/>
        <v>0</v>
      </c>
      <c r="AI10" s="204">
        <f t="shared" si="6"/>
        <v>0</v>
      </c>
      <c r="AJ10" s="204">
        <f t="shared" si="6"/>
        <v>0</v>
      </c>
      <c r="AK10" s="204">
        <f t="shared" si="6"/>
        <v>0</v>
      </c>
      <c r="AL10" s="204">
        <f t="shared" si="7"/>
        <v>0</v>
      </c>
      <c r="AM10" s="204">
        <f t="shared" si="7"/>
        <v>0</v>
      </c>
      <c r="AN10" s="204">
        <f t="shared" si="7"/>
        <v>0</v>
      </c>
      <c r="AO10" s="204">
        <f t="shared" si="7"/>
        <v>0</v>
      </c>
      <c r="AP10" s="204">
        <f t="shared" si="7"/>
        <v>0</v>
      </c>
      <c r="AQ10" s="204">
        <f t="shared" si="7"/>
        <v>0</v>
      </c>
      <c r="AR10" s="204">
        <f t="shared" si="7"/>
        <v>0</v>
      </c>
      <c r="AS10" s="204">
        <f t="shared" si="7"/>
        <v>0</v>
      </c>
      <c r="AT10" s="204">
        <f t="shared" si="7"/>
        <v>0</v>
      </c>
      <c r="AU10" s="204">
        <f t="shared" si="7"/>
        <v>0</v>
      </c>
      <c r="AV10" s="204">
        <f t="shared" si="7"/>
        <v>0</v>
      </c>
      <c r="AW10" s="204">
        <f t="shared" si="7"/>
        <v>0</v>
      </c>
      <c r="AX10" s="204">
        <f t="shared" si="1"/>
        <v>0</v>
      </c>
      <c r="AY10" s="204">
        <f t="shared" si="1"/>
        <v>0</v>
      </c>
      <c r="AZ10" s="204">
        <f t="shared" si="1"/>
        <v>0</v>
      </c>
      <c r="BA10" s="204">
        <f t="shared" si="1"/>
        <v>20961.667226637765</v>
      </c>
      <c r="BB10" s="204">
        <f t="shared" si="1"/>
        <v>20961.667226637765</v>
      </c>
      <c r="BC10" s="204">
        <f t="shared" si="1"/>
        <v>20961.667226637765</v>
      </c>
      <c r="BD10" s="204">
        <f t="shared" si="1"/>
        <v>20961.667226637765</v>
      </c>
      <c r="BE10" s="204">
        <f t="shared" si="1"/>
        <v>20961.667226637765</v>
      </c>
      <c r="BF10" s="204">
        <f t="shared" si="1"/>
        <v>20961.667226637765</v>
      </c>
      <c r="BG10" s="204">
        <f t="shared" si="1"/>
        <v>20961.667226637765</v>
      </c>
      <c r="BH10" s="204">
        <f t="shared" si="1"/>
        <v>20961.667226637765</v>
      </c>
      <c r="BI10" s="204">
        <f t="shared" si="1"/>
        <v>20961.667226637765</v>
      </c>
      <c r="BJ10" s="204">
        <f t="shared" si="1"/>
        <v>20961.667226637765</v>
      </c>
      <c r="BK10" s="204">
        <f t="shared" si="1"/>
        <v>20961.667226637765</v>
      </c>
      <c r="BL10" s="204">
        <f t="shared" si="1"/>
        <v>20961.667226637765</v>
      </c>
      <c r="BM10" s="204">
        <f t="shared" si="1"/>
        <v>20961.667226637765</v>
      </c>
      <c r="BN10" s="204">
        <f t="shared" si="1"/>
        <v>20961.667226637765</v>
      </c>
      <c r="BO10" s="204">
        <f t="shared" si="1"/>
        <v>20961.667226637765</v>
      </c>
      <c r="BP10" s="204">
        <f t="shared" si="1"/>
        <v>20961.667226637765</v>
      </c>
      <c r="BQ10" s="204">
        <f t="shared" si="1"/>
        <v>20961.667226637765</v>
      </c>
      <c r="BR10" s="204">
        <f t="shared" ref="AX10:BZ18" si="8">IF(BR$2&lt;=($B$2+$C$2+$D$2),IF(BR$2&lt;=($B$2+$C$2),IF(BR$2&lt;=$B$2,$B10,$C10),$D10),$E10)</f>
        <v>20961.667226637765</v>
      </c>
      <c r="BS10" s="204">
        <f t="shared" si="8"/>
        <v>20961.667226637765</v>
      </c>
      <c r="BT10" s="204">
        <f t="shared" si="8"/>
        <v>20961.667226637765</v>
      </c>
      <c r="BU10" s="204">
        <f t="shared" si="8"/>
        <v>20961.667226637765</v>
      </c>
      <c r="BV10" s="204">
        <f t="shared" si="8"/>
        <v>20961.667226637765</v>
      </c>
      <c r="BW10" s="204">
        <f t="shared" si="8"/>
        <v>20961.667226637765</v>
      </c>
      <c r="BX10" s="204">
        <f t="shared" si="8"/>
        <v>20961.667226637765</v>
      </c>
      <c r="BY10" s="204">
        <f t="shared" si="8"/>
        <v>20961.667226637765</v>
      </c>
      <c r="BZ10" s="204">
        <f t="shared" si="8"/>
        <v>113542.36414428789</v>
      </c>
      <c r="CA10" s="204">
        <f t="shared" si="2"/>
        <v>113542.36414428789</v>
      </c>
      <c r="CB10" s="204">
        <f t="shared" si="2"/>
        <v>113542.36414428789</v>
      </c>
      <c r="CC10" s="204">
        <f t="shared" si="2"/>
        <v>113542.36414428789</v>
      </c>
      <c r="CD10" s="204">
        <f t="shared" si="2"/>
        <v>113542.36414428789</v>
      </c>
      <c r="CE10" s="204">
        <f t="shared" si="2"/>
        <v>113542.36414428789</v>
      </c>
      <c r="CF10" s="204">
        <f t="shared" si="2"/>
        <v>113542.36414428789</v>
      </c>
      <c r="CG10" s="204">
        <f t="shared" si="2"/>
        <v>113542.36414428789</v>
      </c>
      <c r="CH10" s="204">
        <f t="shared" si="2"/>
        <v>113542.36414428789</v>
      </c>
      <c r="CI10" s="204">
        <f t="shared" si="2"/>
        <v>113542.36414428789</v>
      </c>
      <c r="CJ10" s="204">
        <f t="shared" si="2"/>
        <v>113542.36414428789</v>
      </c>
      <c r="CK10" s="204">
        <f t="shared" si="2"/>
        <v>113542.36414428789</v>
      </c>
      <c r="CL10" s="204">
        <f t="shared" si="2"/>
        <v>113542.36414428789</v>
      </c>
      <c r="CM10" s="204">
        <f t="shared" si="2"/>
        <v>113542.36414428789</v>
      </c>
      <c r="CN10" s="204">
        <f t="shared" si="2"/>
        <v>113542.36414428789</v>
      </c>
      <c r="CO10" s="204">
        <f t="shared" si="2"/>
        <v>113542.36414428789</v>
      </c>
      <c r="CP10" s="204">
        <f t="shared" si="2"/>
        <v>113542.36414428789</v>
      </c>
      <c r="CQ10" s="204">
        <f t="shared" si="2"/>
        <v>113542.36414428789</v>
      </c>
      <c r="CR10" s="204">
        <f t="shared" si="2"/>
        <v>309434.13525036693</v>
      </c>
      <c r="CS10" s="204">
        <f t="shared" si="3"/>
        <v>309434.13525036693</v>
      </c>
      <c r="CT10" s="204">
        <f t="shared" si="3"/>
        <v>309434.13525036693</v>
      </c>
      <c r="CU10" s="204">
        <f t="shared" si="3"/>
        <v>309434.13525036693</v>
      </c>
      <c r="CV10" s="204">
        <f t="shared" si="3"/>
        <v>309434.13525036693</v>
      </c>
      <c r="CW10" s="204">
        <f t="shared" si="3"/>
        <v>309434.13525036693</v>
      </c>
      <c r="CX10" s="204">
        <f t="shared" si="3"/>
        <v>309434.13525036693</v>
      </c>
      <c r="CY10" s="204">
        <f t="shared" si="3"/>
        <v>309434.13525036693</v>
      </c>
      <c r="CZ10" s="204">
        <f t="shared" si="3"/>
        <v>309434.13525036693</v>
      </c>
      <c r="DA10" s="204">
        <f t="shared" si="3"/>
        <v>309434.13525036693</v>
      </c>
      <c r="DB10" s="204"/>
    </row>
    <row r="11" spans="1:106">
      <c r="A11" s="201" t="str">
        <f>Income!A81</f>
        <v>Self - employment</v>
      </c>
      <c r="B11" s="203">
        <f>Income!B81</f>
        <v>0</v>
      </c>
      <c r="C11" s="203">
        <f>Income!C81</f>
        <v>9345.4099718760026</v>
      </c>
      <c r="D11" s="203">
        <f>Income!D81</f>
        <v>1746.8056022198136</v>
      </c>
      <c r="E11" s="203">
        <f>Income!E81</f>
        <v>0</v>
      </c>
      <c r="F11" s="204">
        <f t="shared" si="4"/>
        <v>0</v>
      </c>
      <c r="G11" s="204">
        <f t="shared" si="4"/>
        <v>0</v>
      </c>
      <c r="H11" s="204">
        <f t="shared" si="4"/>
        <v>0</v>
      </c>
      <c r="I11" s="204">
        <f t="shared" si="4"/>
        <v>0</v>
      </c>
      <c r="J11" s="204">
        <f t="shared" si="4"/>
        <v>0</v>
      </c>
      <c r="K11" s="204">
        <f t="shared" si="4"/>
        <v>0</v>
      </c>
      <c r="L11" s="204">
        <f t="shared" si="4"/>
        <v>0</v>
      </c>
      <c r="M11" s="204">
        <f t="shared" si="4"/>
        <v>0</v>
      </c>
      <c r="N11" s="204">
        <f t="shared" si="4"/>
        <v>0</v>
      </c>
      <c r="O11" s="204">
        <f t="shared" si="4"/>
        <v>0</v>
      </c>
      <c r="P11" s="204">
        <f t="shared" si="4"/>
        <v>0</v>
      </c>
      <c r="Q11" s="204">
        <f t="shared" si="4"/>
        <v>0</v>
      </c>
      <c r="R11" s="204">
        <f t="shared" si="4"/>
        <v>0</v>
      </c>
      <c r="S11" s="204">
        <f t="shared" si="4"/>
        <v>0</v>
      </c>
      <c r="T11" s="204">
        <f t="shared" si="4"/>
        <v>0</v>
      </c>
      <c r="U11" s="204">
        <f t="shared" si="4"/>
        <v>0</v>
      </c>
      <c r="V11" s="204">
        <f t="shared" si="6"/>
        <v>0</v>
      </c>
      <c r="W11" s="204">
        <f t="shared" si="6"/>
        <v>0</v>
      </c>
      <c r="X11" s="204">
        <f t="shared" si="6"/>
        <v>0</v>
      </c>
      <c r="Y11" s="204">
        <f t="shared" si="6"/>
        <v>0</v>
      </c>
      <c r="Z11" s="204">
        <f t="shared" si="6"/>
        <v>0</v>
      </c>
      <c r="AA11" s="204">
        <f t="shared" si="6"/>
        <v>0</v>
      </c>
      <c r="AB11" s="204">
        <f t="shared" si="6"/>
        <v>0</v>
      </c>
      <c r="AC11" s="204">
        <f t="shared" si="6"/>
        <v>0</v>
      </c>
      <c r="AD11" s="204">
        <f t="shared" si="6"/>
        <v>0</v>
      </c>
      <c r="AE11" s="204">
        <f t="shared" si="6"/>
        <v>0</v>
      </c>
      <c r="AF11" s="204">
        <f t="shared" si="6"/>
        <v>0</v>
      </c>
      <c r="AG11" s="204">
        <f t="shared" si="6"/>
        <v>0</v>
      </c>
      <c r="AH11" s="204">
        <f t="shared" si="6"/>
        <v>0</v>
      </c>
      <c r="AI11" s="204">
        <f t="shared" si="6"/>
        <v>0</v>
      </c>
      <c r="AJ11" s="204">
        <f t="shared" si="6"/>
        <v>0</v>
      </c>
      <c r="AK11" s="204">
        <f t="shared" si="6"/>
        <v>0</v>
      </c>
      <c r="AL11" s="204">
        <f t="shared" si="7"/>
        <v>0</v>
      </c>
      <c r="AM11" s="204">
        <f t="shared" si="7"/>
        <v>0</v>
      </c>
      <c r="AN11" s="204">
        <f t="shared" si="7"/>
        <v>0</v>
      </c>
      <c r="AO11" s="204">
        <f t="shared" si="7"/>
        <v>0</v>
      </c>
      <c r="AP11" s="204">
        <f t="shared" si="7"/>
        <v>0</v>
      </c>
      <c r="AQ11" s="204">
        <f t="shared" si="7"/>
        <v>0</v>
      </c>
      <c r="AR11" s="204">
        <f t="shared" si="7"/>
        <v>0</v>
      </c>
      <c r="AS11" s="204">
        <f t="shared" si="7"/>
        <v>0</v>
      </c>
      <c r="AT11" s="204">
        <f t="shared" si="7"/>
        <v>0</v>
      </c>
      <c r="AU11" s="204">
        <f t="shared" si="7"/>
        <v>0</v>
      </c>
      <c r="AV11" s="204">
        <f t="shared" si="7"/>
        <v>0</v>
      </c>
      <c r="AW11" s="204">
        <f t="shared" si="7"/>
        <v>0</v>
      </c>
      <c r="AX11" s="204">
        <f t="shared" si="8"/>
        <v>0</v>
      </c>
      <c r="AY11" s="204">
        <f t="shared" si="8"/>
        <v>0</v>
      </c>
      <c r="AZ11" s="204">
        <f t="shared" si="8"/>
        <v>0</v>
      </c>
      <c r="BA11" s="204">
        <f t="shared" si="8"/>
        <v>9345.4099718760026</v>
      </c>
      <c r="BB11" s="204">
        <f t="shared" si="8"/>
        <v>9345.4099718760026</v>
      </c>
      <c r="BC11" s="204">
        <f t="shared" si="8"/>
        <v>9345.4099718760026</v>
      </c>
      <c r="BD11" s="204">
        <f t="shared" si="8"/>
        <v>9345.4099718760026</v>
      </c>
      <c r="BE11" s="204">
        <f t="shared" si="8"/>
        <v>9345.4099718760026</v>
      </c>
      <c r="BF11" s="204">
        <f t="shared" si="8"/>
        <v>9345.4099718760026</v>
      </c>
      <c r="BG11" s="204">
        <f t="shared" si="8"/>
        <v>9345.4099718760026</v>
      </c>
      <c r="BH11" s="204">
        <f t="shared" si="8"/>
        <v>9345.4099718760026</v>
      </c>
      <c r="BI11" s="204">
        <f t="shared" si="8"/>
        <v>9345.4099718760026</v>
      </c>
      <c r="BJ11" s="204">
        <f t="shared" si="8"/>
        <v>9345.4099718760026</v>
      </c>
      <c r="BK11" s="204">
        <f t="shared" si="8"/>
        <v>9345.4099718760026</v>
      </c>
      <c r="BL11" s="204">
        <f t="shared" si="8"/>
        <v>9345.4099718760026</v>
      </c>
      <c r="BM11" s="204">
        <f t="shared" si="8"/>
        <v>9345.4099718760026</v>
      </c>
      <c r="BN11" s="204">
        <f t="shared" si="8"/>
        <v>9345.4099718760026</v>
      </c>
      <c r="BO11" s="204">
        <f t="shared" si="8"/>
        <v>9345.4099718760026</v>
      </c>
      <c r="BP11" s="204">
        <f t="shared" si="8"/>
        <v>9345.4099718760026</v>
      </c>
      <c r="BQ11" s="204">
        <f t="shared" si="8"/>
        <v>9345.4099718760026</v>
      </c>
      <c r="BR11" s="204">
        <f t="shared" si="8"/>
        <v>9345.4099718760026</v>
      </c>
      <c r="BS11" s="204">
        <f t="shared" si="8"/>
        <v>9345.4099718760026</v>
      </c>
      <c r="BT11" s="204">
        <f t="shared" si="8"/>
        <v>9345.4099718760026</v>
      </c>
      <c r="BU11" s="204">
        <f t="shared" si="8"/>
        <v>9345.4099718760026</v>
      </c>
      <c r="BV11" s="204">
        <f t="shared" si="8"/>
        <v>9345.4099718760026</v>
      </c>
      <c r="BW11" s="204">
        <f t="shared" si="8"/>
        <v>9345.4099718760026</v>
      </c>
      <c r="BX11" s="204">
        <f t="shared" si="8"/>
        <v>9345.4099718760026</v>
      </c>
      <c r="BY11" s="204">
        <f t="shared" si="8"/>
        <v>9345.4099718760026</v>
      </c>
      <c r="BZ11" s="204">
        <f t="shared" si="8"/>
        <v>1746.8056022198136</v>
      </c>
      <c r="CA11" s="204">
        <f t="shared" si="2"/>
        <v>1746.8056022198136</v>
      </c>
      <c r="CB11" s="204">
        <f t="shared" si="2"/>
        <v>1746.8056022198136</v>
      </c>
      <c r="CC11" s="204">
        <f t="shared" si="2"/>
        <v>1746.8056022198136</v>
      </c>
      <c r="CD11" s="204">
        <f t="shared" si="2"/>
        <v>1746.8056022198136</v>
      </c>
      <c r="CE11" s="204">
        <f t="shared" si="2"/>
        <v>1746.8056022198136</v>
      </c>
      <c r="CF11" s="204">
        <f t="shared" si="2"/>
        <v>1746.8056022198136</v>
      </c>
      <c r="CG11" s="204">
        <f t="shared" si="2"/>
        <v>1746.8056022198136</v>
      </c>
      <c r="CH11" s="204">
        <f t="shared" si="2"/>
        <v>1746.8056022198136</v>
      </c>
      <c r="CI11" s="204">
        <f t="shared" si="2"/>
        <v>1746.8056022198136</v>
      </c>
      <c r="CJ11" s="204">
        <f t="shared" si="2"/>
        <v>1746.8056022198136</v>
      </c>
      <c r="CK11" s="204">
        <f t="shared" si="2"/>
        <v>1746.8056022198136</v>
      </c>
      <c r="CL11" s="204">
        <f t="shared" si="2"/>
        <v>1746.8056022198136</v>
      </c>
      <c r="CM11" s="204">
        <f t="shared" si="2"/>
        <v>1746.8056022198136</v>
      </c>
      <c r="CN11" s="204">
        <f t="shared" si="2"/>
        <v>1746.8056022198136</v>
      </c>
      <c r="CO11" s="204">
        <f t="shared" si="2"/>
        <v>1746.8056022198136</v>
      </c>
      <c r="CP11" s="204">
        <f t="shared" si="2"/>
        <v>1746.8056022198136</v>
      </c>
      <c r="CQ11" s="204">
        <f t="shared" si="2"/>
        <v>1746.8056022198136</v>
      </c>
      <c r="CR11" s="204">
        <f t="shared" si="2"/>
        <v>0</v>
      </c>
      <c r="CS11" s="204">
        <f t="shared" si="3"/>
        <v>0</v>
      </c>
      <c r="CT11" s="204">
        <f t="shared" si="3"/>
        <v>0</v>
      </c>
      <c r="CU11" s="204">
        <f t="shared" si="3"/>
        <v>0</v>
      </c>
      <c r="CV11" s="204">
        <f t="shared" si="3"/>
        <v>0</v>
      </c>
      <c r="CW11" s="204">
        <f t="shared" si="3"/>
        <v>0</v>
      </c>
      <c r="CX11" s="204">
        <f t="shared" si="3"/>
        <v>0</v>
      </c>
      <c r="CY11" s="204">
        <f t="shared" si="3"/>
        <v>0</v>
      </c>
      <c r="CZ11" s="204">
        <f t="shared" si="3"/>
        <v>0</v>
      </c>
      <c r="DA11" s="204">
        <f t="shared" si="3"/>
        <v>0</v>
      </c>
      <c r="DB11" s="204"/>
    </row>
    <row r="12" spans="1:106">
      <c r="A12" s="201" t="str">
        <f>Income!A82</f>
        <v>Small business/petty trading</v>
      </c>
      <c r="B12" s="203">
        <f>Income!B82</f>
        <v>0</v>
      </c>
      <c r="C12" s="203">
        <f>Income!C82</f>
        <v>1397.4444817758508</v>
      </c>
      <c r="D12" s="203">
        <f>Income!D82</f>
        <v>0</v>
      </c>
      <c r="E12" s="203">
        <f>Income!E82</f>
        <v>0</v>
      </c>
      <c r="F12" s="204">
        <f t="shared" si="4"/>
        <v>0</v>
      </c>
      <c r="G12" s="204">
        <f t="shared" si="4"/>
        <v>0</v>
      </c>
      <c r="H12" s="204">
        <f t="shared" si="4"/>
        <v>0</v>
      </c>
      <c r="I12" s="204">
        <f t="shared" si="4"/>
        <v>0</v>
      </c>
      <c r="J12" s="204">
        <f t="shared" si="4"/>
        <v>0</v>
      </c>
      <c r="K12" s="204">
        <f t="shared" si="4"/>
        <v>0</v>
      </c>
      <c r="L12" s="204">
        <f t="shared" si="4"/>
        <v>0</v>
      </c>
      <c r="M12" s="204">
        <f t="shared" si="4"/>
        <v>0</v>
      </c>
      <c r="N12" s="204">
        <f t="shared" si="4"/>
        <v>0</v>
      </c>
      <c r="O12" s="204">
        <f t="shared" si="4"/>
        <v>0</v>
      </c>
      <c r="P12" s="204">
        <f t="shared" si="4"/>
        <v>0</v>
      </c>
      <c r="Q12" s="204">
        <f t="shared" si="4"/>
        <v>0</v>
      </c>
      <c r="R12" s="204">
        <f t="shared" si="4"/>
        <v>0</v>
      </c>
      <c r="S12" s="204">
        <f t="shared" si="4"/>
        <v>0</v>
      </c>
      <c r="T12" s="204">
        <f t="shared" si="4"/>
        <v>0</v>
      </c>
      <c r="U12" s="204">
        <f t="shared" si="4"/>
        <v>0</v>
      </c>
      <c r="V12" s="204">
        <f t="shared" si="6"/>
        <v>0</v>
      </c>
      <c r="W12" s="204">
        <f t="shared" si="6"/>
        <v>0</v>
      </c>
      <c r="X12" s="204">
        <f t="shared" si="6"/>
        <v>0</v>
      </c>
      <c r="Y12" s="204">
        <f t="shared" si="6"/>
        <v>0</v>
      </c>
      <c r="Z12" s="204">
        <f t="shared" si="6"/>
        <v>0</v>
      </c>
      <c r="AA12" s="204">
        <f t="shared" si="6"/>
        <v>0</v>
      </c>
      <c r="AB12" s="204">
        <f t="shared" si="6"/>
        <v>0</v>
      </c>
      <c r="AC12" s="204">
        <f t="shared" si="6"/>
        <v>0</v>
      </c>
      <c r="AD12" s="204">
        <f t="shared" si="6"/>
        <v>0</v>
      </c>
      <c r="AE12" s="204">
        <f t="shared" si="6"/>
        <v>0</v>
      </c>
      <c r="AF12" s="204">
        <f t="shared" si="6"/>
        <v>0</v>
      </c>
      <c r="AG12" s="204">
        <f t="shared" si="6"/>
        <v>0</v>
      </c>
      <c r="AH12" s="204">
        <f t="shared" si="6"/>
        <v>0</v>
      </c>
      <c r="AI12" s="204">
        <f t="shared" si="6"/>
        <v>0</v>
      </c>
      <c r="AJ12" s="204">
        <f t="shared" si="6"/>
        <v>0</v>
      </c>
      <c r="AK12" s="204">
        <f t="shared" si="6"/>
        <v>0</v>
      </c>
      <c r="AL12" s="204">
        <f t="shared" si="7"/>
        <v>0</v>
      </c>
      <c r="AM12" s="204">
        <f t="shared" si="7"/>
        <v>0</v>
      </c>
      <c r="AN12" s="204">
        <f t="shared" si="7"/>
        <v>0</v>
      </c>
      <c r="AO12" s="204">
        <f t="shared" si="7"/>
        <v>0</v>
      </c>
      <c r="AP12" s="204">
        <f t="shared" si="7"/>
        <v>0</v>
      </c>
      <c r="AQ12" s="204">
        <f t="shared" si="7"/>
        <v>0</v>
      </c>
      <c r="AR12" s="204">
        <f t="shared" si="7"/>
        <v>0</v>
      </c>
      <c r="AS12" s="204">
        <f t="shared" si="7"/>
        <v>0</v>
      </c>
      <c r="AT12" s="204">
        <f t="shared" si="7"/>
        <v>0</v>
      </c>
      <c r="AU12" s="204">
        <f t="shared" si="7"/>
        <v>0</v>
      </c>
      <c r="AV12" s="204">
        <f t="shared" si="7"/>
        <v>0</v>
      </c>
      <c r="AW12" s="204">
        <f t="shared" si="7"/>
        <v>0</v>
      </c>
      <c r="AX12" s="204">
        <f t="shared" si="8"/>
        <v>0</v>
      </c>
      <c r="AY12" s="204">
        <f t="shared" si="8"/>
        <v>0</v>
      </c>
      <c r="AZ12" s="204">
        <f t="shared" si="8"/>
        <v>0</v>
      </c>
      <c r="BA12" s="204">
        <f t="shared" si="8"/>
        <v>1397.4444817758508</v>
      </c>
      <c r="BB12" s="204">
        <f t="shared" si="8"/>
        <v>1397.4444817758508</v>
      </c>
      <c r="BC12" s="204">
        <f t="shared" si="8"/>
        <v>1397.4444817758508</v>
      </c>
      <c r="BD12" s="204">
        <f t="shared" si="8"/>
        <v>1397.4444817758508</v>
      </c>
      <c r="BE12" s="204">
        <f t="shared" si="8"/>
        <v>1397.4444817758508</v>
      </c>
      <c r="BF12" s="204">
        <f t="shared" si="8"/>
        <v>1397.4444817758508</v>
      </c>
      <c r="BG12" s="204">
        <f t="shared" si="8"/>
        <v>1397.4444817758508</v>
      </c>
      <c r="BH12" s="204">
        <f t="shared" si="8"/>
        <v>1397.4444817758508</v>
      </c>
      <c r="BI12" s="204">
        <f t="shared" si="8"/>
        <v>1397.4444817758508</v>
      </c>
      <c r="BJ12" s="204">
        <f t="shared" si="8"/>
        <v>1397.4444817758508</v>
      </c>
      <c r="BK12" s="204">
        <f t="shared" si="8"/>
        <v>1397.4444817758508</v>
      </c>
      <c r="BL12" s="204">
        <f t="shared" si="8"/>
        <v>1397.4444817758508</v>
      </c>
      <c r="BM12" s="204">
        <f t="shared" si="8"/>
        <v>1397.4444817758508</v>
      </c>
      <c r="BN12" s="204">
        <f t="shared" si="8"/>
        <v>1397.4444817758508</v>
      </c>
      <c r="BO12" s="204">
        <f t="shared" si="8"/>
        <v>1397.4444817758508</v>
      </c>
      <c r="BP12" s="204">
        <f t="shared" si="8"/>
        <v>1397.4444817758508</v>
      </c>
      <c r="BQ12" s="204">
        <f t="shared" si="8"/>
        <v>1397.4444817758508</v>
      </c>
      <c r="BR12" s="204">
        <f t="shared" si="8"/>
        <v>1397.4444817758508</v>
      </c>
      <c r="BS12" s="204">
        <f t="shared" si="8"/>
        <v>1397.4444817758508</v>
      </c>
      <c r="BT12" s="204">
        <f t="shared" si="8"/>
        <v>1397.4444817758508</v>
      </c>
      <c r="BU12" s="204">
        <f t="shared" si="8"/>
        <v>1397.4444817758508</v>
      </c>
      <c r="BV12" s="204">
        <f t="shared" si="8"/>
        <v>1397.4444817758508</v>
      </c>
      <c r="BW12" s="204">
        <f t="shared" si="8"/>
        <v>1397.4444817758508</v>
      </c>
      <c r="BX12" s="204">
        <f t="shared" si="8"/>
        <v>1397.4444817758508</v>
      </c>
      <c r="BY12" s="204">
        <f t="shared" si="8"/>
        <v>1397.4444817758508</v>
      </c>
      <c r="BZ12" s="204">
        <f t="shared" si="8"/>
        <v>0</v>
      </c>
      <c r="CA12" s="204">
        <f t="shared" si="2"/>
        <v>0</v>
      </c>
      <c r="CB12" s="204">
        <f t="shared" si="2"/>
        <v>0</v>
      </c>
      <c r="CC12" s="204">
        <f t="shared" si="2"/>
        <v>0</v>
      </c>
      <c r="CD12" s="204">
        <f t="shared" si="2"/>
        <v>0</v>
      </c>
      <c r="CE12" s="204">
        <f t="shared" si="2"/>
        <v>0</v>
      </c>
      <c r="CF12" s="204">
        <f t="shared" si="2"/>
        <v>0</v>
      </c>
      <c r="CG12" s="204">
        <f t="shared" si="2"/>
        <v>0</v>
      </c>
      <c r="CH12" s="204">
        <f t="shared" si="2"/>
        <v>0</v>
      </c>
      <c r="CI12" s="204">
        <f t="shared" si="2"/>
        <v>0</v>
      </c>
      <c r="CJ12" s="204">
        <f t="shared" si="2"/>
        <v>0</v>
      </c>
      <c r="CK12" s="204">
        <f t="shared" si="2"/>
        <v>0</v>
      </c>
      <c r="CL12" s="204">
        <f t="shared" si="2"/>
        <v>0</v>
      </c>
      <c r="CM12" s="204">
        <f t="shared" si="2"/>
        <v>0</v>
      </c>
      <c r="CN12" s="204">
        <f t="shared" si="2"/>
        <v>0</v>
      </c>
      <c r="CO12" s="204">
        <f t="shared" si="2"/>
        <v>0</v>
      </c>
      <c r="CP12" s="204">
        <f t="shared" si="2"/>
        <v>0</v>
      </c>
      <c r="CQ12" s="204">
        <f t="shared" si="2"/>
        <v>0</v>
      </c>
      <c r="CR12" s="204">
        <f t="shared" si="2"/>
        <v>0</v>
      </c>
      <c r="CS12" s="204">
        <f t="shared" si="3"/>
        <v>0</v>
      </c>
      <c r="CT12" s="204">
        <f t="shared" si="3"/>
        <v>0</v>
      </c>
      <c r="CU12" s="204">
        <f t="shared" si="3"/>
        <v>0</v>
      </c>
      <c r="CV12" s="204">
        <f t="shared" si="3"/>
        <v>0</v>
      </c>
      <c r="CW12" s="204">
        <f t="shared" si="3"/>
        <v>0</v>
      </c>
      <c r="CX12" s="204">
        <f t="shared" si="3"/>
        <v>0</v>
      </c>
      <c r="CY12" s="204">
        <f t="shared" si="3"/>
        <v>0</v>
      </c>
      <c r="CZ12" s="204">
        <f t="shared" si="3"/>
        <v>0</v>
      </c>
      <c r="DA12" s="204">
        <f t="shared" si="3"/>
        <v>0</v>
      </c>
      <c r="DB12" s="204"/>
    </row>
    <row r="13" spans="1:106">
      <c r="A13" s="201" t="str">
        <f>Income!A83</f>
        <v>Food transfer - official</v>
      </c>
      <c r="B13" s="203">
        <f>Income!B83</f>
        <v>1008.3916845262437</v>
      </c>
      <c r="C13" s="203">
        <f>Income!C83</f>
        <v>840.32640377186965</v>
      </c>
      <c r="D13" s="203">
        <f>Income!D83</f>
        <v>0</v>
      </c>
      <c r="E13" s="203">
        <f>Income!E83</f>
        <v>0</v>
      </c>
      <c r="F13" s="204">
        <f t="shared" si="4"/>
        <v>1008.3916845262437</v>
      </c>
      <c r="G13" s="204">
        <f t="shared" si="4"/>
        <v>1008.3916845262437</v>
      </c>
      <c r="H13" s="204">
        <f t="shared" si="4"/>
        <v>1008.3916845262437</v>
      </c>
      <c r="I13" s="204">
        <f t="shared" si="4"/>
        <v>1008.3916845262437</v>
      </c>
      <c r="J13" s="204">
        <f t="shared" si="4"/>
        <v>1008.3916845262437</v>
      </c>
      <c r="K13" s="204">
        <f t="shared" si="4"/>
        <v>1008.3916845262437</v>
      </c>
      <c r="L13" s="204">
        <f t="shared" si="4"/>
        <v>1008.3916845262437</v>
      </c>
      <c r="M13" s="204">
        <f t="shared" si="4"/>
        <v>1008.3916845262437</v>
      </c>
      <c r="N13" s="204">
        <f t="shared" si="4"/>
        <v>1008.3916845262437</v>
      </c>
      <c r="O13" s="204">
        <f t="shared" si="4"/>
        <v>1008.3916845262437</v>
      </c>
      <c r="P13" s="204">
        <f t="shared" si="4"/>
        <v>1008.3916845262437</v>
      </c>
      <c r="Q13" s="204">
        <f t="shared" si="4"/>
        <v>1008.3916845262437</v>
      </c>
      <c r="R13" s="204">
        <f t="shared" si="4"/>
        <v>1008.3916845262437</v>
      </c>
      <c r="S13" s="204">
        <f t="shared" si="4"/>
        <v>1008.3916845262437</v>
      </c>
      <c r="T13" s="204">
        <f t="shared" si="4"/>
        <v>1008.3916845262437</v>
      </c>
      <c r="U13" s="204">
        <f t="shared" si="4"/>
        <v>1008.3916845262437</v>
      </c>
      <c r="V13" s="204">
        <f t="shared" si="6"/>
        <v>1008.3916845262437</v>
      </c>
      <c r="W13" s="204">
        <f t="shared" si="6"/>
        <v>1008.3916845262437</v>
      </c>
      <c r="X13" s="204">
        <f t="shared" si="6"/>
        <v>1008.3916845262437</v>
      </c>
      <c r="Y13" s="204">
        <f t="shared" si="6"/>
        <v>1008.3916845262437</v>
      </c>
      <c r="Z13" s="204">
        <f t="shared" si="6"/>
        <v>1008.3916845262437</v>
      </c>
      <c r="AA13" s="204">
        <f t="shared" si="6"/>
        <v>1008.3916845262437</v>
      </c>
      <c r="AB13" s="204">
        <f t="shared" si="6"/>
        <v>1008.3916845262437</v>
      </c>
      <c r="AC13" s="204">
        <f t="shared" si="6"/>
        <v>1008.3916845262437</v>
      </c>
      <c r="AD13" s="204">
        <f t="shared" si="6"/>
        <v>1008.3916845262437</v>
      </c>
      <c r="AE13" s="204">
        <f t="shared" si="6"/>
        <v>1008.3916845262437</v>
      </c>
      <c r="AF13" s="204">
        <f t="shared" si="6"/>
        <v>1008.3916845262437</v>
      </c>
      <c r="AG13" s="204">
        <f t="shared" si="6"/>
        <v>1008.3916845262437</v>
      </c>
      <c r="AH13" s="204">
        <f t="shared" si="6"/>
        <v>1008.3916845262437</v>
      </c>
      <c r="AI13" s="204">
        <f t="shared" si="6"/>
        <v>1008.3916845262437</v>
      </c>
      <c r="AJ13" s="204">
        <f t="shared" si="6"/>
        <v>1008.3916845262437</v>
      </c>
      <c r="AK13" s="204">
        <f t="shared" si="6"/>
        <v>1008.3916845262437</v>
      </c>
      <c r="AL13" s="204">
        <f t="shared" si="7"/>
        <v>1008.3916845262437</v>
      </c>
      <c r="AM13" s="204">
        <f t="shared" si="7"/>
        <v>1008.3916845262437</v>
      </c>
      <c r="AN13" s="204">
        <f t="shared" si="7"/>
        <v>1008.3916845262437</v>
      </c>
      <c r="AO13" s="204">
        <f t="shared" si="7"/>
        <v>1008.3916845262437</v>
      </c>
      <c r="AP13" s="204">
        <f t="shared" si="7"/>
        <v>1008.3916845262437</v>
      </c>
      <c r="AQ13" s="204">
        <f t="shared" si="7"/>
        <v>1008.3916845262437</v>
      </c>
      <c r="AR13" s="204">
        <f t="shared" si="7"/>
        <v>1008.3916845262437</v>
      </c>
      <c r="AS13" s="204">
        <f t="shared" si="7"/>
        <v>1008.3916845262437</v>
      </c>
      <c r="AT13" s="204">
        <f t="shared" si="7"/>
        <v>1008.3916845262437</v>
      </c>
      <c r="AU13" s="204">
        <f t="shared" si="7"/>
        <v>1008.3916845262437</v>
      </c>
      <c r="AV13" s="204">
        <f t="shared" si="7"/>
        <v>1008.3916845262437</v>
      </c>
      <c r="AW13" s="204">
        <f t="shared" si="7"/>
        <v>1008.3916845262437</v>
      </c>
      <c r="AX13" s="204">
        <f t="shared" si="8"/>
        <v>1008.3916845262437</v>
      </c>
      <c r="AY13" s="204">
        <f t="shared" si="8"/>
        <v>1008.3916845262437</v>
      </c>
      <c r="AZ13" s="204">
        <f t="shared" si="8"/>
        <v>1008.3916845262437</v>
      </c>
      <c r="BA13" s="204">
        <f t="shared" si="8"/>
        <v>840.32640377186965</v>
      </c>
      <c r="BB13" s="204">
        <f t="shared" si="8"/>
        <v>840.32640377186965</v>
      </c>
      <c r="BC13" s="204">
        <f t="shared" si="8"/>
        <v>840.32640377186965</v>
      </c>
      <c r="BD13" s="204">
        <f t="shared" si="8"/>
        <v>840.32640377186965</v>
      </c>
      <c r="BE13" s="204">
        <f t="shared" si="8"/>
        <v>840.32640377186965</v>
      </c>
      <c r="BF13" s="204">
        <f t="shared" si="8"/>
        <v>840.32640377186965</v>
      </c>
      <c r="BG13" s="204">
        <f t="shared" si="8"/>
        <v>840.32640377186965</v>
      </c>
      <c r="BH13" s="204">
        <f t="shared" si="8"/>
        <v>840.32640377186965</v>
      </c>
      <c r="BI13" s="204">
        <f t="shared" si="8"/>
        <v>840.32640377186965</v>
      </c>
      <c r="BJ13" s="204">
        <f t="shared" si="8"/>
        <v>840.32640377186965</v>
      </c>
      <c r="BK13" s="204">
        <f t="shared" si="8"/>
        <v>840.32640377186965</v>
      </c>
      <c r="BL13" s="204">
        <f t="shared" si="8"/>
        <v>840.32640377186965</v>
      </c>
      <c r="BM13" s="204">
        <f t="shared" si="8"/>
        <v>840.32640377186965</v>
      </c>
      <c r="BN13" s="204">
        <f t="shared" si="8"/>
        <v>840.32640377186965</v>
      </c>
      <c r="BO13" s="204">
        <f t="shared" si="8"/>
        <v>840.32640377186965</v>
      </c>
      <c r="BP13" s="204">
        <f t="shared" si="8"/>
        <v>840.32640377186965</v>
      </c>
      <c r="BQ13" s="204">
        <f t="shared" si="8"/>
        <v>840.32640377186965</v>
      </c>
      <c r="BR13" s="204">
        <f t="shared" si="8"/>
        <v>840.32640377186965</v>
      </c>
      <c r="BS13" s="204">
        <f t="shared" si="8"/>
        <v>840.32640377186965</v>
      </c>
      <c r="BT13" s="204">
        <f t="shared" si="8"/>
        <v>840.32640377186965</v>
      </c>
      <c r="BU13" s="204">
        <f t="shared" si="8"/>
        <v>840.32640377186965</v>
      </c>
      <c r="BV13" s="204">
        <f t="shared" si="8"/>
        <v>840.32640377186965</v>
      </c>
      <c r="BW13" s="204">
        <f t="shared" si="8"/>
        <v>840.32640377186965</v>
      </c>
      <c r="BX13" s="204">
        <f t="shared" si="8"/>
        <v>840.32640377186965</v>
      </c>
      <c r="BY13" s="204">
        <f t="shared" si="8"/>
        <v>840.32640377186965</v>
      </c>
      <c r="BZ13" s="204">
        <f t="shared" si="8"/>
        <v>0</v>
      </c>
      <c r="CA13" s="204">
        <f t="shared" si="2"/>
        <v>0</v>
      </c>
      <c r="CB13" s="204">
        <f t="shared" si="2"/>
        <v>0</v>
      </c>
      <c r="CC13" s="204">
        <f t="shared" si="2"/>
        <v>0</v>
      </c>
      <c r="CD13" s="204">
        <f t="shared" si="2"/>
        <v>0</v>
      </c>
      <c r="CE13" s="204">
        <f t="shared" si="2"/>
        <v>0</v>
      </c>
      <c r="CF13" s="204">
        <f t="shared" si="2"/>
        <v>0</v>
      </c>
      <c r="CG13" s="204">
        <f t="shared" si="2"/>
        <v>0</v>
      </c>
      <c r="CH13" s="204">
        <f t="shared" si="2"/>
        <v>0</v>
      </c>
      <c r="CI13" s="204">
        <f t="shared" si="2"/>
        <v>0</v>
      </c>
      <c r="CJ13" s="204">
        <f t="shared" si="2"/>
        <v>0</v>
      </c>
      <c r="CK13" s="204">
        <f t="shared" si="2"/>
        <v>0</v>
      </c>
      <c r="CL13" s="204">
        <f t="shared" si="2"/>
        <v>0</v>
      </c>
      <c r="CM13" s="204">
        <f t="shared" si="2"/>
        <v>0</v>
      </c>
      <c r="CN13" s="204">
        <f t="shared" si="2"/>
        <v>0</v>
      </c>
      <c r="CO13" s="204">
        <f t="shared" si="2"/>
        <v>0</v>
      </c>
      <c r="CP13" s="204">
        <f t="shared" si="2"/>
        <v>0</v>
      </c>
      <c r="CQ13" s="204">
        <f t="shared" si="2"/>
        <v>0</v>
      </c>
      <c r="CR13" s="204">
        <f t="shared" si="2"/>
        <v>0</v>
      </c>
      <c r="CS13" s="204">
        <f t="shared" si="3"/>
        <v>0</v>
      </c>
      <c r="CT13" s="204">
        <f t="shared" si="3"/>
        <v>0</v>
      </c>
      <c r="CU13" s="204">
        <f t="shared" si="3"/>
        <v>0</v>
      </c>
      <c r="CV13" s="204">
        <f t="shared" si="3"/>
        <v>0</v>
      </c>
      <c r="CW13" s="204">
        <f t="shared" si="3"/>
        <v>0</v>
      </c>
      <c r="CX13" s="204">
        <f t="shared" si="3"/>
        <v>0</v>
      </c>
      <c r="CY13" s="204">
        <f t="shared" si="3"/>
        <v>0</v>
      </c>
      <c r="CZ13" s="204">
        <f t="shared" si="3"/>
        <v>0</v>
      </c>
      <c r="DA13" s="204">
        <f t="shared" si="3"/>
        <v>0</v>
      </c>
      <c r="DB13" s="204"/>
    </row>
    <row r="14" spans="1:106">
      <c r="A14" s="201" t="str">
        <f>Income!A85</f>
        <v>Cash transfer - official</v>
      </c>
      <c r="B14" s="203">
        <f>Income!B85</f>
        <v>29433.674397403858</v>
      </c>
      <c r="C14" s="203">
        <f>Income!C85</f>
        <v>29433.674397403858</v>
      </c>
      <c r="D14" s="203">
        <f>Income!D85</f>
        <v>11092.215574095817</v>
      </c>
      <c r="E14" s="203">
        <f>Income!E85</f>
        <v>12676.817798966647</v>
      </c>
      <c r="F14" s="204">
        <f t="shared" si="4"/>
        <v>29433.674397403858</v>
      </c>
      <c r="G14" s="204">
        <f t="shared" si="4"/>
        <v>29433.674397403858</v>
      </c>
      <c r="H14" s="204">
        <f t="shared" si="4"/>
        <v>29433.674397403858</v>
      </c>
      <c r="I14" s="204">
        <f t="shared" si="4"/>
        <v>29433.674397403858</v>
      </c>
      <c r="J14" s="204">
        <f t="shared" si="4"/>
        <v>29433.674397403858</v>
      </c>
      <c r="K14" s="204">
        <f t="shared" si="4"/>
        <v>29433.674397403858</v>
      </c>
      <c r="L14" s="204">
        <f t="shared" si="4"/>
        <v>29433.674397403858</v>
      </c>
      <c r="M14" s="204">
        <f t="shared" si="4"/>
        <v>29433.674397403858</v>
      </c>
      <c r="N14" s="204">
        <f t="shared" si="4"/>
        <v>29433.674397403858</v>
      </c>
      <c r="O14" s="204">
        <f t="shared" si="4"/>
        <v>29433.674397403858</v>
      </c>
      <c r="P14" s="204">
        <f t="shared" si="4"/>
        <v>29433.674397403858</v>
      </c>
      <c r="Q14" s="204">
        <f t="shared" si="4"/>
        <v>29433.674397403858</v>
      </c>
      <c r="R14" s="204">
        <f t="shared" si="4"/>
        <v>29433.674397403858</v>
      </c>
      <c r="S14" s="204">
        <f t="shared" si="4"/>
        <v>29433.674397403858</v>
      </c>
      <c r="T14" s="204">
        <f t="shared" si="4"/>
        <v>29433.674397403858</v>
      </c>
      <c r="U14" s="204">
        <f t="shared" si="4"/>
        <v>29433.674397403858</v>
      </c>
      <c r="V14" s="204">
        <f t="shared" si="6"/>
        <v>29433.674397403858</v>
      </c>
      <c r="W14" s="204">
        <f t="shared" si="6"/>
        <v>29433.674397403858</v>
      </c>
      <c r="X14" s="204">
        <f t="shared" si="6"/>
        <v>29433.674397403858</v>
      </c>
      <c r="Y14" s="204">
        <f t="shared" si="6"/>
        <v>29433.674397403858</v>
      </c>
      <c r="Z14" s="204">
        <f t="shared" si="6"/>
        <v>29433.674397403858</v>
      </c>
      <c r="AA14" s="204">
        <f t="shared" si="6"/>
        <v>29433.674397403858</v>
      </c>
      <c r="AB14" s="204">
        <f t="shared" si="6"/>
        <v>29433.674397403858</v>
      </c>
      <c r="AC14" s="204">
        <f t="shared" si="6"/>
        <v>29433.674397403858</v>
      </c>
      <c r="AD14" s="204">
        <f t="shared" si="6"/>
        <v>29433.674397403858</v>
      </c>
      <c r="AE14" s="204">
        <f t="shared" si="6"/>
        <v>29433.674397403858</v>
      </c>
      <c r="AF14" s="204">
        <f t="shared" si="6"/>
        <v>29433.674397403858</v>
      </c>
      <c r="AG14" s="204">
        <f t="shared" si="6"/>
        <v>29433.674397403858</v>
      </c>
      <c r="AH14" s="204">
        <f t="shared" si="6"/>
        <v>29433.674397403858</v>
      </c>
      <c r="AI14" s="204">
        <f t="shared" si="6"/>
        <v>29433.674397403858</v>
      </c>
      <c r="AJ14" s="204">
        <f t="shared" si="6"/>
        <v>29433.674397403858</v>
      </c>
      <c r="AK14" s="204">
        <f t="shared" si="6"/>
        <v>29433.674397403858</v>
      </c>
      <c r="AL14" s="204">
        <f t="shared" si="7"/>
        <v>29433.674397403858</v>
      </c>
      <c r="AM14" s="204">
        <f t="shared" si="7"/>
        <v>29433.674397403858</v>
      </c>
      <c r="AN14" s="204">
        <f t="shared" si="7"/>
        <v>29433.674397403858</v>
      </c>
      <c r="AO14" s="204">
        <f t="shared" si="7"/>
        <v>29433.674397403858</v>
      </c>
      <c r="AP14" s="204">
        <f t="shared" si="7"/>
        <v>29433.674397403858</v>
      </c>
      <c r="AQ14" s="204">
        <f t="shared" si="7"/>
        <v>29433.674397403858</v>
      </c>
      <c r="AR14" s="204">
        <f t="shared" si="7"/>
        <v>29433.674397403858</v>
      </c>
      <c r="AS14" s="204">
        <f t="shared" si="7"/>
        <v>29433.674397403858</v>
      </c>
      <c r="AT14" s="204">
        <f t="shared" si="7"/>
        <v>29433.674397403858</v>
      </c>
      <c r="AU14" s="204">
        <f t="shared" si="7"/>
        <v>29433.674397403858</v>
      </c>
      <c r="AV14" s="204">
        <f t="shared" si="7"/>
        <v>29433.674397403858</v>
      </c>
      <c r="AW14" s="204">
        <f t="shared" si="7"/>
        <v>29433.674397403858</v>
      </c>
      <c r="AX14" s="204">
        <f t="shared" si="7"/>
        <v>29433.674397403858</v>
      </c>
      <c r="AY14" s="204">
        <f t="shared" si="7"/>
        <v>29433.674397403858</v>
      </c>
      <c r="AZ14" s="204">
        <f t="shared" si="7"/>
        <v>29433.674397403858</v>
      </c>
      <c r="BA14" s="204">
        <f t="shared" si="7"/>
        <v>29433.674397403858</v>
      </c>
      <c r="BB14" s="204">
        <f t="shared" si="8"/>
        <v>29433.674397403858</v>
      </c>
      <c r="BC14" s="204">
        <f t="shared" si="8"/>
        <v>29433.674397403858</v>
      </c>
      <c r="BD14" s="204">
        <f t="shared" si="8"/>
        <v>29433.674397403858</v>
      </c>
      <c r="BE14" s="204">
        <f t="shared" si="8"/>
        <v>29433.674397403858</v>
      </c>
      <c r="BF14" s="204">
        <f t="shared" si="8"/>
        <v>29433.674397403858</v>
      </c>
      <c r="BG14" s="204">
        <f t="shared" si="8"/>
        <v>29433.674397403858</v>
      </c>
      <c r="BH14" s="204">
        <f t="shared" si="8"/>
        <v>29433.674397403858</v>
      </c>
      <c r="BI14" s="204">
        <f t="shared" si="8"/>
        <v>29433.674397403858</v>
      </c>
      <c r="BJ14" s="204">
        <f t="shared" si="8"/>
        <v>29433.674397403858</v>
      </c>
      <c r="BK14" s="204">
        <f t="shared" si="8"/>
        <v>29433.674397403858</v>
      </c>
      <c r="BL14" s="204">
        <f t="shared" si="8"/>
        <v>29433.674397403858</v>
      </c>
      <c r="BM14" s="204">
        <f t="shared" si="8"/>
        <v>29433.674397403858</v>
      </c>
      <c r="BN14" s="204">
        <f t="shared" si="8"/>
        <v>29433.674397403858</v>
      </c>
      <c r="BO14" s="204">
        <f t="shared" si="8"/>
        <v>29433.674397403858</v>
      </c>
      <c r="BP14" s="204">
        <f t="shared" si="8"/>
        <v>29433.674397403858</v>
      </c>
      <c r="BQ14" s="204">
        <f t="shared" si="8"/>
        <v>29433.674397403858</v>
      </c>
      <c r="BR14" s="204">
        <f t="shared" si="8"/>
        <v>29433.674397403858</v>
      </c>
      <c r="BS14" s="204">
        <f t="shared" si="8"/>
        <v>29433.674397403858</v>
      </c>
      <c r="BT14" s="204">
        <f t="shared" si="8"/>
        <v>29433.674397403858</v>
      </c>
      <c r="BU14" s="204">
        <f t="shared" si="8"/>
        <v>29433.674397403858</v>
      </c>
      <c r="BV14" s="204">
        <f t="shared" si="8"/>
        <v>29433.674397403858</v>
      </c>
      <c r="BW14" s="204">
        <f t="shared" si="8"/>
        <v>29433.674397403858</v>
      </c>
      <c r="BX14" s="204">
        <f t="shared" si="8"/>
        <v>29433.674397403858</v>
      </c>
      <c r="BY14" s="204">
        <f t="shared" si="8"/>
        <v>29433.674397403858</v>
      </c>
      <c r="BZ14" s="204">
        <f t="shared" si="8"/>
        <v>11092.215574095817</v>
      </c>
      <c r="CA14" s="204">
        <f t="shared" si="2"/>
        <v>11092.215574095817</v>
      </c>
      <c r="CB14" s="204">
        <f t="shared" si="2"/>
        <v>11092.215574095817</v>
      </c>
      <c r="CC14" s="204">
        <f t="shared" si="2"/>
        <v>11092.215574095817</v>
      </c>
      <c r="CD14" s="204">
        <f t="shared" si="2"/>
        <v>11092.215574095817</v>
      </c>
      <c r="CE14" s="204">
        <f t="shared" si="2"/>
        <v>11092.215574095817</v>
      </c>
      <c r="CF14" s="204">
        <f t="shared" si="2"/>
        <v>11092.215574095817</v>
      </c>
      <c r="CG14" s="204">
        <f t="shared" si="2"/>
        <v>11092.215574095817</v>
      </c>
      <c r="CH14" s="204">
        <f t="shared" si="2"/>
        <v>11092.215574095817</v>
      </c>
      <c r="CI14" s="204">
        <f t="shared" si="2"/>
        <v>11092.215574095817</v>
      </c>
      <c r="CJ14" s="204">
        <f t="shared" si="2"/>
        <v>11092.215574095817</v>
      </c>
      <c r="CK14" s="204">
        <f t="shared" si="2"/>
        <v>11092.215574095817</v>
      </c>
      <c r="CL14" s="204">
        <f t="shared" si="2"/>
        <v>11092.215574095817</v>
      </c>
      <c r="CM14" s="204">
        <f t="shared" si="2"/>
        <v>11092.215574095817</v>
      </c>
      <c r="CN14" s="204">
        <f t="shared" si="2"/>
        <v>11092.215574095817</v>
      </c>
      <c r="CO14" s="204">
        <f t="shared" si="2"/>
        <v>11092.215574095817</v>
      </c>
      <c r="CP14" s="204">
        <f t="shared" si="2"/>
        <v>11092.215574095817</v>
      </c>
      <c r="CQ14" s="204">
        <f t="shared" si="2"/>
        <v>11092.215574095817</v>
      </c>
      <c r="CR14" s="204">
        <f t="shared" si="2"/>
        <v>12676.817798966647</v>
      </c>
      <c r="CS14" s="204">
        <f t="shared" si="3"/>
        <v>12676.817798966647</v>
      </c>
      <c r="CT14" s="204">
        <f t="shared" si="3"/>
        <v>12676.817798966647</v>
      </c>
      <c r="CU14" s="204">
        <f t="shared" si="3"/>
        <v>12676.817798966647</v>
      </c>
      <c r="CV14" s="204">
        <f t="shared" si="3"/>
        <v>12676.817798966647</v>
      </c>
      <c r="CW14" s="204">
        <f t="shared" si="3"/>
        <v>12676.817798966647</v>
      </c>
      <c r="CX14" s="204">
        <f t="shared" si="3"/>
        <v>12676.817798966647</v>
      </c>
      <c r="CY14" s="204">
        <f t="shared" si="3"/>
        <v>12676.817798966647</v>
      </c>
      <c r="CZ14" s="204">
        <f t="shared" si="3"/>
        <v>12676.817798966647</v>
      </c>
      <c r="DA14" s="204">
        <f t="shared" si="3"/>
        <v>12676.817798966647</v>
      </c>
      <c r="DB14" s="204"/>
    </row>
    <row r="15" spans="1:106">
      <c r="A15" s="201" t="str">
        <f>Income!A86</f>
        <v>Cash transfer - gifts</v>
      </c>
      <c r="B15" s="203">
        <f>Income!B86</f>
        <v>0</v>
      </c>
      <c r="C15" s="203">
        <f>Income!C86</f>
        <v>6987.2224088792545</v>
      </c>
      <c r="D15" s="203">
        <f>Income!D86</f>
        <v>0</v>
      </c>
      <c r="E15" s="203">
        <f>Income!E86</f>
        <v>0</v>
      </c>
      <c r="F15" s="204">
        <f t="shared" si="4"/>
        <v>0</v>
      </c>
      <c r="G15" s="204">
        <f t="shared" si="4"/>
        <v>0</v>
      </c>
      <c r="H15" s="204">
        <f t="shared" si="4"/>
        <v>0</v>
      </c>
      <c r="I15" s="204">
        <f t="shared" si="4"/>
        <v>0</v>
      </c>
      <c r="J15" s="204">
        <f t="shared" si="4"/>
        <v>0</v>
      </c>
      <c r="K15" s="204">
        <f t="shared" si="4"/>
        <v>0</v>
      </c>
      <c r="L15" s="204">
        <f t="shared" si="4"/>
        <v>0</v>
      </c>
      <c r="M15" s="204">
        <f t="shared" si="4"/>
        <v>0</v>
      </c>
      <c r="N15" s="204">
        <f t="shared" si="4"/>
        <v>0</v>
      </c>
      <c r="O15" s="204">
        <f t="shared" si="4"/>
        <v>0</v>
      </c>
      <c r="P15" s="204">
        <f t="shared" si="4"/>
        <v>0</v>
      </c>
      <c r="Q15" s="204">
        <f t="shared" si="4"/>
        <v>0</v>
      </c>
      <c r="R15" s="204">
        <f t="shared" si="4"/>
        <v>0</v>
      </c>
      <c r="S15" s="204">
        <f t="shared" si="4"/>
        <v>0</v>
      </c>
      <c r="T15" s="204">
        <f t="shared" si="4"/>
        <v>0</v>
      </c>
      <c r="U15" s="204">
        <f t="shared" si="4"/>
        <v>0</v>
      </c>
      <c r="V15" s="204">
        <f t="shared" si="6"/>
        <v>0</v>
      </c>
      <c r="W15" s="204">
        <f t="shared" si="6"/>
        <v>0</v>
      </c>
      <c r="X15" s="204">
        <f t="shared" si="6"/>
        <v>0</v>
      </c>
      <c r="Y15" s="204">
        <f t="shared" si="6"/>
        <v>0</v>
      </c>
      <c r="Z15" s="204">
        <f t="shared" si="6"/>
        <v>0</v>
      </c>
      <c r="AA15" s="204">
        <f t="shared" si="6"/>
        <v>0</v>
      </c>
      <c r="AB15" s="204">
        <f t="shared" si="6"/>
        <v>0</v>
      </c>
      <c r="AC15" s="204">
        <f t="shared" si="6"/>
        <v>0</v>
      </c>
      <c r="AD15" s="204">
        <f t="shared" si="6"/>
        <v>0</v>
      </c>
      <c r="AE15" s="204">
        <f t="shared" si="6"/>
        <v>0</v>
      </c>
      <c r="AF15" s="204">
        <f t="shared" si="6"/>
        <v>0</v>
      </c>
      <c r="AG15" s="204">
        <f t="shared" si="6"/>
        <v>0</v>
      </c>
      <c r="AH15" s="204">
        <f t="shared" si="6"/>
        <v>0</v>
      </c>
      <c r="AI15" s="204">
        <f t="shared" si="6"/>
        <v>0</v>
      </c>
      <c r="AJ15" s="204">
        <f t="shared" si="6"/>
        <v>0</v>
      </c>
      <c r="AK15" s="204">
        <f t="shared" si="6"/>
        <v>0</v>
      </c>
      <c r="AL15" s="204">
        <f t="shared" si="7"/>
        <v>0</v>
      </c>
      <c r="AM15" s="204">
        <f t="shared" si="7"/>
        <v>0</v>
      </c>
      <c r="AN15" s="204">
        <f t="shared" si="7"/>
        <v>0</v>
      </c>
      <c r="AO15" s="204">
        <f t="shared" si="7"/>
        <v>0</v>
      </c>
      <c r="AP15" s="204">
        <f t="shared" si="7"/>
        <v>0</v>
      </c>
      <c r="AQ15" s="204">
        <f t="shared" si="7"/>
        <v>0</v>
      </c>
      <c r="AR15" s="204">
        <f t="shared" si="7"/>
        <v>0</v>
      </c>
      <c r="AS15" s="204">
        <f t="shared" si="7"/>
        <v>0</v>
      </c>
      <c r="AT15" s="204">
        <f t="shared" si="7"/>
        <v>0</v>
      </c>
      <c r="AU15" s="204">
        <f t="shared" si="7"/>
        <v>0</v>
      </c>
      <c r="AV15" s="204">
        <f t="shared" si="7"/>
        <v>0</v>
      </c>
      <c r="AW15" s="204">
        <f t="shared" si="7"/>
        <v>0</v>
      </c>
      <c r="AX15" s="204">
        <f t="shared" si="8"/>
        <v>0</v>
      </c>
      <c r="AY15" s="204">
        <f t="shared" si="8"/>
        <v>0</v>
      </c>
      <c r="AZ15" s="204">
        <f t="shared" si="8"/>
        <v>0</v>
      </c>
      <c r="BA15" s="204">
        <f t="shared" si="8"/>
        <v>6987.2224088792545</v>
      </c>
      <c r="BB15" s="204">
        <f t="shared" si="8"/>
        <v>6987.2224088792545</v>
      </c>
      <c r="BC15" s="204">
        <f t="shared" si="8"/>
        <v>6987.2224088792545</v>
      </c>
      <c r="BD15" s="204">
        <f t="shared" si="8"/>
        <v>6987.2224088792545</v>
      </c>
      <c r="BE15" s="204">
        <f t="shared" si="8"/>
        <v>6987.2224088792545</v>
      </c>
      <c r="BF15" s="204">
        <f t="shared" si="8"/>
        <v>6987.2224088792545</v>
      </c>
      <c r="BG15" s="204">
        <f t="shared" si="8"/>
        <v>6987.2224088792545</v>
      </c>
      <c r="BH15" s="204">
        <f t="shared" si="8"/>
        <v>6987.2224088792545</v>
      </c>
      <c r="BI15" s="204">
        <f t="shared" si="8"/>
        <v>6987.2224088792545</v>
      </c>
      <c r="BJ15" s="204">
        <f t="shared" si="8"/>
        <v>6987.2224088792545</v>
      </c>
      <c r="BK15" s="204">
        <f t="shared" si="8"/>
        <v>6987.2224088792545</v>
      </c>
      <c r="BL15" s="204">
        <f t="shared" si="8"/>
        <v>6987.2224088792545</v>
      </c>
      <c r="BM15" s="204">
        <f t="shared" si="8"/>
        <v>6987.2224088792545</v>
      </c>
      <c r="BN15" s="204">
        <f t="shared" si="8"/>
        <v>6987.2224088792545</v>
      </c>
      <c r="BO15" s="204">
        <f t="shared" si="8"/>
        <v>6987.2224088792545</v>
      </c>
      <c r="BP15" s="204">
        <f t="shared" si="8"/>
        <v>6987.2224088792545</v>
      </c>
      <c r="BQ15" s="204">
        <f t="shared" si="8"/>
        <v>6987.2224088792545</v>
      </c>
      <c r="BR15" s="204">
        <f t="shared" si="8"/>
        <v>6987.2224088792545</v>
      </c>
      <c r="BS15" s="204">
        <f t="shared" si="8"/>
        <v>6987.2224088792545</v>
      </c>
      <c r="BT15" s="204">
        <f t="shared" si="8"/>
        <v>6987.2224088792545</v>
      </c>
      <c r="BU15" s="204">
        <f t="shared" si="8"/>
        <v>6987.2224088792545</v>
      </c>
      <c r="BV15" s="204">
        <f t="shared" si="8"/>
        <v>6987.2224088792545</v>
      </c>
      <c r="BW15" s="204">
        <f t="shared" si="8"/>
        <v>6987.2224088792545</v>
      </c>
      <c r="BX15" s="204">
        <f t="shared" si="8"/>
        <v>6987.2224088792545</v>
      </c>
      <c r="BY15" s="204">
        <f t="shared" si="8"/>
        <v>6987.2224088792545</v>
      </c>
      <c r="BZ15" s="204">
        <f t="shared" si="8"/>
        <v>0</v>
      </c>
      <c r="CA15" s="204">
        <f t="shared" si="2"/>
        <v>0</v>
      </c>
      <c r="CB15" s="204">
        <f t="shared" si="2"/>
        <v>0</v>
      </c>
      <c r="CC15" s="204">
        <f t="shared" si="2"/>
        <v>0</v>
      </c>
      <c r="CD15" s="204">
        <f t="shared" ref="CC15:CR18" si="9">IF(CD$2&lt;=($B$2+$C$2+$D$2),IF(CD$2&lt;=($B$2+$C$2),IF(CD$2&lt;=$B$2,$B15,$C15),$D15),$E15)</f>
        <v>0</v>
      </c>
      <c r="CE15" s="204">
        <f t="shared" si="9"/>
        <v>0</v>
      </c>
      <c r="CF15" s="204">
        <f t="shared" si="9"/>
        <v>0</v>
      </c>
      <c r="CG15" s="204">
        <f t="shared" si="9"/>
        <v>0</v>
      </c>
      <c r="CH15" s="204">
        <f t="shared" si="9"/>
        <v>0</v>
      </c>
      <c r="CI15" s="204">
        <f t="shared" si="9"/>
        <v>0</v>
      </c>
      <c r="CJ15" s="204">
        <f t="shared" si="9"/>
        <v>0</v>
      </c>
      <c r="CK15" s="204">
        <f t="shared" si="9"/>
        <v>0</v>
      </c>
      <c r="CL15" s="204">
        <f t="shared" si="9"/>
        <v>0</v>
      </c>
      <c r="CM15" s="204">
        <f t="shared" si="9"/>
        <v>0</v>
      </c>
      <c r="CN15" s="204">
        <f t="shared" si="9"/>
        <v>0</v>
      </c>
      <c r="CO15" s="204">
        <f t="shared" si="9"/>
        <v>0</v>
      </c>
      <c r="CP15" s="204">
        <f t="shared" si="9"/>
        <v>0</v>
      </c>
      <c r="CQ15" s="204">
        <f t="shared" si="9"/>
        <v>0</v>
      </c>
      <c r="CR15" s="204">
        <f t="shared" si="9"/>
        <v>0</v>
      </c>
      <c r="CS15" s="204">
        <f t="shared" si="3"/>
        <v>0</v>
      </c>
      <c r="CT15" s="204">
        <f t="shared" si="3"/>
        <v>0</v>
      </c>
      <c r="CU15" s="204">
        <f t="shared" si="3"/>
        <v>0</v>
      </c>
      <c r="CV15" s="204">
        <f t="shared" si="3"/>
        <v>0</v>
      </c>
      <c r="CW15" s="204">
        <f t="shared" si="3"/>
        <v>0</v>
      </c>
      <c r="CX15" s="204">
        <f t="shared" si="3"/>
        <v>0</v>
      </c>
      <c r="CY15" s="204">
        <f t="shared" si="3"/>
        <v>0</v>
      </c>
      <c r="CZ15" s="204">
        <f t="shared" si="3"/>
        <v>0</v>
      </c>
      <c r="DA15" s="204">
        <f t="shared" si="3"/>
        <v>0</v>
      </c>
      <c r="DB15" s="204"/>
    </row>
    <row r="16" spans="1:106">
      <c r="A16" s="201" t="s">
        <v>115</v>
      </c>
      <c r="B16" s="203">
        <f>Income!B88</f>
        <v>48650.036407108069</v>
      </c>
      <c r="C16" s="203">
        <f>Income!C88</f>
        <v>105607.91820347664</v>
      </c>
      <c r="D16" s="203">
        <f>Income!D88</f>
        <v>153212.59335657558</v>
      </c>
      <c r="E16" s="203">
        <f>Income!E88</f>
        <v>389759.09597611619</v>
      </c>
      <c r="F16" s="204">
        <f t="shared" si="4"/>
        <v>48650.036407108069</v>
      </c>
      <c r="G16" s="204">
        <f t="shared" si="4"/>
        <v>48650.036407108069</v>
      </c>
      <c r="H16" s="204">
        <f t="shared" si="4"/>
        <v>48650.036407108069</v>
      </c>
      <c r="I16" s="204">
        <f t="shared" si="4"/>
        <v>48650.036407108069</v>
      </c>
      <c r="J16" s="204">
        <f t="shared" si="4"/>
        <v>48650.036407108069</v>
      </c>
      <c r="K16" s="204">
        <f t="shared" si="4"/>
        <v>48650.036407108069</v>
      </c>
      <c r="L16" s="204">
        <f t="shared" si="4"/>
        <v>48650.036407108069</v>
      </c>
      <c r="M16" s="204">
        <f t="shared" si="4"/>
        <v>48650.036407108069</v>
      </c>
      <c r="N16" s="204">
        <f t="shared" si="4"/>
        <v>48650.036407108069</v>
      </c>
      <c r="O16" s="204">
        <f t="shared" si="4"/>
        <v>48650.036407108069</v>
      </c>
      <c r="P16" s="204">
        <f t="shared" si="4"/>
        <v>48650.036407108069</v>
      </c>
      <c r="Q16" s="204">
        <f t="shared" si="4"/>
        <v>48650.036407108069</v>
      </c>
      <c r="R16" s="204">
        <f t="shared" si="4"/>
        <v>48650.036407108069</v>
      </c>
      <c r="S16" s="204">
        <f t="shared" si="4"/>
        <v>48650.036407108069</v>
      </c>
      <c r="T16" s="204">
        <f t="shared" si="4"/>
        <v>48650.036407108069</v>
      </c>
      <c r="U16" s="204">
        <f t="shared" si="4"/>
        <v>48650.036407108069</v>
      </c>
      <c r="V16" s="204">
        <f t="shared" si="6"/>
        <v>48650.036407108069</v>
      </c>
      <c r="W16" s="204">
        <f t="shared" si="6"/>
        <v>48650.036407108069</v>
      </c>
      <c r="X16" s="204">
        <f t="shared" si="6"/>
        <v>48650.036407108069</v>
      </c>
      <c r="Y16" s="204">
        <f t="shared" si="6"/>
        <v>48650.036407108069</v>
      </c>
      <c r="Z16" s="204">
        <f t="shared" si="6"/>
        <v>48650.036407108069</v>
      </c>
      <c r="AA16" s="204">
        <f t="shared" si="6"/>
        <v>48650.036407108069</v>
      </c>
      <c r="AB16" s="204">
        <f t="shared" si="6"/>
        <v>48650.036407108069</v>
      </c>
      <c r="AC16" s="204">
        <f t="shared" si="6"/>
        <v>48650.036407108069</v>
      </c>
      <c r="AD16" s="204">
        <f t="shared" si="6"/>
        <v>48650.036407108069</v>
      </c>
      <c r="AE16" s="204">
        <f>IF(AE$2&lt;=($B$2+$C$2+$D$2),IF(AE$2&lt;=($B$2+$C$2),IF(AE$2&lt;=$B$2,$B16,$C16),$D16),$E16)</f>
        <v>48650.036407108069</v>
      </c>
      <c r="AF16" s="204">
        <f t="shared" si="6"/>
        <v>48650.036407108069</v>
      </c>
      <c r="AG16" s="204">
        <f t="shared" si="6"/>
        <v>48650.036407108069</v>
      </c>
      <c r="AH16" s="204">
        <f t="shared" si="6"/>
        <v>48650.036407108069</v>
      </c>
      <c r="AI16" s="204">
        <f t="shared" si="6"/>
        <v>48650.036407108069</v>
      </c>
      <c r="AJ16" s="204">
        <f t="shared" si="6"/>
        <v>48650.036407108069</v>
      </c>
      <c r="AK16" s="204">
        <f t="shared" si="6"/>
        <v>48650.036407108069</v>
      </c>
      <c r="AL16" s="204">
        <f t="shared" si="7"/>
        <v>48650.036407108069</v>
      </c>
      <c r="AM16" s="204">
        <f t="shared" si="7"/>
        <v>48650.036407108069</v>
      </c>
      <c r="AN16" s="204">
        <f t="shared" si="7"/>
        <v>48650.036407108069</v>
      </c>
      <c r="AO16" s="204">
        <f t="shared" si="7"/>
        <v>48650.036407108069</v>
      </c>
      <c r="AP16" s="204">
        <f t="shared" si="7"/>
        <v>48650.036407108069</v>
      </c>
      <c r="AQ16" s="204">
        <f t="shared" si="7"/>
        <v>48650.036407108069</v>
      </c>
      <c r="AR16" s="204">
        <f t="shared" si="7"/>
        <v>48650.036407108069</v>
      </c>
      <c r="AS16" s="204">
        <f t="shared" si="7"/>
        <v>48650.036407108069</v>
      </c>
      <c r="AT16" s="204">
        <f t="shared" si="7"/>
        <v>48650.036407108069</v>
      </c>
      <c r="AU16" s="204">
        <f t="shared" si="7"/>
        <v>48650.036407108069</v>
      </c>
      <c r="AV16" s="204">
        <f t="shared" si="7"/>
        <v>48650.036407108069</v>
      </c>
      <c r="AW16" s="204">
        <f t="shared" si="7"/>
        <v>48650.036407108069</v>
      </c>
      <c r="AX16" s="204">
        <f t="shared" si="8"/>
        <v>48650.036407108069</v>
      </c>
      <c r="AY16" s="204">
        <f t="shared" si="8"/>
        <v>48650.036407108069</v>
      </c>
      <c r="AZ16" s="204">
        <f t="shared" si="8"/>
        <v>48650.036407108069</v>
      </c>
      <c r="BA16" s="204">
        <f t="shared" si="8"/>
        <v>105607.91820347664</v>
      </c>
      <c r="BB16" s="204">
        <f t="shared" si="8"/>
        <v>105607.91820347664</v>
      </c>
      <c r="BC16" s="204">
        <f t="shared" si="8"/>
        <v>105607.91820347664</v>
      </c>
      <c r="BD16" s="204">
        <f t="shared" si="8"/>
        <v>105607.91820347664</v>
      </c>
      <c r="BE16" s="204">
        <f t="shared" si="8"/>
        <v>105607.91820347664</v>
      </c>
      <c r="BF16" s="204">
        <f t="shared" si="8"/>
        <v>105607.91820347664</v>
      </c>
      <c r="BG16" s="204">
        <f t="shared" si="8"/>
        <v>105607.91820347664</v>
      </c>
      <c r="BH16" s="204">
        <f t="shared" si="8"/>
        <v>105607.91820347664</v>
      </c>
      <c r="BI16" s="204">
        <f t="shared" si="8"/>
        <v>105607.91820347664</v>
      </c>
      <c r="BJ16" s="204">
        <f t="shared" si="8"/>
        <v>105607.91820347664</v>
      </c>
      <c r="BK16" s="204">
        <f t="shared" si="8"/>
        <v>105607.91820347664</v>
      </c>
      <c r="BL16" s="204">
        <f t="shared" si="8"/>
        <v>105607.91820347664</v>
      </c>
      <c r="BM16" s="204">
        <f t="shared" si="8"/>
        <v>105607.91820347664</v>
      </c>
      <c r="BN16" s="204">
        <f t="shared" si="8"/>
        <v>105607.91820347664</v>
      </c>
      <c r="BO16" s="204">
        <f t="shared" si="8"/>
        <v>105607.91820347664</v>
      </c>
      <c r="BP16" s="204">
        <f t="shared" si="8"/>
        <v>105607.91820347664</v>
      </c>
      <c r="BQ16" s="204">
        <f t="shared" si="8"/>
        <v>105607.91820347664</v>
      </c>
      <c r="BR16" s="204">
        <f t="shared" si="8"/>
        <v>105607.91820347664</v>
      </c>
      <c r="BS16" s="204">
        <f t="shared" si="8"/>
        <v>105607.91820347664</v>
      </c>
      <c r="BT16" s="204">
        <f t="shared" si="8"/>
        <v>105607.91820347664</v>
      </c>
      <c r="BU16" s="204">
        <f t="shared" si="8"/>
        <v>105607.91820347664</v>
      </c>
      <c r="BV16" s="204">
        <f t="shared" si="8"/>
        <v>105607.91820347664</v>
      </c>
      <c r="BW16" s="204">
        <f t="shared" si="8"/>
        <v>105607.91820347664</v>
      </c>
      <c r="BX16" s="204">
        <f t="shared" si="8"/>
        <v>105607.91820347664</v>
      </c>
      <c r="BY16" s="204">
        <f t="shared" si="8"/>
        <v>105607.91820347664</v>
      </c>
      <c r="BZ16" s="204">
        <f t="shared" si="8"/>
        <v>153212.59335657558</v>
      </c>
      <c r="CA16" s="204">
        <f t="shared" ref="CA16:CB18" si="10">IF(CA$2&lt;=($B$2+$C$2+$D$2),IF(CA$2&lt;=($B$2+$C$2),IF(CA$2&lt;=$B$2,$B16,$C16),$D16),$E16)</f>
        <v>153212.59335657558</v>
      </c>
      <c r="CB16" s="204">
        <f t="shared" si="10"/>
        <v>153212.59335657558</v>
      </c>
      <c r="CC16" s="204">
        <f t="shared" si="9"/>
        <v>153212.59335657558</v>
      </c>
      <c r="CD16" s="204">
        <f t="shared" si="9"/>
        <v>153212.59335657558</v>
      </c>
      <c r="CE16" s="204">
        <f t="shared" si="9"/>
        <v>153212.59335657558</v>
      </c>
      <c r="CF16" s="204">
        <f t="shared" si="9"/>
        <v>153212.59335657558</v>
      </c>
      <c r="CG16" s="204">
        <f t="shared" si="9"/>
        <v>153212.59335657558</v>
      </c>
      <c r="CH16" s="204">
        <f t="shared" si="9"/>
        <v>153212.59335657558</v>
      </c>
      <c r="CI16" s="204">
        <f t="shared" si="9"/>
        <v>153212.59335657558</v>
      </c>
      <c r="CJ16" s="204">
        <f t="shared" si="9"/>
        <v>153212.59335657558</v>
      </c>
      <c r="CK16" s="204">
        <f t="shared" si="9"/>
        <v>153212.59335657558</v>
      </c>
      <c r="CL16" s="204">
        <f t="shared" si="9"/>
        <v>153212.59335657558</v>
      </c>
      <c r="CM16" s="204">
        <f t="shared" si="9"/>
        <v>153212.59335657558</v>
      </c>
      <c r="CN16" s="204">
        <f t="shared" si="9"/>
        <v>153212.59335657558</v>
      </c>
      <c r="CO16" s="204">
        <f t="shared" si="9"/>
        <v>153212.59335657558</v>
      </c>
      <c r="CP16" s="204">
        <f t="shared" si="9"/>
        <v>153212.59335657558</v>
      </c>
      <c r="CQ16" s="204">
        <f t="shared" si="9"/>
        <v>153212.59335657558</v>
      </c>
      <c r="CR16" s="204">
        <f t="shared" si="9"/>
        <v>389759.09597611619</v>
      </c>
      <c r="CS16" s="204">
        <f t="shared" ref="CS16:DA18" si="11">IF(CS$2&lt;=($B$2+$C$2+$D$2),IF(CS$2&lt;=($B$2+$C$2),IF(CS$2&lt;=$B$2,$B16,$C16),$D16),$E16)</f>
        <v>389759.09597611619</v>
      </c>
      <c r="CT16" s="204">
        <f t="shared" si="11"/>
        <v>389759.09597611619</v>
      </c>
      <c r="CU16" s="204">
        <f t="shared" si="11"/>
        <v>389759.09597611619</v>
      </c>
      <c r="CV16" s="204">
        <f t="shared" si="11"/>
        <v>389759.09597611619</v>
      </c>
      <c r="CW16" s="204">
        <f t="shared" si="11"/>
        <v>389759.09597611619</v>
      </c>
      <c r="CX16" s="204">
        <f t="shared" si="11"/>
        <v>389759.09597611619</v>
      </c>
      <c r="CY16" s="204">
        <f t="shared" si="11"/>
        <v>389759.09597611619</v>
      </c>
      <c r="CZ16" s="204">
        <f t="shared" si="11"/>
        <v>389759.09597611619</v>
      </c>
      <c r="DA16" s="204">
        <f t="shared" si="11"/>
        <v>389759.09597611619</v>
      </c>
      <c r="DB16" s="204"/>
    </row>
    <row r="17" spans="1:105">
      <c r="A17" s="201" t="s">
        <v>101</v>
      </c>
      <c r="B17" s="203">
        <f>Income!B89</f>
        <v>39324.286292052799</v>
      </c>
      <c r="C17" s="203">
        <f>Income!C89</f>
        <v>39324.286292052799</v>
      </c>
      <c r="D17" s="203">
        <f>Income!D89</f>
        <v>39324.286292052799</v>
      </c>
      <c r="E17" s="203">
        <f>Income!E89</f>
        <v>39324.286292052806</v>
      </c>
      <c r="F17" s="204">
        <f t="shared" si="4"/>
        <v>39324.286292052799</v>
      </c>
      <c r="G17" s="204">
        <f t="shared" si="4"/>
        <v>39324.286292052799</v>
      </c>
      <c r="H17" s="204">
        <f t="shared" si="4"/>
        <v>39324.286292052799</v>
      </c>
      <c r="I17" s="204">
        <f t="shared" si="4"/>
        <v>39324.286292052799</v>
      </c>
      <c r="J17" s="204">
        <f t="shared" si="4"/>
        <v>39324.286292052799</v>
      </c>
      <c r="K17" s="204">
        <f t="shared" si="4"/>
        <v>39324.286292052799</v>
      </c>
      <c r="L17" s="204">
        <f t="shared" si="4"/>
        <v>39324.286292052799</v>
      </c>
      <c r="M17" s="204">
        <f t="shared" si="4"/>
        <v>39324.286292052799</v>
      </c>
      <c r="N17" s="204">
        <f t="shared" si="4"/>
        <v>39324.286292052799</v>
      </c>
      <c r="O17" s="204">
        <f t="shared" si="4"/>
        <v>39324.286292052799</v>
      </c>
      <c r="P17" s="204">
        <f t="shared" si="4"/>
        <v>39324.286292052799</v>
      </c>
      <c r="Q17" s="204">
        <f t="shared" si="4"/>
        <v>39324.286292052799</v>
      </c>
      <c r="R17" s="204">
        <f t="shared" si="4"/>
        <v>39324.286292052799</v>
      </c>
      <c r="S17" s="204">
        <f t="shared" si="4"/>
        <v>39324.286292052799</v>
      </c>
      <c r="T17" s="204">
        <f t="shared" si="4"/>
        <v>39324.286292052799</v>
      </c>
      <c r="U17" s="204">
        <f t="shared" si="4"/>
        <v>39324.286292052799</v>
      </c>
      <c r="V17" s="204">
        <f t="shared" si="6"/>
        <v>39324.286292052799</v>
      </c>
      <c r="W17" s="204">
        <f t="shared" si="6"/>
        <v>39324.286292052799</v>
      </c>
      <c r="X17" s="204">
        <f t="shared" si="6"/>
        <v>39324.286292052799</v>
      </c>
      <c r="Y17" s="204">
        <f t="shared" si="6"/>
        <v>39324.286292052799</v>
      </c>
      <c r="Z17" s="204">
        <f t="shared" si="6"/>
        <v>39324.286292052799</v>
      </c>
      <c r="AA17" s="204">
        <f t="shared" si="6"/>
        <v>39324.286292052799</v>
      </c>
      <c r="AB17" s="204">
        <f t="shared" si="6"/>
        <v>39324.286292052799</v>
      </c>
      <c r="AC17" s="204">
        <f t="shared" si="6"/>
        <v>39324.286292052799</v>
      </c>
      <c r="AD17" s="204">
        <f t="shared" si="6"/>
        <v>39324.286292052799</v>
      </c>
      <c r="AE17" s="204">
        <f t="shared" si="6"/>
        <v>39324.286292052799</v>
      </c>
      <c r="AF17" s="204">
        <f t="shared" si="6"/>
        <v>39324.286292052799</v>
      </c>
      <c r="AG17" s="204">
        <f t="shared" si="6"/>
        <v>39324.286292052799</v>
      </c>
      <c r="AH17" s="204">
        <f t="shared" si="6"/>
        <v>39324.286292052799</v>
      </c>
      <c r="AI17" s="204">
        <f t="shared" si="6"/>
        <v>39324.286292052799</v>
      </c>
      <c r="AJ17" s="204">
        <f t="shared" si="6"/>
        <v>39324.286292052799</v>
      </c>
      <c r="AK17" s="204">
        <f t="shared" si="6"/>
        <v>39324.286292052799</v>
      </c>
      <c r="AL17" s="204">
        <f t="shared" si="7"/>
        <v>39324.286292052799</v>
      </c>
      <c r="AM17" s="204">
        <f t="shared" si="7"/>
        <v>39324.286292052799</v>
      </c>
      <c r="AN17" s="204">
        <f t="shared" si="7"/>
        <v>39324.286292052799</v>
      </c>
      <c r="AO17" s="204">
        <f t="shared" si="7"/>
        <v>39324.286292052799</v>
      </c>
      <c r="AP17" s="204">
        <f t="shared" si="7"/>
        <v>39324.286292052799</v>
      </c>
      <c r="AQ17" s="204">
        <f t="shared" si="7"/>
        <v>39324.286292052799</v>
      </c>
      <c r="AR17" s="204">
        <f t="shared" si="7"/>
        <v>39324.286292052799</v>
      </c>
      <c r="AS17" s="204">
        <f t="shared" si="7"/>
        <v>39324.286292052799</v>
      </c>
      <c r="AT17" s="204">
        <f t="shared" si="7"/>
        <v>39324.286292052799</v>
      </c>
      <c r="AU17" s="204">
        <f t="shared" si="7"/>
        <v>39324.286292052799</v>
      </c>
      <c r="AV17" s="204">
        <f t="shared" si="7"/>
        <v>39324.286292052799</v>
      </c>
      <c r="AW17" s="204">
        <f t="shared" si="7"/>
        <v>39324.286292052799</v>
      </c>
      <c r="AX17" s="204">
        <f t="shared" si="8"/>
        <v>39324.286292052799</v>
      </c>
      <c r="AY17" s="204">
        <f t="shared" si="8"/>
        <v>39324.286292052799</v>
      </c>
      <c r="AZ17" s="204">
        <f t="shared" si="8"/>
        <v>39324.286292052799</v>
      </c>
      <c r="BA17" s="204">
        <f t="shared" si="8"/>
        <v>39324.286292052799</v>
      </c>
      <c r="BB17" s="204">
        <f t="shared" si="8"/>
        <v>39324.286292052799</v>
      </c>
      <c r="BC17" s="204">
        <f t="shared" si="8"/>
        <v>39324.286292052799</v>
      </c>
      <c r="BD17" s="204">
        <f t="shared" si="8"/>
        <v>39324.286292052799</v>
      </c>
      <c r="BE17" s="204">
        <f t="shared" si="8"/>
        <v>39324.286292052799</v>
      </c>
      <c r="BF17" s="204">
        <f t="shared" si="8"/>
        <v>39324.286292052799</v>
      </c>
      <c r="BG17" s="204">
        <f t="shared" si="8"/>
        <v>39324.286292052799</v>
      </c>
      <c r="BH17" s="204">
        <f t="shared" si="8"/>
        <v>39324.286292052799</v>
      </c>
      <c r="BI17" s="204">
        <f t="shared" si="8"/>
        <v>39324.286292052799</v>
      </c>
      <c r="BJ17" s="204">
        <f t="shared" si="8"/>
        <v>39324.286292052799</v>
      </c>
      <c r="BK17" s="204">
        <f t="shared" si="8"/>
        <v>39324.286292052799</v>
      </c>
      <c r="BL17" s="204">
        <f t="shared" si="8"/>
        <v>39324.286292052799</v>
      </c>
      <c r="BM17" s="204">
        <f t="shared" si="8"/>
        <v>39324.286292052799</v>
      </c>
      <c r="BN17" s="204">
        <f t="shared" si="8"/>
        <v>39324.286292052799</v>
      </c>
      <c r="BO17" s="204">
        <f t="shared" si="8"/>
        <v>39324.286292052799</v>
      </c>
      <c r="BP17" s="204">
        <f t="shared" si="8"/>
        <v>39324.286292052799</v>
      </c>
      <c r="BQ17" s="204">
        <f t="shared" si="8"/>
        <v>39324.286292052799</v>
      </c>
      <c r="BR17" s="204">
        <f t="shared" si="8"/>
        <v>39324.286292052799</v>
      </c>
      <c r="BS17" s="204">
        <f t="shared" si="8"/>
        <v>39324.286292052799</v>
      </c>
      <c r="BT17" s="204">
        <f t="shared" si="8"/>
        <v>39324.286292052799</v>
      </c>
      <c r="BU17" s="204">
        <f t="shared" si="8"/>
        <v>39324.286292052799</v>
      </c>
      <c r="BV17" s="204">
        <f t="shared" si="8"/>
        <v>39324.286292052799</v>
      </c>
      <c r="BW17" s="204">
        <f t="shared" si="8"/>
        <v>39324.286292052799</v>
      </c>
      <c r="BX17" s="204">
        <f t="shared" si="8"/>
        <v>39324.286292052799</v>
      </c>
      <c r="BY17" s="204">
        <f t="shared" si="8"/>
        <v>39324.286292052799</v>
      </c>
      <c r="BZ17" s="204">
        <f t="shared" si="8"/>
        <v>39324.286292052799</v>
      </c>
      <c r="CA17" s="204">
        <f t="shared" si="10"/>
        <v>39324.286292052799</v>
      </c>
      <c r="CB17" s="204">
        <f t="shared" si="10"/>
        <v>39324.286292052799</v>
      </c>
      <c r="CC17" s="204">
        <f t="shared" si="9"/>
        <v>39324.286292052799</v>
      </c>
      <c r="CD17" s="204">
        <f t="shared" si="9"/>
        <v>39324.286292052799</v>
      </c>
      <c r="CE17" s="204">
        <f t="shared" si="9"/>
        <v>39324.286292052799</v>
      </c>
      <c r="CF17" s="204">
        <f t="shared" si="9"/>
        <v>39324.286292052799</v>
      </c>
      <c r="CG17" s="204">
        <f t="shared" si="9"/>
        <v>39324.286292052799</v>
      </c>
      <c r="CH17" s="204">
        <f t="shared" si="9"/>
        <v>39324.286292052799</v>
      </c>
      <c r="CI17" s="204">
        <f t="shared" si="9"/>
        <v>39324.286292052799</v>
      </c>
      <c r="CJ17" s="204">
        <f t="shared" si="9"/>
        <v>39324.286292052799</v>
      </c>
      <c r="CK17" s="204">
        <f t="shared" si="9"/>
        <v>39324.286292052799</v>
      </c>
      <c r="CL17" s="204">
        <f t="shared" si="9"/>
        <v>39324.286292052799</v>
      </c>
      <c r="CM17" s="204">
        <f t="shared" si="9"/>
        <v>39324.286292052799</v>
      </c>
      <c r="CN17" s="204">
        <f t="shared" si="9"/>
        <v>39324.286292052799</v>
      </c>
      <c r="CO17" s="204">
        <f t="shared" si="9"/>
        <v>39324.286292052799</v>
      </c>
      <c r="CP17" s="204">
        <f t="shared" si="9"/>
        <v>39324.286292052799</v>
      </c>
      <c r="CQ17" s="204">
        <f t="shared" si="9"/>
        <v>39324.286292052799</v>
      </c>
      <c r="CR17" s="204">
        <f t="shared" si="9"/>
        <v>39324.286292052806</v>
      </c>
      <c r="CS17" s="204">
        <f t="shared" si="11"/>
        <v>39324.286292052806</v>
      </c>
      <c r="CT17" s="204">
        <f t="shared" si="11"/>
        <v>39324.286292052806</v>
      </c>
      <c r="CU17" s="204">
        <f t="shared" si="11"/>
        <v>39324.286292052806</v>
      </c>
      <c r="CV17" s="204">
        <f t="shared" si="11"/>
        <v>39324.286292052806</v>
      </c>
      <c r="CW17" s="204">
        <f t="shared" si="11"/>
        <v>39324.286292052806</v>
      </c>
      <c r="CX17" s="204">
        <f t="shared" si="11"/>
        <v>39324.286292052806</v>
      </c>
      <c r="CY17" s="204">
        <f t="shared" si="11"/>
        <v>39324.286292052806</v>
      </c>
      <c r="CZ17" s="204">
        <f t="shared" si="11"/>
        <v>39324.286292052806</v>
      </c>
      <c r="DA17" s="204">
        <f t="shared" si="11"/>
        <v>39324.286292052806</v>
      </c>
    </row>
    <row r="18" spans="1:105">
      <c r="A18" s="201" t="s">
        <v>85</v>
      </c>
      <c r="B18" s="203">
        <f>Income!B90</f>
        <v>59595.112958719466</v>
      </c>
      <c r="C18" s="203">
        <f>Income!C90</f>
        <v>59595.112958719466</v>
      </c>
      <c r="D18" s="203">
        <f>Income!D90</f>
        <v>59595.112958719466</v>
      </c>
      <c r="E18" s="203">
        <f>Income!E90</f>
        <v>59595.112958719466</v>
      </c>
      <c r="F18" s="204">
        <f t="shared" ref="F18:U18" si="12">IF(F$2&lt;=($B$2+$C$2+$D$2),IF(F$2&lt;=($B$2+$C$2),IF(F$2&lt;=$B$2,$B18,$C18),$D18),$E18)</f>
        <v>59595.112958719466</v>
      </c>
      <c r="G18" s="204">
        <f t="shared" si="12"/>
        <v>59595.112958719466</v>
      </c>
      <c r="H18" s="204">
        <f t="shared" si="12"/>
        <v>59595.112958719466</v>
      </c>
      <c r="I18" s="204">
        <f t="shared" si="12"/>
        <v>59595.112958719466</v>
      </c>
      <c r="J18" s="204">
        <f t="shared" si="12"/>
        <v>59595.112958719466</v>
      </c>
      <c r="K18" s="204">
        <f t="shared" si="12"/>
        <v>59595.112958719466</v>
      </c>
      <c r="L18" s="204">
        <f t="shared" si="12"/>
        <v>59595.112958719466</v>
      </c>
      <c r="M18" s="204">
        <f t="shared" si="12"/>
        <v>59595.112958719466</v>
      </c>
      <c r="N18" s="204">
        <f t="shared" si="12"/>
        <v>59595.112958719466</v>
      </c>
      <c r="O18" s="204">
        <f t="shared" si="12"/>
        <v>59595.112958719466</v>
      </c>
      <c r="P18" s="204">
        <f t="shared" si="12"/>
        <v>59595.112958719466</v>
      </c>
      <c r="Q18" s="204">
        <f t="shared" si="12"/>
        <v>59595.112958719466</v>
      </c>
      <c r="R18" s="204">
        <f t="shared" si="12"/>
        <v>59595.112958719466</v>
      </c>
      <c r="S18" s="204">
        <f t="shared" si="12"/>
        <v>59595.112958719466</v>
      </c>
      <c r="T18" s="204">
        <f t="shared" si="12"/>
        <v>59595.112958719466</v>
      </c>
      <c r="U18" s="204">
        <f t="shared" si="12"/>
        <v>59595.112958719466</v>
      </c>
      <c r="V18" s="204">
        <f t="shared" si="6"/>
        <v>59595.112958719466</v>
      </c>
      <c r="W18" s="204">
        <f t="shared" si="6"/>
        <v>59595.112958719466</v>
      </c>
      <c r="X18" s="204">
        <f t="shared" si="6"/>
        <v>59595.112958719466</v>
      </c>
      <c r="Y18" s="204">
        <f t="shared" si="6"/>
        <v>59595.112958719466</v>
      </c>
      <c r="Z18" s="204">
        <f t="shared" si="6"/>
        <v>59595.112958719466</v>
      </c>
      <c r="AA18" s="204">
        <f t="shared" si="6"/>
        <v>59595.112958719466</v>
      </c>
      <c r="AB18" s="204">
        <f t="shared" si="6"/>
        <v>59595.112958719466</v>
      </c>
      <c r="AC18" s="204">
        <f t="shared" si="6"/>
        <v>59595.112958719466</v>
      </c>
      <c r="AD18" s="204">
        <f t="shared" si="6"/>
        <v>59595.112958719466</v>
      </c>
      <c r="AE18" s="204">
        <f t="shared" si="6"/>
        <v>59595.112958719466</v>
      </c>
      <c r="AF18" s="204">
        <f t="shared" si="6"/>
        <v>59595.112958719466</v>
      </c>
      <c r="AG18" s="204">
        <f t="shared" si="6"/>
        <v>59595.112958719466</v>
      </c>
      <c r="AH18" s="204">
        <f t="shared" si="6"/>
        <v>59595.112958719466</v>
      </c>
      <c r="AI18" s="204">
        <f t="shared" si="6"/>
        <v>59595.112958719466</v>
      </c>
      <c r="AJ18" s="204">
        <f t="shared" si="6"/>
        <v>59595.112958719466</v>
      </c>
      <c r="AK18" s="204">
        <f t="shared" si="6"/>
        <v>59595.112958719466</v>
      </c>
      <c r="AL18" s="204">
        <f t="shared" si="7"/>
        <v>59595.112958719466</v>
      </c>
      <c r="AM18" s="204">
        <f t="shared" si="7"/>
        <v>59595.112958719466</v>
      </c>
      <c r="AN18" s="204">
        <f t="shared" si="7"/>
        <v>59595.112958719466</v>
      </c>
      <c r="AO18" s="204">
        <f t="shared" si="7"/>
        <v>59595.112958719466</v>
      </c>
      <c r="AP18" s="204">
        <f t="shared" si="7"/>
        <v>59595.112958719466</v>
      </c>
      <c r="AQ18" s="204">
        <f t="shared" si="7"/>
        <v>59595.112958719466</v>
      </c>
      <c r="AR18" s="204">
        <f t="shared" si="7"/>
        <v>59595.112958719466</v>
      </c>
      <c r="AS18" s="204">
        <f t="shared" si="7"/>
        <v>59595.112958719466</v>
      </c>
      <c r="AT18" s="204">
        <f t="shared" si="7"/>
        <v>59595.112958719466</v>
      </c>
      <c r="AU18" s="204">
        <f t="shared" si="7"/>
        <v>59595.112958719466</v>
      </c>
      <c r="AV18" s="204">
        <f t="shared" si="7"/>
        <v>59595.112958719466</v>
      </c>
      <c r="AW18" s="204">
        <f t="shared" si="7"/>
        <v>59595.112958719466</v>
      </c>
      <c r="AX18" s="204">
        <f t="shared" si="8"/>
        <v>59595.112958719466</v>
      </c>
      <c r="AY18" s="204">
        <f t="shared" si="8"/>
        <v>59595.112958719466</v>
      </c>
      <c r="AZ18" s="204">
        <f t="shared" si="8"/>
        <v>59595.112958719466</v>
      </c>
      <c r="BA18" s="204">
        <f t="shared" si="8"/>
        <v>59595.112958719466</v>
      </c>
      <c r="BB18" s="204">
        <f t="shared" si="8"/>
        <v>59595.112958719466</v>
      </c>
      <c r="BC18" s="204">
        <f t="shared" si="8"/>
        <v>59595.112958719466</v>
      </c>
      <c r="BD18" s="204">
        <f t="shared" si="8"/>
        <v>59595.112958719466</v>
      </c>
      <c r="BE18" s="204">
        <f t="shared" si="8"/>
        <v>59595.112958719466</v>
      </c>
      <c r="BF18" s="204">
        <f t="shared" si="8"/>
        <v>59595.112958719466</v>
      </c>
      <c r="BG18" s="204">
        <f t="shared" si="8"/>
        <v>59595.112958719466</v>
      </c>
      <c r="BH18" s="204">
        <f t="shared" si="8"/>
        <v>59595.112958719466</v>
      </c>
      <c r="BI18" s="204">
        <f t="shared" si="8"/>
        <v>59595.112958719466</v>
      </c>
      <c r="BJ18" s="204">
        <f t="shared" si="8"/>
        <v>59595.112958719466</v>
      </c>
      <c r="BK18" s="204">
        <f t="shared" si="8"/>
        <v>59595.112958719466</v>
      </c>
      <c r="BL18" s="204">
        <f t="shared" ref="BL18:BZ18" si="13">IF(BL$2&lt;=($B$2+$C$2+$D$2),IF(BL$2&lt;=($B$2+$C$2),IF(BL$2&lt;=$B$2,$B18,$C18),$D18),$E18)</f>
        <v>59595.112958719466</v>
      </c>
      <c r="BM18" s="204">
        <f t="shared" si="13"/>
        <v>59595.112958719466</v>
      </c>
      <c r="BN18" s="204">
        <f t="shared" si="13"/>
        <v>59595.112958719466</v>
      </c>
      <c r="BO18" s="204">
        <f t="shared" si="13"/>
        <v>59595.112958719466</v>
      </c>
      <c r="BP18" s="204">
        <f t="shared" si="13"/>
        <v>59595.112958719466</v>
      </c>
      <c r="BQ18" s="204">
        <f t="shared" si="13"/>
        <v>59595.112958719466</v>
      </c>
      <c r="BR18" s="204">
        <f t="shared" si="13"/>
        <v>59595.112958719466</v>
      </c>
      <c r="BS18" s="204">
        <f t="shared" si="13"/>
        <v>59595.112958719466</v>
      </c>
      <c r="BT18" s="204">
        <f t="shared" si="13"/>
        <v>59595.112958719466</v>
      </c>
      <c r="BU18" s="204">
        <f t="shared" si="13"/>
        <v>59595.112958719466</v>
      </c>
      <c r="BV18" s="204">
        <f t="shared" si="13"/>
        <v>59595.112958719466</v>
      </c>
      <c r="BW18" s="204">
        <f t="shared" si="13"/>
        <v>59595.112958719466</v>
      </c>
      <c r="BX18" s="204">
        <f t="shared" si="13"/>
        <v>59595.112958719466</v>
      </c>
      <c r="BY18" s="204">
        <f t="shared" si="13"/>
        <v>59595.112958719466</v>
      </c>
      <c r="BZ18" s="204">
        <f t="shared" si="13"/>
        <v>59595.112958719466</v>
      </c>
      <c r="CA18" s="204">
        <f t="shared" si="10"/>
        <v>59595.112958719466</v>
      </c>
      <c r="CB18" s="204">
        <f t="shared" si="10"/>
        <v>59595.112958719466</v>
      </c>
      <c r="CC18" s="204">
        <f t="shared" si="9"/>
        <v>59595.112958719466</v>
      </c>
      <c r="CD18" s="204">
        <f t="shared" si="9"/>
        <v>59595.112958719466</v>
      </c>
      <c r="CE18" s="204">
        <f t="shared" si="9"/>
        <v>59595.112958719466</v>
      </c>
      <c r="CF18" s="204">
        <f t="shared" si="9"/>
        <v>59595.112958719466</v>
      </c>
      <c r="CG18" s="204">
        <f t="shared" si="9"/>
        <v>59595.112958719466</v>
      </c>
      <c r="CH18" s="204">
        <f t="shared" si="9"/>
        <v>59595.112958719466</v>
      </c>
      <c r="CI18" s="204">
        <f t="shared" si="9"/>
        <v>59595.112958719466</v>
      </c>
      <c r="CJ18" s="204">
        <f t="shared" si="9"/>
        <v>59595.112958719466</v>
      </c>
      <c r="CK18" s="204">
        <f t="shared" si="9"/>
        <v>59595.112958719466</v>
      </c>
      <c r="CL18" s="204">
        <f t="shared" si="9"/>
        <v>59595.112958719466</v>
      </c>
      <c r="CM18" s="204">
        <f t="shared" si="9"/>
        <v>59595.112958719466</v>
      </c>
      <c r="CN18" s="204">
        <f t="shared" si="9"/>
        <v>59595.112958719466</v>
      </c>
      <c r="CO18" s="204">
        <f t="shared" si="9"/>
        <v>59595.112958719466</v>
      </c>
      <c r="CP18" s="204">
        <f t="shared" si="9"/>
        <v>59595.112958719466</v>
      </c>
      <c r="CQ18" s="204">
        <f t="shared" si="9"/>
        <v>59595.112958719466</v>
      </c>
      <c r="CR18" s="204">
        <f t="shared" si="9"/>
        <v>59595.112958719466</v>
      </c>
      <c r="CS18" s="204">
        <f t="shared" si="11"/>
        <v>59595.112958719466</v>
      </c>
      <c r="CT18" s="204">
        <f t="shared" si="11"/>
        <v>59595.112958719466</v>
      </c>
      <c r="CU18" s="204">
        <f t="shared" si="11"/>
        <v>59595.112958719466</v>
      </c>
      <c r="CV18" s="204">
        <f t="shared" si="11"/>
        <v>59595.112958719466</v>
      </c>
      <c r="CW18" s="204">
        <f t="shared" si="11"/>
        <v>59595.112958719466</v>
      </c>
      <c r="CX18" s="204">
        <f t="shared" si="11"/>
        <v>59595.112958719466</v>
      </c>
      <c r="CY18" s="204">
        <f t="shared" si="11"/>
        <v>59595.112958719466</v>
      </c>
      <c r="CZ18" s="204">
        <f t="shared" si="11"/>
        <v>59595.112958719466</v>
      </c>
      <c r="DA18" s="204">
        <f t="shared" si="11"/>
        <v>59595.112958719466</v>
      </c>
    </row>
    <row r="19" spans="1:105">
      <c r="A19" s="201" t="s">
        <v>116</v>
      </c>
      <c r="F19" s="201" t="str">
        <f>IF(F$22&lt;$E$24,IF(F$22&lt;$D$24,IF(F$22&lt;$C$24,IF(F$22&lt;$B$24,"",$B$16+(F$22-$B$24)*(($C$16-$B$16)/($C$24-$B$24))),$C$16+(F$22-$C$24)*(($D$16-$C$16)/($D$24-$C$24))),$D$16+(F$22-$D$24)*(($E$16-$D$16)/($E$24-$D$24))),"")</f>
        <v/>
      </c>
      <c r="G19" s="201" t="str">
        <f t="shared" ref="G19:BR19" si="14">IF(G$22&lt;$E$24,IF(G$22&lt;$D$24,IF(G$22&lt;$C$24,IF(G$22&lt;$B$24,"",$B$16+(G$22-$B$24)*(($C$16-$B$16)/($C$24-$B$24))),$C$16+(G$22-$C$24)*(($D$16-$C$16)/($D$24-$C$24))),$D$16+(G$22-$D$24)*(($E$16-$D$16)/($E$24-$D$24))),"")</f>
        <v/>
      </c>
      <c r="H19" s="201" t="str">
        <f t="shared" si="14"/>
        <v/>
      </c>
      <c r="I19" s="201" t="str">
        <f t="shared" si="14"/>
        <v/>
      </c>
      <c r="J19" s="201" t="str">
        <f t="shared" si="14"/>
        <v/>
      </c>
      <c r="K19" s="201" t="str">
        <f t="shared" si="14"/>
        <v/>
      </c>
      <c r="L19" s="201" t="str">
        <f t="shared" si="14"/>
        <v/>
      </c>
      <c r="M19" s="201" t="str">
        <f t="shared" si="14"/>
        <v/>
      </c>
      <c r="N19" s="201" t="str">
        <f t="shared" si="14"/>
        <v/>
      </c>
      <c r="O19" s="201" t="str">
        <f t="shared" si="14"/>
        <v/>
      </c>
      <c r="P19" s="201" t="str">
        <f t="shared" si="14"/>
        <v/>
      </c>
      <c r="Q19" s="201" t="str">
        <f t="shared" si="14"/>
        <v/>
      </c>
      <c r="R19" s="201" t="str">
        <f>IF(R$22&lt;$E$24,IF(R$22&lt;$D$24,IF(R$22&lt;$C$24,IF(R$22&lt;$B$24,"",$B$16+(R$22-$B$24)*(($C$16-$B$16)/($C$24-$B$24))),$C$16+(R$22-$C$24)*(($D$16-$C$16)/($D$24-$C$24))),$D$16+(R$22-$D$24)*(($E$16-$D$16)/($E$24-$D$24))),"")</f>
        <v/>
      </c>
      <c r="S19" s="201" t="str">
        <f>IF(S$22&lt;$E$24,IF(S$22&lt;$D$24,IF(S$22&lt;$C$24,IF(S$22&lt;$B$24,"",$B$16+(S$22-$B$24)*(($C$16-$B$16)/($C$24-$B$24))),$C$16+(S$22-$C$24)*(($D$16-$C$16)/($D$24-$C$24))),$D$16+(S$22-$D$24)*(($E$16-$D$16)/($E$24-$D$24))),"")</f>
        <v/>
      </c>
      <c r="T19" s="201" t="str">
        <f t="shared" si="14"/>
        <v/>
      </c>
      <c r="U19" s="201" t="str">
        <f t="shared" si="14"/>
        <v/>
      </c>
      <c r="V19" s="201" t="str">
        <f t="shared" si="14"/>
        <v/>
      </c>
      <c r="W19" s="201" t="str">
        <f t="shared" si="14"/>
        <v/>
      </c>
      <c r="X19" s="201" t="str">
        <f t="shared" si="14"/>
        <v/>
      </c>
      <c r="Y19" s="201" t="str">
        <f t="shared" si="14"/>
        <v/>
      </c>
      <c r="Z19" s="201" t="str">
        <f t="shared" si="14"/>
        <v/>
      </c>
      <c r="AA19" s="201" t="str">
        <f t="shared" si="14"/>
        <v/>
      </c>
      <c r="AB19" s="201" t="str">
        <f t="shared" si="14"/>
        <v/>
      </c>
      <c r="AC19" s="201" t="str">
        <f t="shared" si="14"/>
        <v/>
      </c>
      <c r="AD19" s="201">
        <f t="shared" si="14"/>
        <v>49441.118098724299</v>
      </c>
      <c r="AE19" s="201">
        <f t="shared" si="14"/>
        <v>51023.281481956757</v>
      </c>
      <c r="AF19" s="201">
        <f t="shared" si="14"/>
        <v>52605.444865189223</v>
      </c>
      <c r="AG19" s="201">
        <f t="shared" si="14"/>
        <v>54187.608248421682</v>
      </c>
      <c r="AH19" s="201">
        <f t="shared" si="14"/>
        <v>55769.771631654141</v>
      </c>
      <c r="AI19" s="201">
        <f t="shared" si="14"/>
        <v>57351.9350148866</v>
      </c>
      <c r="AJ19" s="201">
        <f t="shared" si="14"/>
        <v>58934.098398119066</v>
      </c>
      <c r="AK19" s="201">
        <f t="shared" si="14"/>
        <v>60516.261781351524</v>
      </c>
      <c r="AL19" s="201">
        <f t="shared" si="14"/>
        <v>62098.425164583983</v>
      </c>
      <c r="AM19" s="201">
        <f t="shared" si="14"/>
        <v>63680.588547816442</v>
      </c>
      <c r="AN19" s="201">
        <f t="shared" si="14"/>
        <v>65262.751931048901</v>
      </c>
      <c r="AO19" s="201">
        <f t="shared" si="14"/>
        <v>66844.915314281359</v>
      </c>
      <c r="AP19" s="201">
        <f t="shared" si="14"/>
        <v>68427.078697513818</v>
      </c>
      <c r="AQ19" s="201">
        <f t="shared" si="14"/>
        <v>70009.242080746277</v>
      </c>
      <c r="AR19" s="201">
        <f t="shared" si="14"/>
        <v>71591.405463978735</v>
      </c>
      <c r="AS19" s="201">
        <f t="shared" si="14"/>
        <v>73173.568847211209</v>
      </c>
      <c r="AT19" s="201">
        <f t="shared" si="14"/>
        <v>74755.732230443668</v>
      </c>
      <c r="AU19" s="201">
        <f t="shared" si="14"/>
        <v>76337.895613676126</v>
      </c>
      <c r="AV19" s="201">
        <f t="shared" si="14"/>
        <v>77920.058996908585</v>
      </c>
      <c r="AW19" s="201">
        <f t="shared" si="14"/>
        <v>79502.222380141044</v>
      </c>
      <c r="AX19" s="201">
        <f t="shared" si="14"/>
        <v>81084.385763373502</v>
      </c>
      <c r="AY19" s="201">
        <f t="shared" si="14"/>
        <v>82666.549146605976</v>
      </c>
      <c r="AZ19" s="201">
        <f t="shared" si="14"/>
        <v>84248.712529838434</v>
      </c>
      <c r="BA19" s="201">
        <f t="shared" si="14"/>
        <v>85830.875913070893</v>
      </c>
      <c r="BB19" s="201">
        <f t="shared" si="14"/>
        <v>87413.039296303352</v>
      </c>
      <c r="BC19" s="201">
        <f t="shared" si="14"/>
        <v>88995.202679535811</v>
      </c>
      <c r="BD19" s="201">
        <f t="shared" si="14"/>
        <v>90577.366062768269</v>
      </c>
      <c r="BE19" s="201">
        <f t="shared" si="14"/>
        <v>92159.529446000728</v>
      </c>
      <c r="BF19" s="201">
        <f t="shared" si="14"/>
        <v>93741.692829233187</v>
      </c>
      <c r="BG19" s="201">
        <f t="shared" si="14"/>
        <v>95323.856212465646</v>
      </c>
      <c r="BH19" s="201">
        <f t="shared" si="14"/>
        <v>96906.019595698104</v>
      </c>
      <c r="BI19" s="201">
        <f t="shared" si="14"/>
        <v>98488.182978930563</v>
      </c>
      <c r="BJ19" s="201">
        <f t="shared" si="14"/>
        <v>100070.34636216302</v>
      </c>
      <c r="BK19" s="201">
        <f t="shared" si="14"/>
        <v>101652.50974539548</v>
      </c>
      <c r="BL19" s="201">
        <f t="shared" si="14"/>
        <v>103234.67312862795</v>
      </c>
      <c r="BM19" s="201">
        <f t="shared" si="14"/>
        <v>104816.83651186041</v>
      </c>
      <c r="BN19" s="201">
        <f t="shared" si="14"/>
        <v>106715.00367215335</v>
      </c>
      <c r="BO19" s="201">
        <f t="shared" si="14"/>
        <v>108929.17460950679</v>
      </c>
      <c r="BP19" s="201">
        <f t="shared" si="14"/>
        <v>111143.34554686023</v>
      </c>
      <c r="BQ19" s="201">
        <f t="shared" si="14"/>
        <v>113357.51648421367</v>
      </c>
      <c r="BR19" s="201">
        <f t="shared" si="14"/>
        <v>115571.68742156711</v>
      </c>
      <c r="BS19" s="201">
        <f t="shared" ref="BS19:DA19" si="15">IF(BS$22&lt;$E$24,IF(BS$22&lt;$D$24,IF(BS$22&lt;$C$24,IF(BS$22&lt;$B$24,"",$B$16+(BS$22-$B$24)*(($C$16-$B$16)/($C$24-$B$24))),$C$16+(BS$22-$C$24)*(($D$16-$C$16)/($D$24-$C$24))),$D$16+(BS$22-$D$24)*(($E$16-$D$16)/($E$24-$D$24))),"")</f>
        <v>117785.85835892055</v>
      </c>
      <c r="BT19" s="201">
        <f t="shared" si="15"/>
        <v>120000.02929627399</v>
      </c>
      <c r="BU19" s="201">
        <f t="shared" si="15"/>
        <v>122214.20023362743</v>
      </c>
      <c r="BV19" s="201">
        <f t="shared" si="15"/>
        <v>124428.37117098087</v>
      </c>
      <c r="BW19" s="201">
        <f t="shared" si="15"/>
        <v>126642.54210833431</v>
      </c>
      <c r="BX19" s="201">
        <f t="shared" si="15"/>
        <v>128856.71304568775</v>
      </c>
      <c r="BY19" s="201">
        <f t="shared" si="15"/>
        <v>131070.88398304119</v>
      </c>
      <c r="BZ19" s="201">
        <f t="shared" si="15"/>
        <v>133285.05492039461</v>
      </c>
      <c r="CA19" s="201">
        <f t="shared" si="15"/>
        <v>135499.22585774807</v>
      </c>
      <c r="CB19" s="201">
        <f t="shared" si="15"/>
        <v>137713.39679510152</v>
      </c>
      <c r="CC19" s="201">
        <f t="shared" si="15"/>
        <v>139927.56773245495</v>
      </c>
      <c r="CD19" s="201">
        <f t="shared" si="15"/>
        <v>142141.73866980837</v>
      </c>
      <c r="CE19" s="201">
        <f t="shared" si="15"/>
        <v>144355.90960716183</v>
      </c>
      <c r="CF19" s="201">
        <f t="shared" si="15"/>
        <v>146570.08054451528</v>
      </c>
      <c r="CG19" s="201">
        <f t="shared" si="15"/>
        <v>148784.25148186871</v>
      </c>
      <c r="CH19" s="201">
        <f t="shared" si="15"/>
        <v>150998.42241922213</v>
      </c>
      <c r="CI19" s="201">
        <f t="shared" si="15"/>
        <v>153212.59335657558</v>
      </c>
      <c r="CJ19" s="201">
        <f t="shared" si="15"/>
        <v>170108.7721151142</v>
      </c>
      <c r="CK19" s="201">
        <f t="shared" si="15"/>
        <v>187004.95087365282</v>
      </c>
      <c r="CL19" s="201">
        <f t="shared" si="15"/>
        <v>203901.12963219144</v>
      </c>
      <c r="CM19" s="201">
        <f t="shared" si="15"/>
        <v>220797.30839073006</v>
      </c>
      <c r="CN19" s="201">
        <f t="shared" si="15"/>
        <v>237693.48714926868</v>
      </c>
      <c r="CO19" s="201">
        <f t="shared" si="15"/>
        <v>254589.66590780727</v>
      </c>
      <c r="CP19" s="201">
        <f t="shared" si="15"/>
        <v>271485.84466634586</v>
      </c>
      <c r="CQ19" s="201">
        <f t="shared" si="15"/>
        <v>288382.02342488454</v>
      </c>
      <c r="CR19" s="201">
        <f t="shared" si="15"/>
        <v>305278.2021834231</v>
      </c>
      <c r="CS19" s="201">
        <f t="shared" si="15"/>
        <v>322174.38094196178</v>
      </c>
      <c r="CT19" s="201">
        <f t="shared" si="15"/>
        <v>339070.55970050034</v>
      </c>
      <c r="CU19" s="201">
        <f t="shared" si="15"/>
        <v>355966.73845903896</v>
      </c>
      <c r="CV19" s="201">
        <f t="shared" si="15"/>
        <v>372862.91721757757</v>
      </c>
      <c r="CW19" s="201" t="str">
        <f t="shared" si="15"/>
        <v/>
      </c>
      <c r="CX19" s="201" t="str">
        <f t="shared" si="15"/>
        <v/>
      </c>
      <c r="CY19" s="201" t="str">
        <f t="shared" si="15"/>
        <v/>
      </c>
      <c r="CZ19" s="201" t="str">
        <f t="shared" si="15"/>
        <v/>
      </c>
      <c r="DA19" s="201" t="str">
        <f t="shared" si="15"/>
        <v/>
      </c>
    </row>
    <row r="21" spans="1:105">
      <c r="B21" s="201" t="s">
        <v>97</v>
      </c>
      <c r="C21" s="201" t="s">
        <v>96</v>
      </c>
      <c r="D21" s="201" t="s">
        <v>98</v>
      </c>
      <c r="E21" s="201" t="s">
        <v>99</v>
      </c>
    </row>
    <row r="22" spans="1:105">
      <c r="B22" s="205">
        <f>B2*100</f>
        <v>47</v>
      </c>
      <c r="C22" s="205">
        <f>C2*100</f>
        <v>25</v>
      </c>
      <c r="D22" s="205">
        <f>D2*100</f>
        <v>18</v>
      </c>
      <c r="E22" s="205">
        <f>E2*100</f>
        <v>10</v>
      </c>
      <c r="F22" s="205">
        <v>0</v>
      </c>
      <c r="G22" s="205">
        <v>1</v>
      </c>
      <c r="H22" s="205">
        <v>2</v>
      </c>
      <c r="I22" s="205">
        <v>3</v>
      </c>
      <c r="J22" s="205">
        <v>4</v>
      </c>
      <c r="K22" s="205">
        <v>5</v>
      </c>
      <c r="L22" s="205">
        <v>6</v>
      </c>
      <c r="M22" s="205">
        <v>7</v>
      </c>
      <c r="N22" s="205">
        <v>8</v>
      </c>
      <c r="O22" s="205">
        <v>9</v>
      </c>
      <c r="P22" s="205">
        <v>10</v>
      </c>
      <c r="Q22" s="205">
        <v>11</v>
      </c>
      <c r="R22" s="205">
        <v>12</v>
      </c>
      <c r="S22" s="205">
        <v>13</v>
      </c>
      <c r="T22" s="205">
        <v>14</v>
      </c>
      <c r="U22" s="205">
        <v>15</v>
      </c>
      <c r="V22" s="205">
        <v>16</v>
      </c>
      <c r="W22" s="205">
        <v>17</v>
      </c>
      <c r="X22" s="205">
        <v>18</v>
      </c>
      <c r="Y22" s="205">
        <v>19</v>
      </c>
      <c r="Z22" s="205">
        <v>20</v>
      </c>
      <c r="AA22" s="205">
        <v>21</v>
      </c>
      <c r="AB22" s="205">
        <v>22</v>
      </c>
      <c r="AC22" s="205">
        <v>23</v>
      </c>
      <c r="AD22" s="205">
        <v>24</v>
      </c>
      <c r="AE22" s="205">
        <v>25</v>
      </c>
      <c r="AF22" s="205">
        <v>26</v>
      </c>
      <c r="AG22" s="205">
        <v>27</v>
      </c>
      <c r="AH22" s="205">
        <v>28</v>
      </c>
      <c r="AI22" s="205">
        <v>29</v>
      </c>
      <c r="AJ22" s="205">
        <v>30</v>
      </c>
      <c r="AK22" s="205">
        <v>31</v>
      </c>
      <c r="AL22" s="205">
        <v>32</v>
      </c>
      <c r="AM22" s="205">
        <v>33</v>
      </c>
      <c r="AN22" s="205">
        <v>34</v>
      </c>
      <c r="AO22" s="205">
        <v>35</v>
      </c>
      <c r="AP22" s="205">
        <v>36</v>
      </c>
      <c r="AQ22" s="205">
        <v>37</v>
      </c>
      <c r="AR22" s="205">
        <v>38</v>
      </c>
      <c r="AS22" s="205">
        <v>39</v>
      </c>
      <c r="AT22" s="205">
        <v>40</v>
      </c>
      <c r="AU22" s="205">
        <v>41</v>
      </c>
      <c r="AV22" s="205">
        <v>42</v>
      </c>
      <c r="AW22" s="205">
        <v>43</v>
      </c>
      <c r="AX22" s="205">
        <v>44</v>
      </c>
      <c r="AY22" s="205">
        <v>45</v>
      </c>
      <c r="AZ22" s="205">
        <v>46</v>
      </c>
      <c r="BA22" s="205">
        <v>47</v>
      </c>
      <c r="BB22" s="205">
        <v>48</v>
      </c>
      <c r="BC22" s="205">
        <v>49</v>
      </c>
      <c r="BD22" s="205">
        <v>50</v>
      </c>
      <c r="BE22" s="205">
        <v>51</v>
      </c>
      <c r="BF22" s="205">
        <v>52</v>
      </c>
      <c r="BG22" s="205">
        <v>53</v>
      </c>
      <c r="BH22" s="205">
        <v>54</v>
      </c>
      <c r="BI22" s="205">
        <v>55</v>
      </c>
      <c r="BJ22" s="205">
        <v>56</v>
      </c>
      <c r="BK22" s="205">
        <v>57</v>
      </c>
      <c r="BL22" s="205">
        <v>58</v>
      </c>
      <c r="BM22" s="205">
        <v>59</v>
      </c>
      <c r="BN22" s="205">
        <v>60</v>
      </c>
      <c r="BO22" s="205">
        <v>61</v>
      </c>
      <c r="BP22" s="205">
        <v>62</v>
      </c>
      <c r="BQ22" s="205">
        <v>63</v>
      </c>
      <c r="BR22" s="205">
        <v>64</v>
      </c>
      <c r="BS22" s="205">
        <v>65</v>
      </c>
      <c r="BT22" s="205">
        <v>66</v>
      </c>
      <c r="BU22" s="205">
        <v>67</v>
      </c>
      <c r="BV22" s="205">
        <v>68</v>
      </c>
      <c r="BW22" s="205">
        <v>69</v>
      </c>
      <c r="BX22" s="205">
        <v>70</v>
      </c>
      <c r="BY22" s="205">
        <v>71</v>
      </c>
      <c r="BZ22" s="205">
        <v>72</v>
      </c>
      <c r="CA22" s="205">
        <v>73</v>
      </c>
      <c r="CB22" s="205">
        <v>74</v>
      </c>
      <c r="CC22" s="205">
        <v>75</v>
      </c>
      <c r="CD22" s="205">
        <v>76</v>
      </c>
      <c r="CE22" s="205">
        <v>77</v>
      </c>
      <c r="CF22" s="205">
        <v>78</v>
      </c>
      <c r="CG22" s="205">
        <v>79</v>
      </c>
      <c r="CH22" s="205">
        <v>80</v>
      </c>
      <c r="CI22" s="205">
        <v>81</v>
      </c>
      <c r="CJ22" s="205">
        <v>82</v>
      </c>
      <c r="CK22" s="205">
        <v>83</v>
      </c>
      <c r="CL22" s="205">
        <v>84</v>
      </c>
      <c r="CM22" s="205">
        <v>85</v>
      </c>
      <c r="CN22" s="205">
        <v>86</v>
      </c>
      <c r="CO22" s="205">
        <v>87</v>
      </c>
      <c r="CP22" s="205">
        <v>88</v>
      </c>
      <c r="CQ22" s="205">
        <v>89</v>
      </c>
      <c r="CR22" s="205">
        <v>90</v>
      </c>
      <c r="CS22" s="205">
        <v>91</v>
      </c>
      <c r="CT22" s="205">
        <v>92</v>
      </c>
      <c r="CU22" s="205">
        <v>93</v>
      </c>
      <c r="CV22" s="205">
        <v>94</v>
      </c>
      <c r="CW22" s="205">
        <v>95</v>
      </c>
      <c r="CX22" s="205">
        <v>96</v>
      </c>
      <c r="CY22" s="205">
        <v>97</v>
      </c>
      <c r="CZ22" s="205">
        <v>98</v>
      </c>
      <c r="DA22" s="205">
        <v>99</v>
      </c>
    </row>
    <row r="23" spans="1:105">
      <c r="B23" s="206">
        <f>SUM($B22:B22)</f>
        <v>47</v>
      </c>
      <c r="C23" s="206">
        <f>SUM($B22:C22)</f>
        <v>72</v>
      </c>
      <c r="D23" s="206">
        <f>SUM($B22:D22)</f>
        <v>90</v>
      </c>
      <c r="E23" s="206">
        <f>SUM($B22:E22)</f>
        <v>100</v>
      </c>
      <c r="F23" s="207"/>
      <c r="G23" s="207"/>
      <c r="H23" s="207"/>
      <c r="I23" s="207"/>
      <c r="J23" s="207"/>
      <c r="K23" s="207"/>
      <c r="L23" s="207"/>
      <c r="M23" s="207"/>
      <c r="N23" s="207"/>
      <c r="O23" s="207"/>
      <c r="P23" s="207"/>
      <c r="Q23" s="207"/>
      <c r="R23" s="207"/>
      <c r="S23" s="207"/>
      <c r="T23" s="207"/>
      <c r="U23" s="207"/>
      <c r="V23" s="207"/>
      <c r="W23" s="207"/>
      <c r="X23" s="207"/>
      <c r="Y23" s="207"/>
      <c r="Z23" s="207"/>
      <c r="AA23" s="207"/>
      <c r="AB23" s="207"/>
      <c r="AC23" s="207"/>
      <c r="AD23" s="207"/>
      <c r="AE23" s="207"/>
      <c r="AF23" s="207"/>
      <c r="AG23" s="207"/>
      <c r="AH23" s="207"/>
      <c r="AI23" s="207"/>
      <c r="AJ23" s="207"/>
      <c r="AK23" s="207"/>
      <c r="AL23" s="207"/>
      <c r="AM23" s="207"/>
      <c r="AN23" s="207"/>
      <c r="AO23" s="207"/>
      <c r="AP23" s="207"/>
      <c r="AQ23" s="207"/>
      <c r="AR23" s="207"/>
      <c r="AS23" s="207"/>
      <c r="AT23" s="207"/>
      <c r="AU23" s="207"/>
      <c r="AV23" s="207"/>
      <c r="AW23" s="207"/>
      <c r="AX23" s="207"/>
      <c r="AY23" s="207"/>
      <c r="AZ23" s="207"/>
      <c r="BA23" s="207"/>
      <c r="BB23" s="207"/>
      <c r="BC23" s="207"/>
      <c r="BD23" s="207"/>
      <c r="BE23" s="207"/>
      <c r="BF23" s="207"/>
      <c r="BG23" s="207"/>
      <c r="BH23" s="207"/>
      <c r="BI23" s="207"/>
      <c r="BJ23" s="207"/>
      <c r="BK23" s="207"/>
      <c r="BL23" s="207"/>
      <c r="BM23" s="207"/>
      <c r="BN23" s="207"/>
      <c r="BO23" s="207"/>
      <c r="BP23" s="207"/>
      <c r="BQ23" s="207"/>
      <c r="BR23" s="207"/>
      <c r="BS23" s="207"/>
      <c r="BT23" s="207"/>
      <c r="BU23" s="207"/>
      <c r="BV23" s="207"/>
      <c r="BW23" s="207"/>
      <c r="BX23" s="207"/>
      <c r="BY23" s="207"/>
      <c r="BZ23" s="207"/>
      <c r="CA23" s="207"/>
      <c r="CB23" s="207"/>
      <c r="CC23" s="207"/>
      <c r="CD23" s="207"/>
      <c r="CE23" s="207"/>
      <c r="CF23" s="207"/>
      <c r="CG23" s="207"/>
      <c r="CH23" s="207"/>
      <c r="CI23" s="207"/>
      <c r="CJ23" s="207"/>
      <c r="CK23" s="207"/>
      <c r="CL23" s="207"/>
      <c r="CM23" s="207"/>
      <c r="CN23" s="207"/>
      <c r="CO23" s="207"/>
      <c r="CP23" s="207"/>
      <c r="CQ23" s="207"/>
      <c r="CR23" s="207"/>
      <c r="CS23" s="207"/>
      <c r="CT23" s="207"/>
      <c r="CU23" s="207"/>
      <c r="CV23" s="207"/>
      <c r="CW23" s="207"/>
      <c r="CX23" s="207"/>
      <c r="CY23" s="207"/>
      <c r="CZ23" s="207"/>
      <c r="DA23" s="207"/>
    </row>
    <row r="24" spans="1:105">
      <c r="B24" s="208">
        <f>A23+(B23-A23)/2</f>
        <v>23.5</v>
      </c>
      <c r="C24" s="208">
        <f>B23+(C23-B23)/2</f>
        <v>59.5</v>
      </c>
      <c r="D24" s="208">
        <f>C23+(D23-C23)/2</f>
        <v>81</v>
      </c>
      <c r="E24" s="208">
        <f>D23+(E23-D23)/2</f>
        <v>95</v>
      </c>
      <c r="F24" s="209"/>
      <c r="G24" s="209"/>
      <c r="H24" s="209"/>
      <c r="I24" s="209"/>
      <c r="J24" s="209"/>
      <c r="K24" s="209"/>
      <c r="L24" s="209"/>
      <c r="M24" s="209"/>
      <c r="N24" s="209"/>
      <c r="O24" s="209"/>
      <c r="P24" s="209"/>
      <c r="Q24" s="209"/>
      <c r="R24" s="209"/>
      <c r="S24" s="209"/>
      <c r="T24" s="209"/>
      <c r="U24" s="209"/>
      <c r="V24" s="209"/>
      <c r="W24" s="209"/>
      <c r="X24" s="209"/>
      <c r="Y24" s="209"/>
      <c r="Z24" s="209"/>
      <c r="AA24" s="209"/>
      <c r="AB24" s="209"/>
      <c r="AC24" s="209"/>
      <c r="AD24" s="209"/>
      <c r="AE24" s="209"/>
      <c r="AF24" s="209"/>
      <c r="AG24" s="209"/>
      <c r="AH24" s="209"/>
      <c r="AI24" s="209"/>
      <c r="AJ24" s="209"/>
      <c r="AK24" s="209"/>
      <c r="AL24" s="209"/>
      <c r="AM24" s="209"/>
      <c r="AN24" s="209"/>
      <c r="AO24" s="209"/>
      <c r="AP24" s="209"/>
      <c r="AQ24" s="209"/>
      <c r="AR24" s="209"/>
      <c r="AS24" s="209"/>
      <c r="AT24" s="209"/>
      <c r="AU24" s="209"/>
      <c r="AV24" s="209"/>
      <c r="AW24" s="209"/>
      <c r="AX24" s="209"/>
      <c r="AY24" s="209"/>
      <c r="AZ24" s="209"/>
      <c r="BA24" s="209"/>
      <c r="BB24" s="209"/>
      <c r="BC24" s="209"/>
      <c r="BD24" s="209"/>
      <c r="BE24" s="209"/>
      <c r="BF24" s="209"/>
      <c r="BG24" s="209"/>
      <c r="BH24" s="209"/>
      <c r="BI24" s="209"/>
      <c r="BJ24" s="209"/>
      <c r="BK24" s="209"/>
      <c r="BL24" s="209"/>
      <c r="BM24" s="209"/>
      <c r="BN24" s="209"/>
      <c r="BO24" s="209"/>
      <c r="BP24" s="209"/>
      <c r="BQ24" s="209"/>
      <c r="BR24" s="209"/>
      <c r="BS24" s="209"/>
      <c r="BT24" s="209"/>
      <c r="BU24" s="209"/>
      <c r="BV24" s="209"/>
      <c r="BW24" s="209"/>
      <c r="BX24" s="209"/>
      <c r="BY24" s="209"/>
      <c r="BZ24" s="209"/>
      <c r="CA24" s="209"/>
      <c r="CB24" s="209"/>
      <c r="CC24" s="209"/>
      <c r="CD24" s="209"/>
      <c r="CE24" s="209"/>
      <c r="CF24" s="209"/>
      <c r="CG24" s="209"/>
      <c r="CH24" s="209"/>
      <c r="CI24" s="209"/>
      <c r="CJ24" s="209"/>
      <c r="CK24" s="209"/>
      <c r="CL24" s="209"/>
      <c r="CM24" s="209"/>
      <c r="CN24" s="209"/>
      <c r="CO24" s="209"/>
      <c r="CP24" s="209"/>
      <c r="CQ24" s="209"/>
      <c r="CR24" s="209"/>
      <c r="CS24" s="209"/>
      <c r="CT24" s="209"/>
      <c r="CU24" s="209"/>
      <c r="CV24" s="209"/>
      <c r="CW24" s="209"/>
      <c r="CX24" s="209"/>
      <c r="CY24" s="209"/>
      <c r="CZ24" s="209"/>
      <c r="DA24" s="209"/>
    </row>
    <row r="25" spans="1:105">
      <c r="A25" s="201" t="str">
        <f>Income!A72</f>
        <v>Own crops Consumed</v>
      </c>
      <c r="B25" s="203">
        <f>Income!B72</f>
        <v>2273.0022575656412</v>
      </c>
      <c r="C25" s="203">
        <f>Income!C72</f>
        <v>4695.3507878055107</v>
      </c>
      <c r="D25" s="203">
        <f>Income!D72</f>
        <v>5493.7993359155798</v>
      </c>
      <c r="E25" s="203">
        <f>Income!E72</f>
        <v>3588.691220685665</v>
      </c>
      <c r="F25" s="210">
        <f>IF(F$22&lt;=$E$24,IF(F$22&lt;=$D$24,IF(F$22&lt;=$C$24,IF(F$22&lt;=$B$24,$B25,$B25+(F$22-$B$24)*($C25-$B25)/($C$24-$B$24)),$C25+(F$22-$C$24)*($D25-$C25)/($D$24-$C$24)),$D25+(F$22-$D$24)*($E25-$D25)/($E$24-$D$24)),$E25)</f>
        <v>2273.0022575656412</v>
      </c>
      <c r="G25" s="210">
        <f t="shared" ref="F25:U37" si="16">IF(G$22&lt;=$E$24,IF(G$22&lt;=$D$24,IF(G$22&lt;=$C$24,IF(G$22&lt;=$B$24,$B25,$B25+(G$22-$B$24)*($C25-$B25)/($C$24-$B$24)),$C25+(G$22-$C$24)*($D25-$C25)/($D$24-$C$24)),$D25+(G$22-$D$24)*($E25-$D25)/($E$24-$D$24)),$E25)</f>
        <v>2273.0022575656412</v>
      </c>
      <c r="H25" s="210">
        <f t="shared" si="16"/>
        <v>2273.0022575656412</v>
      </c>
      <c r="I25" s="210">
        <f t="shared" si="16"/>
        <v>2273.0022575656412</v>
      </c>
      <c r="J25" s="210">
        <f t="shared" si="16"/>
        <v>2273.0022575656412</v>
      </c>
      <c r="K25" s="210">
        <f t="shared" si="16"/>
        <v>2273.0022575656412</v>
      </c>
      <c r="L25" s="210">
        <f t="shared" si="16"/>
        <v>2273.0022575656412</v>
      </c>
      <c r="M25" s="210">
        <f t="shared" si="16"/>
        <v>2273.0022575656412</v>
      </c>
      <c r="N25" s="210">
        <f t="shared" si="16"/>
        <v>2273.0022575656412</v>
      </c>
      <c r="O25" s="210">
        <f t="shared" si="16"/>
        <v>2273.0022575656412</v>
      </c>
      <c r="P25" s="210">
        <f t="shared" ref="P25:AE37" si="17">IF(P$22&lt;=$E$24,IF(P$22&lt;=$D$24,IF(P$22&lt;=$C$24,IF(P$22&lt;=$B$24,$B25,$B25+(P$22-$B$24)*($C25-$B25)/($C$24-$B$24)),$C25+(P$22-$C$24)*($D25-$C25)/($D$24-$C$24)),$D25+(P$22-$D$24)*($E25-$D25)/($E$24-$D$24)),$E25)</f>
        <v>2273.0022575656412</v>
      </c>
      <c r="Q25" s="210">
        <f t="shared" si="17"/>
        <v>2273.0022575656412</v>
      </c>
      <c r="R25" s="210">
        <f t="shared" si="17"/>
        <v>2273.0022575656412</v>
      </c>
      <c r="S25" s="210">
        <f>IF(S$22&lt;=$E$24,IF(S$22&lt;=$D$24,IF(S$22&lt;=$C$24,IF(S$22&lt;=$B$24,$B25,$B25+(S$22-$B$24)*($C25-$B25)/($C$24-$B$24)),$C25+(S$22-$C$24)*($D25-$C25)/($D$24-$C$24)),$D25+(S$22-$D$24)*($E25-$D25)/($E$24-$D$24)),$E25)</f>
        <v>2273.0022575656412</v>
      </c>
      <c r="T25" s="210">
        <f t="shared" si="17"/>
        <v>2273.0022575656412</v>
      </c>
      <c r="U25" s="210">
        <f t="shared" si="17"/>
        <v>2273.0022575656412</v>
      </c>
      <c r="V25" s="210">
        <f t="shared" si="17"/>
        <v>2273.0022575656412</v>
      </c>
      <c r="W25" s="210">
        <f t="shared" si="17"/>
        <v>2273.0022575656412</v>
      </c>
      <c r="X25" s="210">
        <f t="shared" si="17"/>
        <v>2273.0022575656412</v>
      </c>
      <c r="Y25" s="210">
        <f t="shared" si="17"/>
        <v>2273.0022575656412</v>
      </c>
      <c r="Z25" s="210">
        <f t="shared" ref="Z25:AO37" si="18">IF(Z$22&lt;=$E$24,IF(Z$22&lt;=$D$24,IF(Z$22&lt;=$C$24,IF(Z$22&lt;=$B$24,$B25,$B25+(Z$22-$B$24)*($C25-$B25)/($C$24-$B$24)),$C25+(Z$22-$C$24)*($D25-$C25)/($D$24-$C$24)),$D25+(Z$22-$D$24)*($E25-$D25)/($E$24-$D$24)),$E25)</f>
        <v>2273.0022575656412</v>
      </c>
      <c r="AA25" s="210">
        <f t="shared" si="18"/>
        <v>2273.0022575656412</v>
      </c>
      <c r="AB25" s="210">
        <f t="shared" si="18"/>
        <v>2273.0022575656412</v>
      </c>
      <c r="AC25" s="210">
        <f t="shared" si="18"/>
        <v>2273.0022575656412</v>
      </c>
      <c r="AD25" s="210">
        <f t="shared" si="18"/>
        <v>2306.6459871523061</v>
      </c>
      <c r="AE25" s="210">
        <f t="shared" si="18"/>
        <v>2373.9334463256359</v>
      </c>
      <c r="AF25" s="210">
        <f t="shared" si="18"/>
        <v>2441.2209054989653</v>
      </c>
      <c r="AG25" s="210">
        <f t="shared" si="18"/>
        <v>2508.5083646722951</v>
      </c>
      <c r="AH25" s="210">
        <f t="shared" si="18"/>
        <v>2575.7958238456249</v>
      </c>
      <c r="AI25" s="210">
        <f t="shared" si="18"/>
        <v>2643.0832830189547</v>
      </c>
      <c r="AJ25" s="210">
        <f t="shared" ref="AJ25:AY37" si="19">IF(AJ$22&lt;=$E$24,IF(AJ$22&lt;=$D$24,IF(AJ$22&lt;=$C$24,IF(AJ$22&lt;=$B$24,$B25,$B25+(AJ$22-$B$24)*($C25-$B25)/($C$24-$B$24)),$C25+(AJ$22-$C$24)*($D25-$C25)/($D$24-$C$24)),$D25+(AJ$22-$D$24)*($E25-$D25)/($E$24-$D$24)),$E25)</f>
        <v>2710.3707421922845</v>
      </c>
      <c r="AK25" s="210">
        <f t="shared" si="19"/>
        <v>2777.6582013656139</v>
      </c>
      <c r="AL25" s="210">
        <f t="shared" si="19"/>
        <v>2844.9456605389437</v>
      </c>
      <c r="AM25" s="210">
        <f t="shared" si="19"/>
        <v>2912.2331197122735</v>
      </c>
      <c r="AN25" s="210">
        <f t="shared" si="19"/>
        <v>2979.5205788856033</v>
      </c>
      <c r="AO25" s="210">
        <f t="shared" si="19"/>
        <v>3046.8080380589327</v>
      </c>
      <c r="AP25" s="210">
        <f t="shared" si="19"/>
        <v>3114.0954972322625</v>
      </c>
      <c r="AQ25" s="210">
        <f t="shared" si="19"/>
        <v>3181.3829564055923</v>
      </c>
      <c r="AR25" s="210">
        <f t="shared" si="19"/>
        <v>3248.6704155789221</v>
      </c>
      <c r="AS25" s="210">
        <f t="shared" si="19"/>
        <v>3315.9578747522519</v>
      </c>
      <c r="AT25" s="210">
        <f t="shared" ref="AT25:BI37" si="20">IF(AT$22&lt;=$E$24,IF(AT$22&lt;=$D$24,IF(AT$22&lt;=$C$24,IF(AT$22&lt;=$B$24,$B25,$B25+(AT$22-$B$24)*($C25-$B25)/($C$24-$B$24)),$C25+(AT$22-$C$24)*($D25-$C25)/($D$24-$C$24)),$D25+(AT$22-$D$24)*($E25-$D25)/($E$24-$D$24)),$E25)</f>
        <v>3383.2453339255812</v>
      </c>
      <c r="AU25" s="210">
        <f t="shared" si="20"/>
        <v>3450.5327930989115</v>
      </c>
      <c r="AV25" s="210">
        <f t="shared" si="20"/>
        <v>3517.8202522722404</v>
      </c>
      <c r="AW25" s="210">
        <f t="shared" si="20"/>
        <v>3585.1077114455707</v>
      </c>
      <c r="AX25" s="210">
        <f t="shared" si="20"/>
        <v>3652.3951706189</v>
      </c>
      <c r="AY25" s="210">
        <f t="shared" si="20"/>
        <v>3719.6826297922298</v>
      </c>
      <c r="AZ25" s="210">
        <f t="shared" si="20"/>
        <v>3786.9700889655596</v>
      </c>
      <c r="BA25" s="210">
        <f t="shared" si="20"/>
        <v>3854.2575481388894</v>
      </c>
      <c r="BB25" s="210">
        <f t="shared" si="20"/>
        <v>3921.5450073122192</v>
      </c>
      <c r="BC25" s="210">
        <f t="shared" si="20"/>
        <v>3988.832466485549</v>
      </c>
      <c r="BD25" s="210">
        <f t="shared" ref="BD25:BS37" si="21">IF(BD$22&lt;=$E$24,IF(BD$22&lt;=$D$24,IF(BD$22&lt;=$C$24,IF(BD$22&lt;=$B$24,$B25,$B25+(BD$22-$B$24)*($C25-$B25)/($C$24-$B$24)),$C25+(BD$22-$C$24)*($D25-$C25)/($D$24-$C$24)),$D25+(BD$22-$D$24)*($E25-$D25)/($E$24-$D$24)),$E25)</f>
        <v>4056.1199256588784</v>
      </c>
      <c r="BE25" s="210">
        <f t="shared" si="21"/>
        <v>4123.4073848322078</v>
      </c>
      <c r="BF25" s="210">
        <f t="shared" si="21"/>
        <v>4190.6948440055376</v>
      </c>
      <c r="BG25" s="210">
        <f t="shared" si="21"/>
        <v>4257.9823031788674</v>
      </c>
      <c r="BH25" s="210">
        <f t="shared" si="21"/>
        <v>4325.2697623521972</v>
      </c>
      <c r="BI25" s="210">
        <f t="shared" si="21"/>
        <v>4392.557221525527</v>
      </c>
      <c r="BJ25" s="210">
        <f t="shared" si="21"/>
        <v>4459.8446806988568</v>
      </c>
      <c r="BK25" s="210">
        <f t="shared" si="21"/>
        <v>4527.1321398721866</v>
      </c>
      <c r="BL25" s="210">
        <f t="shared" si="21"/>
        <v>4594.4195990455155</v>
      </c>
      <c r="BM25" s="210">
        <f t="shared" si="21"/>
        <v>4661.7070582188462</v>
      </c>
      <c r="BN25" s="210">
        <f t="shared" ref="BN25:CC37" si="22">IF(BN$22&lt;=$E$24,IF(BN$22&lt;=$D$24,IF(BN$22&lt;=$C$24,IF(BN$22&lt;=$B$24,$B25,$B25+(BN$22-$B$24)*($C25-$B25)/($C$24-$B$24)),$C25+(BN$22-$C$24)*($D25-$C25)/($D$24-$C$24)),$D25+(BN$22-$D$24)*($E25-$D25)/($E$24-$D$24)),$E25)</f>
        <v>4713.9193586917918</v>
      </c>
      <c r="BO25" s="210">
        <f t="shared" si="22"/>
        <v>4751.0565004643531</v>
      </c>
      <c r="BP25" s="210">
        <f t="shared" si="22"/>
        <v>4788.1936422369145</v>
      </c>
      <c r="BQ25" s="210">
        <f t="shared" si="22"/>
        <v>4825.3307840094758</v>
      </c>
      <c r="BR25" s="210">
        <f t="shared" si="22"/>
        <v>4862.4679257820371</v>
      </c>
      <c r="BS25" s="210">
        <f t="shared" si="22"/>
        <v>4899.6050675545985</v>
      </c>
      <c r="BT25" s="210">
        <f t="shared" si="22"/>
        <v>4936.7422093271598</v>
      </c>
      <c r="BU25" s="210">
        <f t="shared" si="22"/>
        <v>4973.8793510997211</v>
      </c>
      <c r="BV25" s="210">
        <f t="shared" si="22"/>
        <v>5011.0164928722825</v>
      </c>
      <c r="BW25" s="210">
        <f t="shared" si="22"/>
        <v>5048.1536346448438</v>
      </c>
      <c r="BX25" s="210">
        <f t="shared" ref="BX25:CM37" si="23">IF(BX$22&lt;=$E$24,IF(BX$22&lt;=$D$24,IF(BX$22&lt;=$C$24,IF(BX$22&lt;=$B$24,$B25,$B25+(BX$22-$B$24)*($C25-$B25)/($C$24-$B$24)),$C25+(BX$22-$C$24)*($D25-$C25)/($D$24-$C$24)),$D25+(BX$22-$D$24)*($E25-$D25)/($E$24-$D$24)),$E25)</f>
        <v>5085.2907764174051</v>
      </c>
      <c r="BY25" s="210">
        <f t="shared" si="23"/>
        <v>5122.4279181899665</v>
      </c>
      <c r="BZ25" s="210">
        <f t="shared" si="23"/>
        <v>5159.5650599625278</v>
      </c>
      <c r="CA25" s="210">
        <f t="shared" si="23"/>
        <v>5196.7022017350891</v>
      </c>
      <c r="CB25" s="210">
        <f t="shared" si="23"/>
        <v>5233.8393435076505</v>
      </c>
      <c r="CC25" s="210">
        <f t="shared" si="23"/>
        <v>5270.9764852802118</v>
      </c>
      <c r="CD25" s="210">
        <f t="shared" si="23"/>
        <v>5308.1136270527732</v>
      </c>
      <c r="CE25" s="210">
        <f t="shared" si="23"/>
        <v>5345.2507688253345</v>
      </c>
      <c r="CF25" s="210">
        <f t="shared" si="23"/>
        <v>5382.3879105978958</v>
      </c>
      <c r="CG25" s="210">
        <f t="shared" si="23"/>
        <v>5419.5250523704572</v>
      </c>
      <c r="CH25" s="210">
        <f t="shared" ref="CH25:CW37" si="24">IF(CH$22&lt;=$E$24,IF(CH$22&lt;=$D$24,IF(CH$22&lt;=$C$24,IF(CH$22&lt;=$B$24,$B25,$B25+(CH$22-$B$24)*($C25-$B25)/($C$24-$B$24)),$C25+(CH$22-$C$24)*($D25-$C25)/($D$24-$C$24)),$D25+(CH$22-$D$24)*($E25-$D25)/($E$24-$D$24)),$E25)</f>
        <v>5456.6621941430185</v>
      </c>
      <c r="CI25" s="210">
        <f t="shared" si="24"/>
        <v>5493.7993359155798</v>
      </c>
      <c r="CJ25" s="210">
        <f t="shared" si="24"/>
        <v>5357.7201848277291</v>
      </c>
      <c r="CK25" s="210">
        <f t="shared" si="24"/>
        <v>5221.6410337398775</v>
      </c>
      <c r="CL25" s="210">
        <f t="shared" si="24"/>
        <v>5085.5618826520267</v>
      </c>
      <c r="CM25" s="210">
        <f t="shared" si="24"/>
        <v>4949.482731564176</v>
      </c>
      <c r="CN25" s="210">
        <f t="shared" si="24"/>
        <v>4813.4035804763244</v>
      </c>
      <c r="CO25" s="210">
        <f t="shared" si="24"/>
        <v>4677.3244293884736</v>
      </c>
      <c r="CP25" s="210">
        <f t="shared" si="24"/>
        <v>4541.2452783006229</v>
      </c>
      <c r="CQ25" s="210">
        <f t="shared" si="24"/>
        <v>4405.1661272127712</v>
      </c>
      <c r="CR25" s="210">
        <f t="shared" ref="CR25:DA37" si="25">IF(CR$22&lt;=$E$24,IF(CR$22&lt;=$D$24,IF(CR$22&lt;=$C$24,IF(CR$22&lt;=$B$24,$B25,$B25+(CR$22-$B$24)*($C25-$B25)/($C$24-$B$24)),$C25+(CR$22-$C$24)*($D25-$C25)/($D$24-$C$24)),$D25+(CR$22-$D$24)*($E25-$D25)/($E$24-$D$24)),$E25)</f>
        <v>4269.0869761249205</v>
      </c>
      <c r="CS25" s="210">
        <f t="shared" si="25"/>
        <v>4133.0078250370689</v>
      </c>
      <c r="CT25" s="210">
        <f t="shared" si="25"/>
        <v>3996.9286739492181</v>
      </c>
      <c r="CU25" s="210">
        <f t="shared" si="25"/>
        <v>3860.8495228613674</v>
      </c>
      <c r="CV25" s="210">
        <f t="shared" si="25"/>
        <v>3724.7703717735158</v>
      </c>
      <c r="CW25" s="210">
        <f t="shared" si="25"/>
        <v>3588.691220685665</v>
      </c>
      <c r="CX25" s="210">
        <f t="shared" si="25"/>
        <v>3588.691220685665</v>
      </c>
      <c r="CY25" s="210">
        <f t="shared" si="25"/>
        <v>3588.691220685665</v>
      </c>
      <c r="CZ25" s="210">
        <f t="shared" si="25"/>
        <v>3588.691220685665</v>
      </c>
      <c r="DA25" s="210">
        <f t="shared" si="25"/>
        <v>3588.691220685665</v>
      </c>
    </row>
    <row r="26" spans="1:105">
      <c r="A26" s="201" t="str">
        <f>Income!A73</f>
        <v>Own crops sold</v>
      </c>
      <c r="B26" s="203">
        <f>Income!B73</f>
        <v>1656.5539794384563</v>
      </c>
      <c r="C26" s="203">
        <f>Income!C73</f>
        <v>3893.9208216150018</v>
      </c>
      <c r="D26" s="203">
        <f>Income!D73</f>
        <v>7824.2334266095804</v>
      </c>
      <c r="E26" s="203">
        <f>Income!E73</f>
        <v>19755.539548914556</v>
      </c>
      <c r="F26" s="210">
        <f t="shared" si="16"/>
        <v>1656.5539794384563</v>
      </c>
      <c r="G26" s="210">
        <f t="shared" si="16"/>
        <v>1656.5539794384563</v>
      </c>
      <c r="H26" s="210">
        <f t="shared" si="16"/>
        <v>1656.5539794384563</v>
      </c>
      <c r="I26" s="210">
        <f t="shared" si="16"/>
        <v>1656.5539794384563</v>
      </c>
      <c r="J26" s="210">
        <f t="shared" si="16"/>
        <v>1656.5539794384563</v>
      </c>
      <c r="K26" s="210">
        <f t="shared" si="16"/>
        <v>1656.5539794384563</v>
      </c>
      <c r="L26" s="210">
        <f t="shared" si="16"/>
        <v>1656.5539794384563</v>
      </c>
      <c r="M26" s="210">
        <f t="shared" si="16"/>
        <v>1656.5539794384563</v>
      </c>
      <c r="N26" s="210">
        <f t="shared" si="16"/>
        <v>1656.5539794384563</v>
      </c>
      <c r="O26" s="210">
        <f t="shared" si="16"/>
        <v>1656.5539794384563</v>
      </c>
      <c r="P26" s="210">
        <f t="shared" si="17"/>
        <v>1656.5539794384563</v>
      </c>
      <c r="Q26" s="210">
        <f t="shared" si="17"/>
        <v>1656.5539794384563</v>
      </c>
      <c r="R26" s="210">
        <f t="shared" si="17"/>
        <v>1656.5539794384563</v>
      </c>
      <c r="S26" s="210">
        <f t="shared" si="17"/>
        <v>1656.5539794384563</v>
      </c>
      <c r="T26" s="210">
        <f t="shared" si="17"/>
        <v>1656.5539794384563</v>
      </c>
      <c r="U26" s="210">
        <f t="shared" si="17"/>
        <v>1656.5539794384563</v>
      </c>
      <c r="V26" s="210">
        <f t="shared" si="17"/>
        <v>1656.5539794384563</v>
      </c>
      <c r="W26" s="210">
        <f t="shared" si="17"/>
        <v>1656.5539794384563</v>
      </c>
      <c r="X26" s="210">
        <f t="shared" si="17"/>
        <v>1656.5539794384563</v>
      </c>
      <c r="Y26" s="210">
        <f t="shared" si="17"/>
        <v>1656.5539794384563</v>
      </c>
      <c r="Z26" s="210">
        <f t="shared" si="18"/>
        <v>1656.5539794384563</v>
      </c>
      <c r="AA26" s="210">
        <f t="shared" si="18"/>
        <v>1656.5539794384563</v>
      </c>
      <c r="AB26" s="210">
        <f t="shared" si="18"/>
        <v>1656.5539794384563</v>
      </c>
      <c r="AC26" s="210">
        <f t="shared" si="18"/>
        <v>1656.5539794384563</v>
      </c>
      <c r="AD26" s="210">
        <f t="shared" si="18"/>
        <v>1687.6285189131306</v>
      </c>
      <c r="AE26" s="210">
        <f t="shared" si="18"/>
        <v>1749.7775978624791</v>
      </c>
      <c r="AF26" s="210">
        <f t="shared" si="18"/>
        <v>1811.9266768118275</v>
      </c>
      <c r="AG26" s="210">
        <f t="shared" si="18"/>
        <v>1874.075755761176</v>
      </c>
      <c r="AH26" s="210">
        <f t="shared" si="18"/>
        <v>1936.2248347105244</v>
      </c>
      <c r="AI26" s="210">
        <f t="shared" si="18"/>
        <v>1998.3739136598729</v>
      </c>
      <c r="AJ26" s="210">
        <f t="shared" si="19"/>
        <v>2060.5229926092215</v>
      </c>
      <c r="AK26" s="210">
        <f t="shared" si="19"/>
        <v>2122.6720715585698</v>
      </c>
      <c r="AL26" s="210">
        <f t="shared" si="19"/>
        <v>2184.8211505079184</v>
      </c>
      <c r="AM26" s="210">
        <f t="shared" si="19"/>
        <v>2246.9702294572671</v>
      </c>
      <c r="AN26" s="210">
        <f t="shared" si="19"/>
        <v>2309.1193084066153</v>
      </c>
      <c r="AO26" s="210">
        <f t="shared" si="19"/>
        <v>2371.268387355964</v>
      </c>
      <c r="AP26" s="210">
        <f t="shared" si="19"/>
        <v>2433.4174663053122</v>
      </c>
      <c r="AQ26" s="210">
        <f t="shared" si="19"/>
        <v>2495.5665452546609</v>
      </c>
      <c r="AR26" s="210">
        <f t="shared" si="19"/>
        <v>2557.7156242040091</v>
      </c>
      <c r="AS26" s="210">
        <f t="shared" si="19"/>
        <v>2619.8647031533578</v>
      </c>
      <c r="AT26" s="210">
        <f t="shared" si="20"/>
        <v>2682.0137821027065</v>
      </c>
      <c r="AU26" s="210">
        <f t="shared" si="20"/>
        <v>2744.1628610520547</v>
      </c>
      <c r="AV26" s="210">
        <f t="shared" si="20"/>
        <v>2806.3119400014034</v>
      </c>
      <c r="AW26" s="210">
        <f t="shared" si="20"/>
        <v>2868.4610189507516</v>
      </c>
      <c r="AX26" s="210">
        <f t="shared" si="20"/>
        <v>2930.6100979001003</v>
      </c>
      <c r="AY26" s="210">
        <f t="shared" si="20"/>
        <v>2992.7591768494485</v>
      </c>
      <c r="AZ26" s="210">
        <f t="shared" si="20"/>
        <v>3054.9082557987972</v>
      </c>
      <c r="BA26" s="210">
        <f t="shared" si="20"/>
        <v>3117.0573347481459</v>
      </c>
      <c r="BB26" s="210">
        <f t="shared" si="20"/>
        <v>3179.2064136974941</v>
      </c>
      <c r="BC26" s="210">
        <f t="shared" si="20"/>
        <v>3241.3554926468428</v>
      </c>
      <c r="BD26" s="210">
        <f t="shared" si="21"/>
        <v>3303.5045715961915</v>
      </c>
      <c r="BE26" s="210">
        <f t="shared" si="21"/>
        <v>3365.6536505455397</v>
      </c>
      <c r="BF26" s="210">
        <f t="shared" si="21"/>
        <v>3427.8027294948884</v>
      </c>
      <c r="BG26" s="210">
        <f t="shared" si="21"/>
        <v>3489.951808444237</v>
      </c>
      <c r="BH26" s="210">
        <f t="shared" si="21"/>
        <v>3552.1008873935853</v>
      </c>
      <c r="BI26" s="210">
        <f t="shared" si="21"/>
        <v>3614.2499663429339</v>
      </c>
      <c r="BJ26" s="210">
        <f t="shared" si="21"/>
        <v>3676.3990452922817</v>
      </c>
      <c r="BK26" s="210">
        <f t="shared" si="21"/>
        <v>3738.5481242416304</v>
      </c>
      <c r="BL26" s="210">
        <f t="shared" si="21"/>
        <v>3800.6972031909791</v>
      </c>
      <c r="BM26" s="210">
        <f t="shared" si="21"/>
        <v>3862.8462821403277</v>
      </c>
      <c r="BN26" s="210">
        <f t="shared" si="22"/>
        <v>3985.323440335806</v>
      </c>
      <c r="BO26" s="210">
        <f t="shared" si="22"/>
        <v>4168.1286777774139</v>
      </c>
      <c r="BP26" s="210">
        <f t="shared" si="22"/>
        <v>4350.9339152190223</v>
      </c>
      <c r="BQ26" s="210">
        <f t="shared" si="22"/>
        <v>4533.7391526606307</v>
      </c>
      <c r="BR26" s="210">
        <f t="shared" si="22"/>
        <v>4716.544390102239</v>
      </c>
      <c r="BS26" s="210">
        <f t="shared" si="22"/>
        <v>4899.3496275438474</v>
      </c>
      <c r="BT26" s="210">
        <f t="shared" si="22"/>
        <v>5082.1548649854558</v>
      </c>
      <c r="BU26" s="210">
        <f t="shared" si="22"/>
        <v>5264.9601024270642</v>
      </c>
      <c r="BV26" s="210">
        <f t="shared" si="22"/>
        <v>5447.7653398686725</v>
      </c>
      <c r="BW26" s="210">
        <f t="shared" si="22"/>
        <v>5630.5705773102809</v>
      </c>
      <c r="BX26" s="210">
        <f t="shared" si="23"/>
        <v>5813.3758147518893</v>
      </c>
      <c r="BY26" s="210">
        <f t="shared" si="23"/>
        <v>5996.1810521934976</v>
      </c>
      <c r="BZ26" s="210">
        <f t="shared" si="23"/>
        <v>6178.986289635106</v>
      </c>
      <c r="CA26" s="210">
        <f t="shared" si="23"/>
        <v>6361.7915270767135</v>
      </c>
      <c r="CB26" s="210">
        <f t="shared" si="23"/>
        <v>6544.5967645183227</v>
      </c>
      <c r="CC26" s="210">
        <f t="shared" si="23"/>
        <v>6727.4020019599302</v>
      </c>
      <c r="CD26" s="210">
        <f t="shared" si="23"/>
        <v>6910.2072394015386</v>
      </c>
      <c r="CE26" s="210">
        <f t="shared" si="23"/>
        <v>7093.0124768431469</v>
      </c>
      <c r="CF26" s="210">
        <f t="shared" si="23"/>
        <v>7275.8177142847553</v>
      </c>
      <c r="CG26" s="210">
        <f t="shared" si="23"/>
        <v>7458.6229517263637</v>
      </c>
      <c r="CH26" s="210">
        <f t="shared" si="24"/>
        <v>7641.4281891679721</v>
      </c>
      <c r="CI26" s="210">
        <f t="shared" si="24"/>
        <v>7824.2334266095804</v>
      </c>
      <c r="CJ26" s="210">
        <f t="shared" si="24"/>
        <v>8676.469578202792</v>
      </c>
      <c r="CK26" s="210">
        <f t="shared" si="24"/>
        <v>9528.7057297960055</v>
      </c>
      <c r="CL26" s="210">
        <f t="shared" si="24"/>
        <v>10380.941881389219</v>
      </c>
      <c r="CM26" s="210">
        <f t="shared" si="24"/>
        <v>11233.178032982431</v>
      </c>
      <c r="CN26" s="210">
        <f t="shared" si="24"/>
        <v>12085.414184575642</v>
      </c>
      <c r="CO26" s="210">
        <f t="shared" si="24"/>
        <v>12937.650336168856</v>
      </c>
      <c r="CP26" s="210">
        <f t="shared" si="24"/>
        <v>13789.886487762069</v>
      </c>
      <c r="CQ26" s="210">
        <f t="shared" si="24"/>
        <v>14642.122639355281</v>
      </c>
      <c r="CR26" s="210">
        <f t="shared" si="25"/>
        <v>15494.358790948492</v>
      </c>
      <c r="CS26" s="210">
        <f t="shared" si="25"/>
        <v>16346.594942541706</v>
      </c>
      <c r="CT26" s="210">
        <f t="shared" si="25"/>
        <v>17198.831094134919</v>
      </c>
      <c r="CU26" s="210">
        <f t="shared" si="25"/>
        <v>18051.067245728133</v>
      </c>
      <c r="CV26" s="210">
        <f t="shared" si="25"/>
        <v>18903.303397321342</v>
      </c>
      <c r="CW26" s="210">
        <f t="shared" si="25"/>
        <v>19755.539548914556</v>
      </c>
      <c r="CX26" s="210">
        <f t="shared" si="25"/>
        <v>19755.539548914556</v>
      </c>
      <c r="CY26" s="210">
        <f t="shared" si="25"/>
        <v>19755.539548914556</v>
      </c>
      <c r="CZ26" s="210">
        <f t="shared" si="25"/>
        <v>19755.539548914556</v>
      </c>
      <c r="DA26" s="210">
        <f t="shared" si="25"/>
        <v>19755.539548914556</v>
      </c>
    </row>
    <row r="27" spans="1:105">
      <c r="A27" s="201" t="str">
        <f>Income!A74</f>
        <v>Animal products consumed</v>
      </c>
      <c r="B27" s="203">
        <f>Income!B74</f>
        <v>0</v>
      </c>
      <c r="C27" s="203">
        <f>Income!C74</f>
        <v>264.98815561722739</v>
      </c>
      <c r="D27" s="203">
        <f>Income!D74</f>
        <v>596.68339902004163</v>
      </c>
      <c r="E27" s="203">
        <f>Income!E74</f>
        <v>2463.7589230601739</v>
      </c>
      <c r="F27" s="210">
        <f t="shared" si="16"/>
        <v>0</v>
      </c>
      <c r="G27" s="210">
        <f t="shared" si="16"/>
        <v>0</v>
      </c>
      <c r="H27" s="210">
        <f t="shared" si="16"/>
        <v>0</v>
      </c>
      <c r="I27" s="210">
        <f t="shared" si="16"/>
        <v>0</v>
      </c>
      <c r="J27" s="210">
        <f t="shared" si="16"/>
        <v>0</v>
      </c>
      <c r="K27" s="210">
        <f t="shared" si="16"/>
        <v>0</v>
      </c>
      <c r="L27" s="210">
        <f t="shared" si="16"/>
        <v>0</v>
      </c>
      <c r="M27" s="210">
        <f t="shared" si="16"/>
        <v>0</v>
      </c>
      <c r="N27" s="210">
        <f t="shared" si="16"/>
        <v>0</v>
      </c>
      <c r="O27" s="210">
        <f t="shared" si="16"/>
        <v>0</v>
      </c>
      <c r="P27" s="210">
        <f t="shared" si="17"/>
        <v>0</v>
      </c>
      <c r="Q27" s="210">
        <f t="shared" si="17"/>
        <v>0</v>
      </c>
      <c r="R27" s="210">
        <f t="shared" si="17"/>
        <v>0</v>
      </c>
      <c r="S27" s="210">
        <f t="shared" si="17"/>
        <v>0</v>
      </c>
      <c r="T27" s="210">
        <f t="shared" si="17"/>
        <v>0</v>
      </c>
      <c r="U27" s="210">
        <f t="shared" si="17"/>
        <v>0</v>
      </c>
      <c r="V27" s="210">
        <f t="shared" si="17"/>
        <v>0</v>
      </c>
      <c r="W27" s="210">
        <f t="shared" si="17"/>
        <v>0</v>
      </c>
      <c r="X27" s="210">
        <f t="shared" si="17"/>
        <v>0</v>
      </c>
      <c r="Y27" s="210">
        <f t="shared" si="17"/>
        <v>0</v>
      </c>
      <c r="Z27" s="210">
        <f t="shared" si="18"/>
        <v>0</v>
      </c>
      <c r="AA27" s="210">
        <f t="shared" si="18"/>
        <v>0</v>
      </c>
      <c r="AB27" s="210">
        <f t="shared" si="18"/>
        <v>0</v>
      </c>
      <c r="AC27" s="210">
        <f t="shared" si="18"/>
        <v>0</v>
      </c>
      <c r="AD27" s="210">
        <f t="shared" si="18"/>
        <v>3.6803910502392694</v>
      </c>
      <c r="AE27" s="210">
        <f t="shared" si="18"/>
        <v>11.041173150717807</v>
      </c>
      <c r="AF27" s="210">
        <f t="shared" si="18"/>
        <v>18.401955251196348</v>
      </c>
      <c r="AG27" s="210">
        <f t="shared" si="18"/>
        <v>25.762737351674886</v>
      </c>
      <c r="AH27" s="210">
        <f t="shared" si="18"/>
        <v>33.123519452153424</v>
      </c>
      <c r="AI27" s="210">
        <f t="shared" si="18"/>
        <v>40.484301552631962</v>
      </c>
      <c r="AJ27" s="210">
        <f t="shared" si="19"/>
        <v>47.8450836531105</v>
      </c>
      <c r="AK27" s="210">
        <f t="shared" si="19"/>
        <v>55.205865753589045</v>
      </c>
      <c r="AL27" s="210">
        <f t="shared" si="19"/>
        <v>62.566647854067583</v>
      </c>
      <c r="AM27" s="210">
        <f t="shared" si="19"/>
        <v>69.927429954546113</v>
      </c>
      <c r="AN27" s="210">
        <f t="shared" si="19"/>
        <v>77.288212055024644</v>
      </c>
      <c r="AO27" s="210">
        <f t="shared" si="19"/>
        <v>84.648994155503203</v>
      </c>
      <c r="AP27" s="210">
        <f t="shared" si="19"/>
        <v>92.009776255981734</v>
      </c>
      <c r="AQ27" s="210">
        <f t="shared" si="19"/>
        <v>99.370558356460279</v>
      </c>
      <c r="AR27" s="210">
        <f t="shared" si="19"/>
        <v>106.73134045693881</v>
      </c>
      <c r="AS27" s="210">
        <f t="shared" si="19"/>
        <v>114.09212255741734</v>
      </c>
      <c r="AT27" s="210">
        <f t="shared" si="20"/>
        <v>121.45290465789589</v>
      </c>
      <c r="AU27" s="210">
        <f t="shared" si="20"/>
        <v>128.81368675837444</v>
      </c>
      <c r="AV27" s="210">
        <f t="shared" si="20"/>
        <v>136.17446885885295</v>
      </c>
      <c r="AW27" s="210">
        <f t="shared" si="20"/>
        <v>143.53525095933151</v>
      </c>
      <c r="AX27" s="210">
        <f t="shared" si="20"/>
        <v>150.89603305981007</v>
      </c>
      <c r="AY27" s="210">
        <f t="shared" si="20"/>
        <v>158.25681516028857</v>
      </c>
      <c r="AZ27" s="210">
        <f t="shared" si="20"/>
        <v>165.61759726076713</v>
      </c>
      <c r="BA27" s="210">
        <f t="shared" si="20"/>
        <v>172.97837936124566</v>
      </c>
      <c r="BB27" s="210">
        <f t="shared" si="20"/>
        <v>180.33916146172419</v>
      </c>
      <c r="BC27" s="210">
        <f t="shared" si="20"/>
        <v>187.69994356220275</v>
      </c>
      <c r="BD27" s="210">
        <f t="shared" si="21"/>
        <v>195.06072566268128</v>
      </c>
      <c r="BE27" s="210">
        <f t="shared" si="21"/>
        <v>202.42150776315981</v>
      </c>
      <c r="BF27" s="210">
        <f t="shared" si="21"/>
        <v>209.78228986363834</v>
      </c>
      <c r="BG27" s="210">
        <f t="shared" si="21"/>
        <v>217.1430719641169</v>
      </c>
      <c r="BH27" s="210">
        <f t="shared" si="21"/>
        <v>224.50385406459543</v>
      </c>
      <c r="BI27" s="210">
        <f t="shared" si="21"/>
        <v>231.86463616507399</v>
      </c>
      <c r="BJ27" s="210">
        <f t="shared" si="21"/>
        <v>239.22541826555249</v>
      </c>
      <c r="BK27" s="210">
        <f t="shared" si="21"/>
        <v>246.58620036603102</v>
      </c>
      <c r="BL27" s="210">
        <f t="shared" si="21"/>
        <v>253.94698246650958</v>
      </c>
      <c r="BM27" s="210">
        <f t="shared" si="21"/>
        <v>261.30776456698811</v>
      </c>
      <c r="BN27" s="210">
        <f t="shared" si="22"/>
        <v>272.70199848706028</v>
      </c>
      <c r="BO27" s="210">
        <f t="shared" si="22"/>
        <v>288.12968422672606</v>
      </c>
      <c r="BP27" s="210">
        <f t="shared" si="22"/>
        <v>303.55736996639183</v>
      </c>
      <c r="BQ27" s="210">
        <f t="shared" si="22"/>
        <v>318.98505570605761</v>
      </c>
      <c r="BR27" s="210">
        <f t="shared" si="22"/>
        <v>334.41274144572338</v>
      </c>
      <c r="BS27" s="210">
        <f t="shared" si="22"/>
        <v>349.84042718538916</v>
      </c>
      <c r="BT27" s="210">
        <f t="shared" si="22"/>
        <v>365.26811292505499</v>
      </c>
      <c r="BU27" s="210">
        <f t="shared" si="22"/>
        <v>380.69579866472071</v>
      </c>
      <c r="BV27" s="210">
        <f t="shared" si="22"/>
        <v>396.12348440438655</v>
      </c>
      <c r="BW27" s="210">
        <f t="shared" si="22"/>
        <v>411.55117014405232</v>
      </c>
      <c r="BX27" s="210">
        <f t="shared" si="23"/>
        <v>426.9788558837181</v>
      </c>
      <c r="BY27" s="210">
        <f t="shared" si="23"/>
        <v>442.40654162338387</v>
      </c>
      <c r="BZ27" s="210">
        <f t="shared" si="23"/>
        <v>457.83422736304965</v>
      </c>
      <c r="CA27" s="210">
        <f t="shared" si="23"/>
        <v>473.26191310271543</v>
      </c>
      <c r="CB27" s="210">
        <f t="shared" si="23"/>
        <v>488.6895988423812</v>
      </c>
      <c r="CC27" s="210">
        <f t="shared" si="23"/>
        <v>504.11728458204698</v>
      </c>
      <c r="CD27" s="210">
        <f t="shared" si="23"/>
        <v>519.54497032171275</v>
      </c>
      <c r="CE27" s="210">
        <f t="shared" si="23"/>
        <v>534.97265606137853</v>
      </c>
      <c r="CF27" s="210">
        <f t="shared" si="23"/>
        <v>550.40034180104431</v>
      </c>
      <c r="CG27" s="210">
        <f t="shared" si="23"/>
        <v>565.82802754071008</v>
      </c>
      <c r="CH27" s="210">
        <f t="shared" si="24"/>
        <v>581.25571328037586</v>
      </c>
      <c r="CI27" s="210">
        <f t="shared" si="24"/>
        <v>596.68339902004163</v>
      </c>
      <c r="CJ27" s="210">
        <f t="shared" si="24"/>
        <v>730.04593645147963</v>
      </c>
      <c r="CK27" s="210">
        <f t="shared" si="24"/>
        <v>863.40847388291763</v>
      </c>
      <c r="CL27" s="210">
        <f t="shared" si="24"/>
        <v>996.77101131435575</v>
      </c>
      <c r="CM27" s="210">
        <f t="shared" si="24"/>
        <v>1130.1335487457936</v>
      </c>
      <c r="CN27" s="210">
        <f t="shared" si="24"/>
        <v>1263.4960861772317</v>
      </c>
      <c r="CO27" s="210">
        <f t="shared" si="24"/>
        <v>1396.8586236086699</v>
      </c>
      <c r="CP27" s="210">
        <f t="shared" si="24"/>
        <v>1530.2211610401077</v>
      </c>
      <c r="CQ27" s="210">
        <f t="shared" si="24"/>
        <v>1663.5836984715459</v>
      </c>
      <c r="CR27" s="210">
        <f t="shared" si="25"/>
        <v>1796.946235902984</v>
      </c>
      <c r="CS27" s="210">
        <f t="shared" si="25"/>
        <v>1930.3087733344219</v>
      </c>
      <c r="CT27" s="210">
        <f t="shared" si="25"/>
        <v>2063.6713107658597</v>
      </c>
      <c r="CU27" s="210">
        <f t="shared" si="25"/>
        <v>2197.0338481972976</v>
      </c>
      <c r="CV27" s="210">
        <f t="shared" si="25"/>
        <v>2330.396385628736</v>
      </c>
      <c r="CW27" s="210">
        <f t="shared" si="25"/>
        <v>2463.7589230601739</v>
      </c>
      <c r="CX27" s="210">
        <f t="shared" si="25"/>
        <v>2463.7589230601739</v>
      </c>
      <c r="CY27" s="210">
        <f t="shared" si="25"/>
        <v>2463.7589230601739</v>
      </c>
      <c r="CZ27" s="210">
        <f t="shared" si="25"/>
        <v>2463.7589230601739</v>
      </c>
      <c r="DA27" s="210">
        <f t="shared" si="25"/>
        <v>2463.7589230601739</v>
      </c>
    </row>
    <row r="28" spans="1:105">
      <c r="A28" s="201" t="str">
        <f>Income!A75</f>
        <v>Animal products sold</v>
      </c>
      <c r="B28" s="203">
        <f>Income!B75</f>
        <v>0</v>
      </c>
      <c r="C28" s="203">
        <f>Income!C75</f>
        <v>0</v>
      </c>
      <c r="D28" s="203">
        <f>Income!D75</f>
        <v>0</v>
      </c>
      <c r="E28" s="203">
        <f>Income!E75</f>
        <v>0</v>
      </c>
      <c r="F28" s="210">
        <f t="shared" si="16"/>
        <v>0</v>
      </c>
      <c r="G28" s="210">
        <f t="shared" si="16"/>
        <v>0</v>
      </c>
      <c r="H28" s="210">
        <f t="shared" si="16"/>
        <v>0</v>
      </c>
      <c r="I28" s="210">
        <f t="shared" si="16"/>
        <v>0</v>
      </c>
      <c r="J28" s="210">
        <f t="shared" si="16"/>
        <v>0</v>
      </c>
      <c r="K28" s="210">
        <f t="shared" si="16"/>
        <v>0</v>
      </c>
      <c r="L28" s="210">
        <f t="shared" si="16"/>
        <v>0</v>
      </c>
      <c r="M28" s="210">
        <f t="shared" si="16"/>
        <v>0</v>
      </c>
      <c r="N28" s="210">
        <f t="shared" si="16"/>
        <v>0</v>
      </c>
      <c r="O28" s="210">
        <f t="shared" si="16"/>
        <v>0</v>
      </c>
      <c r="P28" s="210">
        <f t="shared" si="17"/>
        <v>0</v>
      </c>
      <c r="Q28" s="210">
        <f t="shared" si="17"/>
        <v>0</v>
      </c>
      <c r="R28" s="210">
        <f t="shared" si="17"/>
        <v>0</v>
      </c>
      <c r="S28" s="210">
        <f t="shared" si="17"/>
        <v>0</v>
      </c>
      <c r="T28" s="210">
        <f t="shared" si="17"/>
        <v>0</v>
      </c>
      <c r="U28" s="210">
        <f t="shared" si="17"/>
        <v>0</v>
      </c>
      <c r="V28" s="210">
        <f t="shared" si="17"/>
        <v>0</v>
      </c>
      <c r="W28" s="210">
        <f t="shared" si="17"/>
        <v>0</v>
      </c>
      <c r="X28" s="210">
        <f t="shared" si="17"/>
        <v>0</v>
      </c>
      <c r="Y28" s="210">
        <f t="shared" si="17"/>
        <v>0</v>
      </c>
      <c r="Z28" s="210">
        <f t="shared" si="18"/>
        <v>0</v>
      </c>
      <c r="AA28" s="210">
        <f t="shared" si="18"/>
        <v>0</v>
      </c>
      <c r="AB28" s="210">
        <f t="shared" si="18"/>
        <v>0</v>
      </c>
      <c r="AC28" s="210">
        <f t="shared" si="18"/>
        <v>0</v>
      </c>
      <c r="AD28" s="210">
        <f t="shared" si="18"/>
        <v>0</v>
      </c>
      <c r="AE28" s="210">
        <f t="shared" si="18"/>
        <v>0</v>
      </c>
      <c r="AF28" s="210">
        <f t="shared" si="18"/>
        <v>0</v>
      </c>
      <c r="AG28" s="210">
        <f t="shared" si="18"/>
        <v>0</v>
      </c>
      <c r="AH28" s="210">
        <f t="shared" si="18"/>
        <v>0</v>
      </c>
      <c r="AI28" s="210">
        <f t="shared" si="18"/>
        <v>0</v>
      </c>
      <c r="AJ28" s="210">
        <f t="shared" si="19"/>
        <v>0</v>
      </c>
      <c r="AK28" s="210">
        <f t="shared" si="19"/>
        <v>0</v>
      </c>
      <c r="AL28" s="210">
        <f t="shared" si="19"/>
        <v>0</v>
      </c>
      <c r="AM28" s="210">
        <f t="shared" si="19"/>
        <v>0</v>
      </c>
      <c r="AN28" s="210">
        <f t="shared" si="19"/>
        <v>0</v>
      </c>
      <c r="AO28" s="210">
        <f t="shared" si="19"/>
        <v>0</v>
      </c>
      <c r="AP28" s="210">
        <f t="shared" si="19"/>
        <v>0</v>
      </c>
      <c r="AQ28" s="210">
        <f t="shared" si="19"/>
        <v>0</v>
      </c>
      <c r="AR28" s="210">
        <f t="shared" si="19"/>
        <v>0</v>
      </c>
      <c r="AS28" s="210">
        <f t="shared" si="19"/>
        <v>0</v>
      </c>
      <c r="AT28" s="210">
        <f t="shared" si="20"/>
        <v>0</v>
      </c>
      <c r="AU28" s="210">
        <f t="shared" si="20"/>
        <v>0</v>
      </c>
      <c r="AV28" s="210">
        <f t="shared" si="20"/>
        <v>0</v>
      </c>
      <c r="AW28" s="210">
        <f t="shared" si="20"/>
        <v>0</v>
      </c>
      <c r="AX28" s="210">
        <f t="shared" si="20"/>
        <v>0</v>
      </c>
      <c r="AY28" s="210">
        <f t="shared" si="20"/>
        <v>0</v>
      </c>
      <c r="AZ28" s="210">
        <f t="shared" si="20"/>
        <v>0</v>
      </c>
      <c r="BA28" s="210">
        <f t="shared" si="20"/>
        <v>0</v>
      </c>
      <c r="BB28" s="210">
        <f t="shared" si="20"/>
        <v>0</v>
      </c>
      <c r="BC28" s="210">
        <f t="shared" si="20"/>
        <v>0</v>
      </c>
      <c r="BD28" s="210">
        <f t="shared" si="21"/>
        <v>0</v>
      </c>
      <c r="BE28" s="210">
        <f t="shared" si="21"/>
        <v>0</v>
      </c>
      <c r="BF28" s="210">
        <f t="shared" si="21"/>
        <v>0</v>
      </c>
      <c r="BG28" s="210">
        <f t="shared" si="21"/>
        <v>0</v>
      </c>
      <c r="BH28" s="210">
        <f t="shared" si="21"/>
        <v>0</v>
      </c>
      <c r="BI28" s="210">
        <f t="shared" si="21"/>
        <v>0</v>
      </c>
      <c r="BJ28" s="210">
        <f t="shared" si="21"/>
        <v>0</v>
      </c>
      <c r="BK28" s="210">
        <f t="shared" si="21"/>
        <v>0</v>
      </c>
      <c r="BL28" s="210">
        <f t="shared" si="21"/>
        <v>0</v>
      </c>
      <c r="BM28" s="210">
        <f t="shared" si="21"/>
        <v>0</v>
      </c>
      <c r="BN28" s="210">
        <f t="shared" si="22"/>
        <v>0</v>
      </c>
      <c r="BO28" s="210">
        <f t="shared" si="22"/>
        <v>0</v>
      </c>
      <c r="BP28" s="210">
        <f t="shared" si="22"/>
        <v>0</v>
      </c>
      <c r="BQ28" s="210">
        <f t="shared" si="22"/>
        <v>0</v>
      </c>
      <c r="BR28" s="210">
        <f t="shared" si="22"/>
        <v>0</v>
      </c>
      <c r="BS28" s="210">
        <f t="shared" si="22"/>
        <v>0</v>
      </c>
      <c r="BT28" s="210">
        <f t="shared" si="22"/>
        <v>0</v>
      </c>
      <c r="BU28" s="210">
        <f t="shared" si="22"/>
        <v>0</v>
      </c>
      <c r="BV28" s="210">
        <f t="shared" si="22"/>
        <v>0</v>
      </c>
      <c r="BW28" s="210">
        <f t="shared" si="22"/>
        <v>0</v>
      </c>
      <c r="BX28" s="210">
        <f t="shared" si="23"/>
        <v>0</v>
      </c>
      <c r="BY28" s="210">
        <f t="shared" si="23"/>
        <v>0</v>
      </c>
      <c r="BZ28" s="210">
        <f t="shared" si="23"/>
        <v>0</v>
      </c>
      <c r="CA28" s="210">
        <f t="shared" si="23"/>
        <v>0</v>
      </c>
      <c r="CB28" s="210">
        <f t="shared" si="23"/>
        <v>0</v>
      </c>
      <c r="CC28" s="210">
        <f t="shared" si="23"/>
        <v>0</v>
      </c>
      <c r="CD28" s="210">
        <f t="shared" si="23"/>
        <v>0</v>
      </c>
      <c r="CE28" s="210">
        <f t="shared" si="23"/>
        <v>0</v>
      </c>
      <c r="CF28" s="210">
        <f t="shared" si="23"/>
        <v>0</v>
      </c>
      <c r="CG28" s="210">
        <f t="shared" si="23"/>
        <v>0</v>
      </c>
      <c r="CH28" s="210">
        <f t="shared" si="24"/>
        <v>0</v>
      </c>
      <c r="CI28" s="210">
        <f t="shared" si="24"/>
        <v>0</v>
      </c>
      <c r="CJ28" s="210">
        <f t="shared" si="24"/>
        <v>0</v>
      </c>
      <c r="CK28" s="210">
        <f t="shared" si="24"/>
        <v>0</v>
      </c>
      <c r="CL28" s="210">
        <f t="shared" si="24"/>
        <v>0</v>
      </c>
      <c r="CM28" s="210">
        <f t="shared" si="24"/>
        <v>0</v>
      </c>
      <c r="CN28" s="210">
        <f t="shared" si="24"/>
        <v>0</v>
      </c>
      <c r="CO28" s="210">
        <f t="shared" si="24"/>
        <v>0</v>
      </c>
      <c r="CP28" s="210">
        <f t="shared" si="24"/>
        <v>0</v>
      </c>
      <c r="CQ28" s="210">
        <f t="shared" si="24"/>
        <v>0</v>
      </c>
      <c r="CR28" s="210">
        <f t="shared" si="25"/>
        <v>0</v>
      </c>
      <c r="CS28" s="210">
        <f t="shared" si="25"/>
        <v>0</v>
      </c>
      <c r="CT28" s="210">
        <f t="shared" si="25"/>
        <v>0</v>
      </c>
      <c r="CU28" s="210">
        <f t="shared" si="25"/>
        <v>0</v>
      </c>
      <c r="CV28" s="210">
        <f t="shared" si="25"/>
        <v>0</v>
      </c>
      <c r="CW28" s="210">
        <f t="shared" si="25"/>
        <v>0</v>
      </c>
      <c r="CX28" s="210">
        <f t="shared" si="25"/>
        <v>0</v>
      </c>
      <c r="CY28" s="210">
        <f t="shared" si="25"/>
        <v>0</v>
      </c>
      <c r="CZ28" s="210">
        <f t="shared" si="25"/>
        <v>0</v>
      </c>
      <c r="DA28" s="210">
        <f t="shared" si="25"/>
        <v>0</v>
      </c>
    </row>
    <row r="29" spans="1:105">
      <c r="A29" s="201" t="str">
        <f>Income!A76</f>
        <v>Animals sold</v>
      </c>
      <c r="B29" s="203">
        <f>Income!B76</f>
        <v>0</v>
      </c>
      <c r="C29" s="203">
        <f>Income!C76</f>
        <v>2911.3426703663563</v>
      </c>
      <c r="D29" s="203">
        <f>Income!D76</f>
        <v>12809.907749611966</v>
      </c>
      <c r="E29" s="203">
        <f>Income!E76</f>
        <v>41840.153234122205</v>
      </c>
      <c r="F29" s="210">
        <f t="shared" si="16"/>
        <v>0</v>
      </c>
      <c r="G29" s="210">
        <f t="shared" si="16"/>
        <v>0</v>
      </c>
      <c r="H29" s="210">
        <f t="shared" si="16"/>
        <v>0</v>
      </c>
      <c r="I29" s="210">
        <f t="shared" si="16"/>
        <v>0</v>
      </c>
      <c r="J29" s="210">
        <f t="shared" si="16"/>
        <v>0</v>
      </c>
      <c r="K29" s="210">
        <f t="shared" si="16"/>
        <v>0</v>
      </c>
      <c r="L29" s="210">
        <f t="shared" si="16"/>
        <v>0</v>
      </c>
      <c r="M29" s="210">
        <f t="shared" si="16"/>
        <v>0</v>
      </c>
      <c r="N29" s="210">
        <f t="shared" si="16"/>
        <v>0</v>
      </c>
      <c r="O29" s="210">
        <f t="shared" si="16"/>
        <v>0</v>
      </c>
      <c r="P29" s="210">
        <f t="shared" si="17"/>
        <v>0</v>
      </c>
      <c r="Q29" s="210">
        <f t="shared" si="17"/>
        <v>0</v>
      </c>
      <c r="R29" s="210">
        <f t="shared" si="17"/>
        <v>0</v>
      </c>
      <c r="S29" s="210">
        <f t="shared" si="17"/>
        <v>0</v>
      </c>
      <c r="T29" s="210">
        <f t="shared" si="17"/>
        <v>0</v>
      </c>
      <c r="U29" s="210">
        <f t="shared" si="17"/>
        <v>0</v>
      </c>
      <c r="V29" s="210">
        <f t="shared" si="17"/>
        <v>0</v>
      </c>
      <c r="W29" s="210">
        <f t="shared" si="17"/>
        <v>0</v>
      </c>
      <c r="X29" s="210">
        <f t="shared" si="17"/>
        <v>0</v>
      </c>
      <c r="Y29" s="210">
        <f t="shared" si="17"/>
        <v>0</v>
      </c>
      <c r="Z29" s="210">
        <f t="shared" si="18"/>
        <v>0</v>
      </c>
      <c r="AA29" s="210">
        <f t="shared" si="18"/>
        <v>0</v>
      </c>
      <c r="AB29" s="210">
        <f t="shared" si="18"/>
        <v>0</v>
      </c>
      <c r="AC29" s="210">
        <f t="shared" si="18"/>
        <v>0</v>
      </c>
      <c r="AD29" s="210">
        <f t="shared" si="18"/>
        <v>40.435314866199391</v>
      </c>
      <c r="AE29" s="210">
        <f t="shared" si="18"/>
        <v>121.30594459859816</v>
      </c>
      <c r="AF29" s="210">
        <f t="shared" si="18"/>
        <v>202.17657433099697</v>
      </c>
      <c r="AG29" s="210">
        <f t="shared" si="18"/>
        <v>283.04720406339572</v>
      </c>
      <c r="AH29" s="210">
        <f t="shared" si="18"/>
        <v>363.91783379579454</v>
      </c>
      <c r="AI29" s="210">
        <f t="shared" si="18"/>
        <v>444.78846352819329</v>
      </c>
      <c r="AJ29" s="210">
        <f t="shared" si="19"/>
        <v>525.65909326059204</v>
      </c>
      <c r="AK29" s="210">
        <f t="shared" si="19"/>
        <v>606.52972299299086</v>
      </c>
      <c r="AL29" s="210">
        <f t="shared" si="19"/>
        <v>687.40035272538967</v>
      </c>
      <c r="AM29" s="210">
        <f t="shared" si="19"/>
        <v>768.27098245778848</v>
      </c>
      <c r="AN29" s="210">
        <f t="shared" si="19"/>
        <v>849.14161219018717</v>
      </c>
      <c r="AO29" s="210">
        <f t="shared" si="19"/>
        <v>930.0122419225861</v>
      </c>
      <c r="AP29" s="210">
        <f t="shared" si="19"/>
        <v>1010.8828716549847</v>
      </c>
      <c r="AQ29" s="210">
        <f t="shared" si="19"/>
        <v>1091.7535013873835</v>
      </c>
      <c r="AR29" s="210">
        <f t="shared" si="19"/>
        <v>1172.6241311197823</v>
      </c>
      <c r="AS29" s="210">
        <f t="shared" si="19"/>
        <v>1253.4947608521811</v>
      </c>
      <c r="AT29" s="210">
        <f t="shared" si="20"/>
        <v>1334.3653905845799</v>
      </c>
      <c r="AU29" s="210">
        <f t="shared" si="20"/>
        <v>1415.2360203169787</v>
      </c>
      <c r="AV29" s="210">
        <f t="shared" si="20"/>
        <v>1496.1066500493775</v>
      </c>
      <c r="AW29" s="210">
        <f t="shared" si="20"/>
        <v>1576.9772797817764</v>
      </c>
      <c r="AX29" s="210">
        <f t="shared" si="20"/>
        <v>1657.8479095141749</v>
      </c>
      <c r="AY29" s="210">
        <f t="shared" si="20"/>
        <v>1738.7185392465738</v>
      </c>
      <c r="AZ29" s="210">
        <f t="shared" si="20"/>
        <v>1819.5891689789726</v>
      </c>
      <c r="BA29" s="210">
        <f t="shared" si="20"/>
        <v>1900.4597987113714</v>
      </c>
      <c r="BB29" s="210">
        <f t="shared" si="20"/>
        <v>1981.3304284437702</v>
      </c>
      <c r="BC29" s="210">
        <f t="shared" si="20"/>
        <v>2062.2010581761692</v>
      </c>
      <c r="BD29" s="210">
        <f t="shared" si="21"/>
        <v>2143.071687908568</v>
      </c>
      <c r="BE29" s="210">
        <f t="shared" si="21"/>
        <v>2223.9423176409668</v>
      </c>
      <c r="BF29" s="210">
        <f t="shared" si="21"/>
        <v>2304.8129473733657</v>
      </c>
      <c r="BG29" s="210">
        <f t="shared" si="21"/>
        <v>2385.6835771057645</v>
      </c>
      <c r="BH29" s="210">
        <f t="shared" si="21"/>
        <v>2466.5542068381633</v>
      </c>
      <c r="BI29" s="210">
        <f t="shared" si="21"/>
        <v>2547.4248365705621</v>
      </c>
      <c r="BJ29" s="210">
        <f t="shared" si="21"/>
        <v>2628.2954663029604</v>
      </c>
      <c r="BK29" s="210">
        <f t="shared" si="21"/>
        <v>2709.1660960353593</v>
      </c>
      <c r="BL29" s="210">
        <f t="shared" si="21"/>
        <v>2790.0367257677581</v>
      </c>
      <c r="BM29" s="210">
        <f t="shared" si="21"/>
        <v>2870.9073555001569</v>
      </c>
      <c r="BN29" s="210">
        <f t="shared" si="22"/>
        <v>3141.5418582557891</v>
      </c>
      <c r="BO29" s="210">
        <f t="shared" si="22"/>
        <v>3601.9402340346546</v>
      </c>
      <c r="BP29" s="210">
        <f t="shared" si="22"/>
        <v>4062.3386098135206</v>
      </c>
      <c r="BQ29" s="210">
        <f t="shared" si="22"/>
        <v>4522.7369855923862</v>
      </c>
      <c r="BR29" s="210">
        <f t="shared" si="22"/>
        <v>4983.1353613712517</v>
      </c>
      <c r="BS29" s="210">
        <f t="shared" si="22"/>
        <v>5443.5337371501173</v>
      </c>
      <c r="BT29" s="210">
        <f t="shared" si="22"/>
        <v>5903.9321129289829</v>
      </c>
      <c r="BU29" s="210">
        <f t="shared" si="22"/>
        <v>6364.3304887078484</v>
      </c>
      <c r="BV29" s="210">
        <f t="shared" si="22"/>
        <v>6824.728864486714</v>
      </c>
      <c r="BW29" s="210">
        <f t="shared" si="22"/>
        <v>7285.1272402655795</v>
      </c>
      <c r="BX29" s="210">
        <f t="shared" si="23"/>
        <v>7745.5256160444451</v>
      </c>
      <c r="BY29" s="210">
        <f t="shared" si="23"/>
        <v>8205.9239918233106</v>
      </c>
      <c r="BZ29" s="210">
        <f t="shared" si="23"/>
        <v>8666.3223676021771</v>
      </c>
      <c r="CA29" s="210">
        <f t="shared" si="23"/>
        <v>9126.7207433810418</v>
      </c>
      <c r="CB29" s="210">
        <f t="shared" si="23"/>
        <v>9587.1191191599064</v>
      </c>
      <c r="CC29" s="210">
        <f t="shared" si="23"/>
        <v>10047.517494938773</v>
      </c>
      <c r="CD29" s="210">
        <f t="shared" si="23"/>
        <v>10507.915870717639</v>
      </c>
      <c r="CE29" s="210">
        <f t="shared" si="23"/>
        <v>10968.314246496506</v>
      </c>
      <c r="CF29" s="210">
        <f t="shared" si="23"/>
        <v>11428.712622275369</v>
      </c>
      <c r="CG29" s="210">
        <f t="shared" si="23"/>
        <v>11889.110998054235</v>
      </c>
      <c r="CH29" s="210">
        <f t="shared" si="24"/>
        <v>12349.509373833102</v>
      </c>
      <c r="CI29" s="210">
        <f t="shared" si="24"/>
        <v>12809.907749611968</v>
      </c>
      <c r="CJ29" s="210">
        <f t="shared" si="24"/>
        <v>14883.49671279127</v>
      </c>
      <c r="CK29" s="210">
        <f t="shared" si="24"/>
        <v>16957.085675970571</v>
      </c>
      <c r="CL29" s="210">
        <f t="shared" si="24"/>
        <v>19030.674639149875</v>
      </c>
      <c r="CM29" s="210">
        <f t="shared" si="24"/>
        <v>21104.263602329178</v>
      </c>
      <c r="CN29" s="210">
        <f t="shared" si="24"/>
        <v>23177.852565508481</v>
      </c>
      <c r="CO29" s="210">
        <f t="shared" si="24"/>
        <v>25251.441528687785</v>
      </c>
      <c r="CP29" s="210">
        <f t="shared" si="24"/>
        <v>27325.030491867088</v>
      </c>
      <c r="CQ29" s="210">
        <f t="shared" si="24"/>
        <v>29398.619455046392</v>
      </c>
      <c r="CR29" s="210">
        <f t="shared" si="25"/>
        <v>31472.208418225695</v>
      </c>
      <c r="CS29" s="210">
        <f t="shared" si="25"/>
        <v>33545.797381404991</v>
      </c>
      <c r="CT29" s="210">
        <f t="shared" si="25"/>
        <v>35619.386344584302</v>
      </c>
      <c r="CU29" s="210">
        <f t="shared" si="25"/>
        <v>37692.975307763605</v>
      </c>
      <c r="CV29" s="210">
        <f t="shared" si="25"/>
        <v>39766.564270942901</v>
      </c>
      <c r="CW29" s="210">
        <f t="shared" si="25"/>
        <v>41840.153234122205</v>
      </c>
      <c r="CX29" s="210">
        <f t="shared" si="25"/>
        <v>41840.153234122205</v>
      </c>
      <c r="CY29" s="210">
        <f t="shared" si="25"/>
        <v>41840.153234122205</v>
      </c>
      <c r="CZ29" s="210">
        <f t="shared" si="25"/>
        <v>41840.153234122205</v>
      </c>
      <c r="DA29" s="210">
        <f t="shared" si="25"/>
        <v>41840.153234122205</v>
      </c>
    </row>
    <row r="30" spans="1:105">
      <c r="A30" s="201" t="str">
        <f>Income!A77</f>
        <v>Wild foods consumed and sold</v>
      </c>
      <c r="B30" s="203">
        <f>Income!B77</f>
        <v>2081.5291403487377</v>
      </c>
      <c r="C30" s="203">
        <f>Income!C77</f>
        <v>3391.7142109768047</v>
      </c>
      <c r="D30" s="203">
        <f>Income!D77</f>
        <v>0</v>
      </c>
      <c r="E30" s="203">
        <f>Income!E77</f>
        <v>0</v>
      </c>
      <c r="F30" s="210">
        <f t="shared" si="16"/>
        <v>2081.5291403487377</v>
      </c>
      <c r="G30" s="210">
        <f t="shared" si="16"/>
        <v>2081.5291403487377</v>
      </c>
      <c r="H30" s="210">
        <f t="shared" si="16"/>
        <v>2081.5291403487377</v>
      </c>
      <c r="I30" s="210">
        <f t="shared" si="16"/>
        <v>2081.5291403487377</v>
      </c>
      <c r="J30" s="210">
        <f t="shared" si="16"/>
        <v>2081.5291403487377</v>
      </c>
      <c r="K30" s="210">
        <f t="shared" si="16"/>
        <v>2081.5291403487377</v>
      </c>
      <c r="L30" s="210">
        <f t="shared" si="16"/>
        <v>2081.5291403487377</v>
      </c>
      <c r="M30" s="210">
        <f t="shared" si="16"/>
        <v>2081.5291403487377</v>
      </c>
      <c r="N30" s="210">
        <f t="shared" si="16"/>
        <v>2081.5291403487377</v>
      </c>
      <c r="O30" s="210">
        <f t="shared" si="16"/>
        <v>2081.5291403487377</v>
      </c>
      <c r="P30" s="210">
        <f t="shared" si="17"/>
        <v>2081.5291403487377</v>
      </c>
      <c r="Q30" s="210">
        <f t="shared" si="17"/>
        <v>2081.5291403487377</v>
      </c>
      <c r="R30" s="210">
        <f t="shared" si="17"/>
        <v>2081.5291403487377</v>
      </c>
      <c r="S30" s="210">
        <f t="shared" si="17"/>
        <v>2081.5291403487377</v>
      </c>
      <c r="T30" s="210">
        <f t="shared" si="17"/>
        <v>2081.5291403487377</v>
      </c>
      <c r="U30" s="210">
        <f t="shared" si="17"/>
        <v>2081.5291403487377</v>
      </c>
      <c r="V30" s="210">
        <f t="shared" si="17"/>
        <v>2081.5291403487377</v>
      </c>
      <c r="W30" s="210">
        <f t="shared" si="17"/>
        <v>2081.5291403487377</v>
      </c>
      <c r="X30" s="210">
        <f t="shared" si="17"/>
        <v>2081.5291403487377</v>
      </c>
      <c r="Y30" s="210">
        <f t="shared" si="17"/>
        <v>2081.5291403487377</v>
      </c>
      <c r="Z30" s="210">
        <f t="shared" si="18"/>
        <v>2081.5291403487377</v>
      </c>
      <c r="AA30" s="210">
        <f t="shared" si="18"/>
        <v>2081.5291403487377</v>
      </c>
      <c r="AB30" s="210">
        <f t="shared" si="18"/>
        <v>2081.5291403487377</v>
      </c>
      <c r="AC30" s="210">
        <f t="shared" si="18"/>
        <v>2081.5291403487377</v>
      </c>
      <c r="AD30" s="210">
        <f t="shared" si="18"/>
        <v>2099.7261552185719</v>
      </c>
      <c r="AE30" s="210">
        <f t="shared" si="18"/>
        <v>2136.1201849582403</v>
      </c>
      <c r="AF30" s="210">
        <f t="shared" si="18"/>
        <v>2172.5142146979088</v>
      </c>
      <c r="AG30" s="210">
        <f t="shared" si="18"/>
        <v>2208.9082444375777</v>
      </c>
      <c r="AH30" s="210">
        <f t="shared" si="18"/>
        <v>2245.3022741772461</v>
      </c>
      <c r="AI30" s="210">
        <f t="shared" si="18"/>
        <v>2281.6963039169145</v>
      </c>
      <c r="AJ30" s="210">
        <f t="shared" si="19"/>
        <v>2318.090333656583</v>
      </c>
      <c r="AK30" s="210">
        <f t="shared" si="19"/>
        <v>2354.4843633962519</v>
      </c>
      <c r="AL30" s="210">
        <f t="shared" si="19"/>
        <v>2390.8783931359203</v>
      </c>
      <c r="AM30" s="210">
        <f t="shared" si="19"/>
        <v>2427.2724228755887</v>
      </c>
      <c r="AN30" s="210">
        <f t="shared" si="19"/>
        <v>2463.6664526152572</v>
      </c>
      <c r="AO30" s="210">
        <f t="shared" si="19"/>
        <v>2500.0604823549256</v>
      </c>
      <c r="AP30" s="210">
        <f t="shared" si="19"/>
        <v>2536.4545120945941</v>
      </c>
      <c r="AQ30" s="210">
        <f t="shared" si="19"/>
        <v>2572.8485418342625</v>
      </c>
      <c r="AR30" s="210">
        <f t="shared" si="19"/>
        <v>2609.2425715739314</v>
      </c>
      <c r="AS30" s="210">
        <f t="shared" si="19"/>
        <v>2645.6366013135998</v>
      </c>
      <c r="AT30" s="210">
        <f t="shared" si="20"/>
        <v>2682.0306310532683</v>
      </c>
      <c r="AU30" s="210">
        <f t="shared" si="20"/>
        <v>2718.4246607929372</v>
      </c>
      <c r="AV30" s="210">
        <f t="shared" si="20"/>
        <v>2754.8186905326056</v>
      </c>
      <c r="AW30" s="210">
        <f t="shared" si="20"/>
        <v>2791.2127202722741</v>
      </c>
      <c r="AX30" s="210">
        <f t="shared" si="20"/>
        <v>2827.6067500119425</v>
      </c>
      <c r="AY30" s="210">
        <f t="shared" si="20"/>
        <v>2864.0007797516109</v>
      </c>
      <c r="AZ30" s="210">
        <f t="shared" si="20"/>
        <v>2900.3948094912794</v>
      </c>
      <c r="BA30" s="210">
        <f t="shared" si="20"/>
        <v>2936.7888392309478</v>
      </c>
      <c r="BB30" s="210">
        <f t="shared" si="20"/>
        <v>2973.1828689706167</v>
      </c>
      <c r="BC30" s="210">
        <f t="shared" si="20"/>
        <v>3009.5768987102851</v>
      </c>
      <c r="BD30" s="210">
        <f t="shared" si="21"/>
        <v>3045.9709284499536</v>
      </c>
      <c r="BE30" s="210">
        <f t="shared" si="21"/>
        <v>3082.364958189622</v>
      </c>
      <c r="BF30" s="210">
        <f t="shared" si="21"/>
        <v>3118.7589879292909</v>
      </c>
      <c r="BG30" s="210">
        <f t="shared" si="21"/>
        <v>3155.1530176689594</v>
      </c>
      <c r="BH30" s="210">
        <f t="shared" si="21"/>
        <v>3191.5470474086278</v>
      </c>
      <c r="BI30" s="210">
        <f t="shared" si="21"/>
        <v>3227.9410771482962</v>
      </c>
      <c r="BJ30" s="210">
        <f t="shared" si="21"/>
        <v>3264.3351068879647</v>
      </c>
      <c r="BK30" s="210">
        <f t="shared" si="21"/>
        <v>3300.7291366276331</v>
      </c>
      <c r="BL30" s="210">
        <f t="shared" si="21"/>
        <v>3337.123166367302</v>
      </c>
      <c r="BM30" s="210">
        <f t="shared" si="21"/>
        <v>3373.5171961069705</v>
      </c>
      <c r="BN30" s="210">
        <f t="shared" si="22"/>
        <v>3312.8371363029255</v>
      </c>
      <c r="BO30" s="210">
        <f t="shared" si="22"/>
        <v>3155.0829869551671</v>
      </c>
      <c r="BP30" s="210">
        <f t="shared" si="22"/>
        <v>2997.3288376074088</v>
      </c>
      <c r="BQ30" s="210">
        <f t="shared" si="22"/>
        <v>2839.5746882596504</v>
      </c>
      <c r="BR30" s="210">
        <f t="shared" si="22"/>
        <v>2681.8205389118921</v>
      </c>
      <c r="BS30" s="210">
        <f t="shared" si="22"/>
        <v>2524.0663895641337</v>
      </c>
      <c r="BT30" s="210">
        <f t="shared" si="22"/>
        <v>2366.3122402163754</v>
      </c>
      <c r="BU30" s="210">
        <f t="shared" si="22"/>
        <v>2208.558090868617</v>
      </c>
      <c r="BV30" s="210">
        <f t="shared" si="22"/>
        <v>2050.8039415208586</v>
      </c>
      <c r="BW30" s="210">
        <f t="shared" si="22"/>
        <v>1893.0497921731003</v>
      </c>
      <c r="BX30" s="210">
        <f t="shared" si="23"/>
        <v>1735.2956428253417</v>
      </c>
      <c r="BY30" s="210">
        <f t="shared" si="23"/>
        <v>1577.5414934775836</v>
      </c>
      <c r="BZ30" s="210">
        <f t="shared" si="23"/>
        <v>1419.7873441298252</v>
      </c>
      <c r="CA30" s="210">
        <f t="shared" si="23"/>
        <v>1262.0331947820669</v>
      </c>
      <c r="CB30" s="210">
        <f t="shared" si="23"/>
        <v>1104.2790454343085</v>
      </c>
      <c r="CC30" s="210">
        <f t="shared" si="23"/>
        <v>946.52489608655014</v>
      </c>
      <c r="CD30" s="210">
        <f t="shared" si="23"/>
        <v>788.77074673879179</v>
      </c>
      <c r="CE30" s="210">
        <f t="shared" si="23"/>
        <v>631.01659739103343</v>
      </c>
      <c r="CF30" s="210">
        <f t="shared" si="23"/>
        <v>473.26244804327507</v>
      </c>
      <c r="CG30" s="210">
        <f t="shared" si="23"/>
        <v>315.50829869551671</v>
      </c>
      <c r="CH30" s="210">
        <f t="shared" si="24"/>
        <v>157.75414934775836</v>
      </c>
      <c r="CI30" s="210">
        <f t="shared" si="24"/>
        <v>0</v>
      </c>
      <c r="CJ30" s="210">
        <f t="shared" si="24"/>
        <v>0</v>
      </c>
      <c r="CK30" s="210">
        <f t="shared" si="24"/>
        <v>0</v>
      </c>
      <c r="CL30" s="210">
        <f t="shared" si="24"/>
        <v>0</v>
      </c>
      <c r="CM30" s="210">
        <f t="shared" si="24"/>
        <v>0</v>
      </c>
      <c r="CN30" s="210">
        <f t="shared" si="24"/>
        <v>0</v>
      </c>
      <c r="CO30" s="210">
        <f t="shared" si="24"/>
        <v>0</v>
      </c>
      <c r="CP30" s="210">
        <f t="shared" si="24"/>
        <v>0</v>
      </c>
      <c r="CQ30" s="210">
        <f t="shared" si="24"/>
        <v>0</v>
      </c>
      <c r="CR30" s="210">
        <f t="shared" si="25"/>
        <v>0</v>
      </c>
      <c r="CS30" s="210">
        <f t="shared" si="25"/>
        <v>0</v>
      </c>
      <c r="CT30" s="210">
        <f t="shared" si="25"/>
        <v>0</v>
      </c>
      <c r="CU30" s="210">
        <f t="shared" si="25"/>
        <v>0</v>
      </c>
      <c r="CV30" s="210">
        <f t="shared" si="25"/>
        <v>0</v>
      </c>
      <c r="CW30" s="210">
        <f t="shared" si="25"/>
        <v>0</v>
      </c>
      <c r="CX30" s="210">
        <f t="shared" si="25"/>
        <v>0</v>
      </c>
      <c r="CY30" s="210">
        <f t="shared" si="25"/>
        <v>0</v>
      </c>
      <c r="CZ30" s="210">
        <f t="shared" si="25"/>
        <v>0</v>
      </c>
      <c r="DA30" s="210">
        <f t="shared" si="25"/>
        <v>0</v>
      </c>
    </row>
    <row r="31" spans="1:105">
      <c r="A31" s="201" t="str">
        <f>Income!A78</f>
        <v>Labour - casual</v>
      </c>
      <c r="B31" s="203">
        <f>Income!B78</f>
        <v>12130.269869815804</v>
      </c>
      <c r="C31" s="203">
        <f>Income!C78</f>
        <v>21404.918573139941</v>
      </c>
      <c r="D31" s="203">
        <f>Income!D78</f>
        <v>0</v>
      </c>
      <c r="E31" s="203">
        <f>Income!E78</f>
        <v>0</v>
      </c>
      <c r="F31" s="210">
        <f t="shared" si="16"/>
        <v>12130.269869815804</v>
      </c>
      <c r="G31" s="210">
        <f t="shared" si="16"/>
        <v>12130.269869815804</v>
      </c>
      <c r="H31" s="210">
        <f t="shared" si="16"/>
        <v>12130.269869815804</v>
      </c>
      <c r="I31" s="210">
        <f t="shared" si="16"/>
        <v>12130.269869815804</v>
      </c>
      <c r="J31" s="210">
        <f t="shared" si="16"/>
        <v>12130.269869815804</v>
      </c>
      <c r="K31" s="210">
        <f t="shared" si="16"/>
        <v>12130.269869815804</v>
      </c>
      <c r="L31" s="210">
        <f t="shared" si="16"/>
        <v>12130.269869815804</v>
      </c>
      <c r="M31" s="210">
        <f t="shared" si="16"/>
        <v>12130.269869815804</v>
      </c>
      <c r="N31" s="210">
        <f t="shared" si="16"/>
        <v>12130.269869815804</v>
      </c>
      <c r="O31" s="210">
        <f t="shared" si="16"/>
        <v>12130.269869815804</v>
      </c>
      <c r="P31" s="210">
        <f t="shared" si="17"/>
        <v>12130.269869815804</v>
      </c>
      <c r="Q31" s="210">
        <f t="shared" si="17"/>
        <v>12130.269869815804</v>
      </c>
      <c r="R31" s="210">
        <f t="shared" si="17"/>
        <v>12130.269869815804</v>
      </c>
      <c r="S31" s="210">
        <f t="shared" si="17"/>
        <v>12130.269869815804</v>
      </c>
      <c r="T31" s="210">
        <f t="shared" si="17"/>
        <v>12130.269869815804</v>
      </c>
      <c r="U31" s="210">
        <f t="shared" si="17"/>
        <v>12130.269869815804</v>
      </c>
      <c r="V31" s="210">
        <f t="shared" si="17"/>
        <v>12130.269869815804</v>
      </c>
      <c r="W31" s="210">
        <f t="shared" si="17"/>
        <v>12130.269869815804</v>
      </c>
      <c r="X31" s="210">
        <f t="shared" si="17"/>
        <v>12130.269869815804</v>
      </c>
      <c r="Y31" s="210">
        <f t="shared" si="17"/>
        <v>12130.269869815804</v>
      </c>
      <c r="Z31" s="210">
        <f t="shared" si="18"/>
        <v>12130.269869815804</v>
      </c>
      <c r="AA31" s="210">
        <f t="shared" si="18"/>
        <v>12130.269869815804</v>
      </c>
      <c r="AB31" s="210">
        <f t="shared" si="18"/>
        <v>12130.269869815804</v>
      </c>
      <c r="AC31" s="210">
        <f t="shared" si="18"/>
        <v>12130.269869815804</v>
      </c>
      <c r="AD31" s="210">
        <f t="shared" si="18"/>
        <v>12259.08443513975</v>
      </c>
      <c r="AE31" s="210">
        <f t="shared" si="18"/>
        <v>12516.713565787642</v>
      </c>
      <c r="AF31" s="210">
        <f t="shared" si="18"/>
        <v>12774.342696435535</v>
      </c>
      <c r="AG31" s="210">
        <f t="shared" si="18"/>
        <v>13031.971827083427</v>
      </c>
      <c r="AH31" s="210">
        <f t="shared" si="18"/>
        <v>13289.600957731322</v>
      </c>
      <c r="AI31" s="210">
        <f t="shared" si="18"/>
        <v>13547.230088379214</v>
      </c>
      <c r="AJ31" s="210">
        <f t="shared" si="19"/>
        <v>13804.859219027107</v>
      </c>
      <c r="AK31" s="210">
        <f t="shared" si="19"/>
        <v>14062.488349674999</v>
      </c>
      <c r="AL31" s="210">
        <f t="shared" si="19"/>
        <v>14320.117480322891</v>
      </c>
      <c r="AM31" s="210">
        <f t="shared" si="19"/>
        <v>14577.746610970784</v>
      </c>
      <c r="AN31" s="210">
        <f t="shared" si="19"/>
        <v>14835.375741618678</v>
      </c>
      <c r="AO31" s="210">
        <f t="shared" si="19"/>
        <v>15093.004872266571</v>
      </c>
      <c r="AP31" s="210">
        <f t="shared" si="19"/>
        <v>15350.634002914463</v>
      </c>
      <c r="AQ31" s="210">
        <f t="shared" si="19"/>
        <v>15608.263133562356</v>
      </c>
      <c r="AR31" s="210">
        <f t="shared" si="19"/>
        <v>15865.892264210248</v>
      </c>
      <c r="AS31" s="210">
        <f t="shared" si="19"/>
        <v>16123.52139485814</v>
      </c>
      <c r="AT31" s="210">
        <f t="shared" si="20"/>
        <v>16381.150525506033</v>
      </c>
      <c r="AU31" s="210">
        <f t="shared" si="20"/>
        <v>16638.779656153925</v>
      </c>
      <c r="AV31" s="210">
        <f t="shared" si="20"/>
        <v>16896.408786801818</v>
      </c>
      <c r="AW31" s="210">
        <f t="shared" si="20"/>
        <v>17154.03791744971</v>
      </c>
      <c r="AX31" s="210">
        <f t="shared" si="20"/>
        <v>17411.667048097603</v>
      </c>
      <c r="AY31" s="210">
        <f t="shared" si="20"/>
        <v>17669.296178745499</v>
      </c>
      <c r="AZ31" s="210">
        <f t="shared" si="20"/>
        <v>17926.925309393388</v>
      </c>
      <c r="BA31" s="210">
        <f t="shared" si="20"/>
        <v>18184.554440041284</v>
      </c>
      <c r="BB31" s="210">
        <f t="shared" si="20"/>
        <v>18442.183570689172</v>
      </c>
      <c r="BC31" s="210">
        <f t="shared" si="20"/>
        <v>18699.812701337069</v>
      </c>
      <c r="BD31" s="210">
        <f t="shared" si="21"/>
        <v>18957.441831984961</v>
      </c>
      <c r="BE31" s="210">
        <f t="shared" si="21"/>
        <v>19215.070962632853</v>
      </c>
      <c r="BF31" s="210">
        <f t="shared" si="21"/>
        <v>19472.700093280746</v>
      </c>
      <c r="BG31" s="210">
        <f t="shared" si="21"/>
        <v>19730.329223928638</v>
      </c>
      <c r="BH31" s="210">
        <f t="shared" si="21"/>
        <v>19987.958354576531</v>
      </c>
      <c r="BI31" s="210">
        <f t="shared" si="21"/>
        <v>20245.587485224423</v>
      </c>
      <c r="BJ31" s="210">
        <f t="shared" si="21"/>
        <v>20503.216615872319</v>
      </c>
      <c r="BK31" s="210">
        <f t="shared" si="21"/>
        <v>20760.845746520208</v>
      </c>
      <c r="BL31" s="210">
        <f t="shared" si="21"/>
        <v>21018.474877168104</v>
      </c>
      <c r="BM31" s="210">
        <f t="shared" si="21"/>
        <v>21276.104007815993</v>
      </c>
      <c r="BN31" s="210">
        <f t="shared" si="22"/>
        <v>20907.129769113431</v>
      </c>
      <c r="BO31" s="210">
        <f t="shared" si="22"/>
        <v>19911.552161060412</v>
      </c>
      <c r="BP31" s="210">
        <f t="shared" si="22"/>
        <v>18915.974553007389</v>
      </c>
      <c r="BQ31" s="210">
        <f t="shared" si="22"/>
        <v>17920.396944954369</v>
      </c>
      <c r="BR31" s="210">
        <f t="shared" si="22"/>
        <v>16924.81933690135</v>
      </c>
      <c r="BS31" s="210">
        <f t="shared" si="22"/>
        <v>15929.241728848328</v>
      </c>
      <c r="BT31" s="210">
        <f t="shared" si="22"/>
        <v>14933.664120795307</v>
      </c>
      <c r="BU31" s="210">
        <f t="shared" si="22"/>
        <v>13938.086512742288</v>
      </c>
      <c r="BV31" s="210">
        <f t="shared" si="22"/>
        <v>12942.508904689266</v>
      </c>
      <c r="BW31" s="210">
        <f t="shared" si="22"/>
        <v>11946.931296636247</v>
      </c>
      <c r="BX31" s="210">
        <f t="shared" si="23"/>
        <v>10951.353688583225</v>
      </c>
      <c r="BY31" s="210">
        <f t="shared" si="23"/>
        <v>9955.7760805302041</v>
      </c>
      <c r="BZ31" s="210">
        <f t="shared" si="23"/>
        <v>8960.1984724771828</v>
      </c>
      <c r="CA31" s="210">
        <f t="shared" si="23"/>
        <v>7964.6208644241633</v>
      </c>
      <c r="CB31" s="210">
        <f t="shared" si="23"/>
        <v>6969.0432563711438</v>
      </c>
      <c r="CC31" s="210">
        <f t="shared" si="23"/>
        <v>5973.4656483181225</v>
      </c>
      <c r="CD31" s="210">
        <f t="shared" si="23"/>
        <v>4977.8880402651012</v>
      </c>
      <c r="CE31" s="210">
        <f t="shared" si="23"/>
        <v>3982.3104322120817</v>
      </c>
      <c r="CF31" s="210">
        <f t="shared" si="23"/>
        <v>2986.7328241590621</v>
      </c>
      <c r="CG31" s="210">
        <f t="shared" si="23"/>
        <v>1991.1552161060426</v>
      </c>
      <c r="CH31" s="210">
        <f t="shared" si="24"/>
        <v>995.5776080530195</v>
      </c>
      <c r="CI31" s="210">
        <f t="shared" si="24"/>
        <v>0</v>
      </c>
      <c r="CJ31" s="210">
        <f t="shared" si="24"/>
        <v>0</v>
      </c>
      <c r="CK31" s="210">
        <f t="shared" si="24"/>
        <v>0</v>
      </c>
      <c r="CL31" s="210">
        <f t="shared" si="24"/>
        <v>0</v>
      </c>
      <c r="CM31" s="210">
        <f t="shared" si="24"/>
        <v>0</v>
      </c>
      <c r="CN31" s="210">
        <f t="shared" si="24"/>
        <v>0</v>
      </c>
      <c r="CO31" s="210">
        <f t="shared" si="24"/>
        <v>0</v>
      </c>
      <c r="CP31" s="210">
        <f t="shared" si="24"/>
        <v>0</v>
      </c>
      <c r="CQ31" s="210">
        <f t="shared" si="24"/>
        <v>0</v>
      </c>
      <c r="CR31" s="210">
        <f t="shared" si="25"/>
        <v>0</v>
      </c>
      <c r="CS31" s="210">
        <f t="shared" si="25"/>
        <v>0</v>
      </c>
      <c r="CT31" s="210">
        <f t="shared" si="25"/>
        <v>0</v>
      </c>
      <c r="CU31" s="210">
        <f t="shared" si="25"/>
        <v>0</v>
      </c>
      <c r="CV31" s="210">
        <f t="shared" si="25"/>
        <v>0</v>
      </c>
      <c r="CW31" s="210">
        <f t="shared" si="25"/>
        <v>0</v>
      </c>
      <c r="CX31" s="210">
        <f t="shared" si="25"/>
        <v>0</v>
      </c>
      <c r="CY31" s="210">
        <f t="shared" si="25"/>
        <v>0</v>
      </c>
      <c r="CZ31" s="210">
        <f t="shared" si="25"/>
        <v>0</v>
      </c>
      <c r="DA31" s="210">
        <f t="shared" si="25"/>
        <v>0</v>
      </c>
    </row>
    <row r="32" spans="1:105">
      <c r="A32" s="201" t="str">
        <f>Income!A79</f>
        <v>Labour - formal emp</v>
      </c>
      <c r="B32" s="203">
        <f>Income!B79</f>
        <v>0</v>
      </c>
      <c r="C32" s="203">
        <f>Income!C79</f>
        <v>20961.667226637765</v>
      </c>
      <c r="D32" s="203">
        <f>Income!D79</f>
        <v>113542.36414428789</v>
      </c>
      <c r="E32" s="203">
        <f>Income!E79</f>
        <v>309434.13525036693</v>
      </c>
      <c r="F32" s="210">
        <f t="shared" si="16"/>
        <v>0</v>
      </c>
      <c r="G32" s="210">
        <f t="shared" si="16"/>
        <v>0</v>
      </c>
      <c r="H32" s="210">
        <f t="shared" si="16"/>
        <v>0</v>
      </c>
      <c r="I32" s="210">
        <f t="shared" si="16"/>
        <v>0</v>
      </c>
      <c r="J32" s="210">
        <f t="shared" si="16"/>
        <v>0</v>
      </c>
      <c r="K32" s="210">
        <f t="shared" si="16"/>
        <v>0</v>
      </c>
      <c r="L32" s="210">
        <f t="shared" si="16"/>
        <v>0</v>
      </c>
      <c r="M32" s="210">
        <f t="shared" si="16"/>
        <v>0</v>
      </c>
      <c r="N32" s="210">
        <f t="shared" si="16"/>
        <v>0</v>
      </c>
      <c r="O32" s="210">
        <f t="shared" si="16"/>
        <v>0</v>
      </c>
      <c r="P32" s="210">
        <f t="shared" si="17"/>
        <v>0</v>
      </c>
      <c r="Q32" s="210">
        <f t="shared" si="17"/>
        <v>0</v>
      </c>
      <c r="R32" s="210">
        <f t="shared" si="17"/>
        <v>0</v>
      </c>
      <c r="S32" s="210">
        <f t="shared" si="17"/>
        <v>0</v>
      </c>
      <c r="T32" s="210">
        <f t="shared" si="17"/>
        <v>0</v>
      </c>
      <c r="U32" s="210">
        <f t="shared" si="17"/>
        <v>0</v>
      </c>
      <c r="V32" s="210">
        <f t="shared" si="17"/>
        <v>0</v>
      </c>
      <c r="W32" s="210">
        <f t="shared" si="17"/>
        <v>0</v>
      </c>
      <c r="X32" s="210">
        <f t="shared" si="17"/>
        <v>0</v>
      </c>
      <c r="Y32" s="210">
        <f t="shared" si="17"/>
        <v>0</v>
      </c>
      <c r="Z32" s="210">
        <f t="shared" si="18"/>
        <v>0</v>
      </c>
      <c r="AA32" s="210">
        <f t="shared" si="18"/>
        <v>0</v>
      </c>
      <c r="AB32" s="210">
        <f t="shared" si="18"/>
        <v>0</v>
      </c>
      <c r="AC32" s="210">
        <f t="shared" si="18"/>
        <v>0</v>
      </c>
      <c r="AD32" s="210">
        <f t="shared" si="18"/>
        <v>291.13426703663561</v>
      </c>
      <c r="AE32" s="210">
        <f t="shared" si="18"/>
        <v>873.40280110990682</v>
      </c>
      <c r="AF32" s="210">
        <f t="shared" si="18"/>
        <v>1455.6713351831781</v>
      </c>
      <c r="AG32" s="210">
        <f t="shared" si="18"/>
        <v>2037.9398692564491</v>
      </c>
      <c r="AH32" s="210">
        <f t="shared" si="18"/>
        <v>2620.2084033297206</v>
      </c>
      <c r="AI32" s="210">
        <f t="shared" si="18"/>
        <v>3202.4769374029916</v>
      </c>
      <c r="AJ32" s="210">
        <f t="shared" si="19"/>
        <v>3784.7454714762625</v>
      </c>
      <c r="AK32" s="210">
        <f t="shared" si="19"/>
        <v>4367.014005549534</v>
      </c>
      <c r="AL32" s="210">
        <f t="shared" si="19"/>
        <v>4949.2825396228054</v>
      </c>
      <c r="AM32" s="210">
        <f t="shared" si="19"/>
        <v>5531.5510736960769</v>
      </c>
      <c r="AN32" s="210">
        <f t="shared" si="19"/>
        <v>6113.8196077693474</v>
      </c>
      <c r="AO32" s="210">
        <f t="shared" si="19"/>
        <v>6696.0881418426188</v>
      </c>
      <c r="AP32" s="210">
        <f t="shared" si="19"/>
        <v>7278.3566759158903</v>
      </c>
      <c r="AQ32" s="210">
        <f t="shared" si="19"/>
        <v>7860.6252099891617</v>
      </c>
      <c r="AR32" s="210">
        <f t="shared" si="19"/>
        <v>8442.8937440624341</v>
      </c>
      <c r="AS32" s="210">
        <f t="shared" si="19"/>
        <v>9025.1622781357055</v>
      </c>
      <c r="AT32" s="210">
        <f t="shared" si="20"/>
        <v>9607.4308122089751</v>
      </c>
      <c r="AU32" s="210">
        <f t="shared" si="20"/>
        <v>10189.699346282247</v>
      </c>
      <c r="AV32" s="210">
        <f t="shared" si="20"/>
        <v>10771.967880355518</v>
      </c>
      <c r="AW32" s="210">
        <f t="shared" si="20"/>
        <v>11354.236414428789</v>
      </c>
      <c r="AX32" s="210">
        <f t="shared" si="20"/>
        <v>11936.504948502061</v>
      </c>
      <c r="AY32" s="210">
        <f t="shared" si="20"/>
        <v>12518.773482575332</v>
      </c>
      <c r="AZ32" s="210">
        <f t="shared" si="20"/>
        <v>13101.042016648604</v>
      </c>
      <c r="BA32" s="210">
        <f t="shared" si="20"/>
        <v>13683.310550721875</v>
      </c>
      <c r="BB32" s="210">
        <f t="shared" si="20"/>
        <v>14265.579084795145</v>
      </c>
      <c r="BC32" s="210">
        <f t="shared" si="20"/>
        <v>14847.847618868416</v>
      </c>
      <c r="BD32" s="210">
        <f t="shared" si="21"/>
        <v>15430.11615294169</v>
      </c>
      <c r="BE32" s="210">
        <f t="shared" si="21"/>
        <v>16012.384687014959</v>
      </c>
      <c r="BF32" s="210">
        <f t="shared" si="21"/>
        <v>16594.653221088229</v>
      </c>
      <c r="BG32" s="210">
        <f t="shared" si="21"/>
        <v>17176.9217551615</v>
      </c>
      <c r="BH32" s="210">
        <f t="shared" si="21"/>
        <v>17759.190289234772</v>
      </c>
      <c r="BI32" s="210">
        <f t="shared" si="21"/>
        <v>18341.458823308043</v>
      </c>
      <c r="BJ32" s="210">
        <f t="shared" si="21"/>
        <v>18923.727357381315</v>
      </c>
      <c r="BK32" s="210">
        <f t="shared" si="21"/>
        <v>19505.995891454586</v>
      </c>
      <c r="BL32" s="210">
        <f t="shared" si="21"/>
        <v>20088.264425527857</v>
      </c>
      <c r="BM32" s="210">
        <f t="shared" si="21"/>
        <v>20670.532959601129</v>
      </c>
      <c r="BN32" s="210">
        <f t="shared" si="22"/>
        <v>23114.706689838931</v>
      </c>
      <c r="BO32" s="210">
        <f t="shared" si="22"/>
        <v>27420.785616241261</v>
      </c>
      <c r="BP32" s="210">
        <f t="shared" si="22"/>
        <v>31726.864542643591</v>
      </c>
      <c r="BQ32" s="210">
        <f t="shared" si="22"/>
        <v>36032.943469045924</v>
      </c>
      <c r="BR32" s="210">
        <f t="shared" si="22"/>
        <v>40339.02239544825</v>
      </c>
      <c r="BS32" s="210">
        <f t="shared" si="22"/>
        <v>44645.101321850583</v>
      </c>
      <c r="BT32" s="210">
        <f t="shared" si="22"/>
        <v>48951.180248252916</v>
      </c>
      <c r="BU32" s="210">
        <f t="shared" si="22"/>
        <v>53257.25917465525</v>
      </c>
      <c r="BV32" s="210">
        <f t="shared" si="22"/>
        <v>57563.338101057576</v>
      </c>
      <c r="BW32" s="210">
        <f t="shared" si="22"/>
        <v>61869.417027459909</v>
      </c>
      <c r="BX32" s="210">
        <f t="shared" si="23"/>
        <v>66175.495953862235</v>
      </c>
      <c r="BY32" s="210">
        <f t="shared" si="23"/>
        <v>70481.574880264568</v>
      </c>
      <c r="BZ32" s="210">
        <f t="shared" si="23"/>
        <v>74787.653806666902</v>
      </c>
      <c r="CA32" s="210">
        <f t="shared" si="23"/>
        <v>79093.732733069235</v>
      </c>
      <c r="CB32" s="210">
        <f t="shared" si="23"/>
        <v>83399.811659471568</v>
      </c>
      <c r="CC32" s="210">
        <f t="shared" si="23"/>
        <v>87705.890585873887</v>
      </c>
      <c r="CD32" s="210">
        <f t="shared" si="23"/>
        <v>92011.969512276235</v>
      </c>
      <c r="CE32" s="210">
        <f t="shared" si="23"/>
        <v>96318.048438678554</v>
      </c>
      <c r="CF32" s="210">
        <f t="shared" si="23"/>
        <v>100624.12736508087</v>
      </c>
      <c r="CG32" s="210">
        <f t="shared" si="23"/>
        <v>104930.20629148322</v>
      </c>
      <c r="CH32" s="210">
        <f t="shared" si="24"/>
        <v>109236.28521788554</v>
      </c>
      <c r="CI32" s="210">
        <f t="shared" si="24"/>
        <v>113542.36414428789</v>
      </c>
      <c r="CJ32" s="210">
        <f t="shared" si="24"/>
        <v>127534.63350900782</v>
      </c>
      <c r="CK32" s="210">
        <f t="shared" si="24"/>
        <v>141526.90287372775</v>
      </c>
      <c r="CL32" s="210">
        <f t="shared" si="24"/>
        <v>155519.1722384477</v>
      </c>
      <c r="CM32" s="210">
        <f t="shared" si="24"/>
        <v>169511.44160316762</v>
      </c>
      <c r="CN32" s="210">
        <f t="shared" si="24"/>
        <v>183503.71096788754</v>
      </c>
      <c r="CO32" s="210">
        <f t="shared" si="24"/>
        <v>197495.98033260749</v>
      </c>
      <c r="CP32" s="210">
        <f t="shared" si="24"/>
        <v>211488.24969732741</v>
      </c>
      <c r="CQ32" s="210">
        <f t="shared" si="24"/>
        <v>225480.51906204736</v>
      </c>
      <c r="CR32" s="210">
        <f t="shared" si="25"/>
        <v>239472.78842676728</v>
      </c>
      <c r="CS32" s="210">
        <f t="shared" si="25"/>
        <v>253465.0577914872</v>
      </c>
      <c r="CT32" s="210">
        <f t="shared" si="25"/>
        <v>267457.32715620717</v>
      </c>
      <c r="CU32" s="210">
        <f t="shared" si="25"/>
        <v>281449.59652092709</v>
      </c>
      <c r="CV32" s="210">
        <f t="shared" si="25"/>
        <v>295441.86588564701</v>
      </c>
      <c r="CW32" s="210">
        <f t="shared" si="25"/>
        <v>309434.13525036693</v>
      </c>
      <c r="CX32" s="210">
        <f t="shared" si="25"/>
        <v>309434.13525036693</v>
      </c>
      <c r="CY32" s="210">
        <f t="shared" si="25"/>
        <v>309434.13525036693</v>
      </c>
      <c r="CZ32" s="210">
        <f t="shared" si="25"/>
        <v>309434.13525036693</v>
      </c>
      <c r="DA32" s="210">
        <f t="shared" si="25"/>
        <v>309434.13525036693</v>
      </c>
    </row>
    <row r="33" spans="1:105">
      <c r="A33" s="201" t="str">
        <f>Income!A81</f>
        <v>Self - employment</v>
      </c>
      <c r="B33" s="203">
        <f>Income!B81</f>
        <v>0</v>
      </c>
      <c r="C33" s="203">
        <f>Income!C81</f>
        <v>9345.4099718760026</v>
      </c>
      <c r="D33" s="203">
        <f>Income!D81</f>
        <v>1746.8056022198136</v>
      </c>
      <c r="E33" s="203">
        <f>Income!E81</f>
        <v>0</v>
      </c>
      <c r="F33" s="210">
        <f t="shared" si="16"/>
        <v>0</v>
      </c>
      <c r="G33" s="210">
        <f t="shared" si="16"/>
        <v>0</v>
      </c>
      <c r="H33" s="210">
        <f t="shared" si="16"/>
        <v>0</v>
      </c>
      <c r="I33" s="210">
        <f t="shared" si="16"/>
        <v>0</v>
      </c>
      <c r="J33" s="210">
        <f t="shared" si="16"/>
        <v>0</v>
      </c>
      <c r="K33" s="210">
        <f t="shared" si="16"/>
        <v>0</v>
      </c>
      <c r="L33" s="210">
        <f t="shared" si="16"/>
        <v>0</v>
      </c>
      <c r="M33" s="210">
        <f t="shared" si="16"/>
        <v>0</v>
      </c>
      <c r="N33" s="210">
        <f t="shared" si="16"/>
        <v>0</v>
      </c>
      <c r="O33" s="210">
        <f t="shared" si="16"/>
        <v>0</v>
      </c>
      <c r="P33" s="210">
        <f t="shared" si="17"/>
        <v>0</v>
      </c>
      <c r="Q33" s="210">
        <f t="shared" si="17"/>
        <v>0</v>
      </c>
      <c r="R33" s="210">
        <f t="shared" si="17"/>
        <v>0</v>
      </c>
      <c r="S33" s="210">
        <f t="shared" si="17"/>
        <v>0</v>
      </c>
      <c r="T33" s="210">
        <f t="shared" si="17"/>
        <v>0</v>
      </c>
      <c r="U33" s="210">
        <f t="shared" si="17"/>
        <v>0</v>
      </c>
      <c r="V33" s="210">
        <f t="shared" si="17"/>
        <v>0</v>
      </c>
      <c r="W33" s="210">
        <f t="shared" si="17"/>
        <v>0</v>
      </c>
      <c r="X33" s="210">
        <f t="shared" si="17"/>
        <v>0</v>
      </c>
      <c r="Y33" s="210">
        <f t="shared" si="17"/>
        <v>0</v>
      </c>
      <c r="Z33" s="210">
        <f t="shared" si="18"/>
        <v>0</v>
      </c>
      <c r="AA33" s="210">
        <f t="shared" si="18"/>
        <v>0</v>
      </c>
      <c r="AB33" s="210">
        <f t="shared" si="18"/>
        <v>0</v>
      </c>
      <c r="AC33" s="210">
        <f t="shared" si="18"/>
        <v>0</v>
      </c>
      <c r="AD33" s="210">
        <f t="shared" si="18"/>
        <v>129.79736072050002</v>
      </c>
      <c r="AE33" s="210">
        <f t="shared" si="18"/>
        <v>389.39208216150007</v>
      </c>
      <c r="AF33" s="210">
        <f t="shared" si="18"/>
        <v>648.98680360250023</v>
      </c>
      <c r="AG33" s="210">
        <f t="shared" si="18"/>
        <v>908.58152504350028</v>
      </c>
      <c r="AH33" s="210">
        <f t="shared" si="18"/>
        <v>1168.1762464845003</v>
      </c>
      <c r="AI33" s="210">
        <f t="shared" si="18"/>
        <v>1427.7709679255004</v>
      </c>
      <c r="AJ33" s="210">
        <f t="shared" si="19"/>
        <v>1687.3656893665004</v>
      </c>
      <c r="AK33" s="210">
        <f t="shared" si="19"/>
        <v>1946.9604108075005</v>
      </c>
      <c r="AL33" s="210">
        <f t="shared" si="19"/>
        <v>2206.5551322485007</v>
      </c>
      <c r="AM33" s="210">
        <f t="shared" si="19"/>
        <v>2466.1498536895006</v>
      </c>
      <c r="AN33" s="210">
        <f t="shared" si="19"/>
        <v>2725.7445751305004</v>
      </c>
      <c r="AO33" s="210">
        <f t="shared" si="19"/>
        <v>2985.3392965715011</v>
      </c>
      <c r="AP33" s="210">
        <f t="shared" si="19"/>
        <v>3244.9340180125009</v>
      </c>
      <c r="AQ33" s="210">
        <f t="shared" si="19"/>
        <v>3504.5287394535012</v>
      </c>
      <c r="AR33" s="210">
        <f t="shared" si="19"/>
        <v>3764.1234608945006</v>
      </c>
      <c r="AS33" s="210">
        <f t="shared" si="19"/>
        <v>4023.7181823355008</v>
      </c>
      <c r="AT33" s="210">
        <f t="shared" si="20"/>
        <v>4283.3129037765011</v>
      </c>
      <c r="AU33" s="210">
        <f t="shared" si="20"/>
        <v>4542.9076252175018</v>
      </c>
      <c r="AV33" s="210">
        <f t="shared" si="20"/>
        <v>4802.5023466585008</v>
      </c>
      <c r="AW33" s="210">
        <f t="shared" si="20"/>
        <v>5062.0970680995015</v>
      </c>
      <c r="AX33" s="210">
        <f t="shared" si="20"/>
        <v>5321.6917895405022</v>
      </c>
      <c r="AY33" s="210">
        <f t="shared" si="20"/>
        <v>5581.2865109815011</v>
      </c>
      <c r="AZ33" s="210">
        <f t="shared" si="20"/>
        <v>5840.8812324225019</v>
      </c>
      <c r="BA33" s="210">
        <f t="shared" si="20"/>
        <v>6100.4759538635017</v>
      </c>
      <c r="BB33" s="210">
        <f t="shared" si="20"/>
        <v>6360.0706753045015</v>
      </c>
      <c r="BC33" s="210">
        <f t="shared" si="20"/>
        <v>6619.6653967455022</v>
      </c>
      <c r="BD33" s="210">
        <f t="shared" si="21"/>
        <v>6879.260118186502</v>
      </c>
      <c r="BE33" s="210">
        <f t="shared" si="21"/>
        <v>7138.8548396275019</v>
      </c>
      <c r="BF33" s="210">
        <f t="shared" si="21"/>
        <v>7398.4495610685017</v>
      </c>
      <c r="BG33" s="210">
        <f t="shared" si="21"/>
        <v>7658.0442825095024</v>
      </c>
      <c r="BH33" s="210">
        <f t="shared" si="21"/>
        <v>7917.6390039505022</v>
      </c>
      <c r="BI33" s="210">
        <f t="shared" si="21"/>
        <v>8177.233725391503</v>
      </c>
      <c r="BJ33" s="210">
        <f t="shared" si="21"/>
        <v>8436.8284468325019</v>
      </c>
      <c r="BK33" s="210">
        <f t="shared" si="21"/>
        <v>8696.4231682735026</v>
      </c>
      <c r="BL33" s="210">
        <f t="shared" si="21"/>
        <v>8956.0178897145015</v>
      </c>
      <c r="BM33" s="210">
        <f t="shared" si="21"/>
        <v>9215.6126111555022</v>
      </c>
      <c r="BN33" s="210">
        <f t="shared" si="22"/>
        <v>9168.6982423491136</v>
      </c>
      <c r="BO33" s="210">
        <f t="shared" si="22"/>
        <v>8815.2747832953391</v>
      </c>
      <c r="BP33" s="210">
        <f t="shared" si="22"/>
        <v>8461.8513242415629</v>
      </c>
      <c r="BQ33" s="210">
        <f t="shared" si="22"/>
        <v>8108.4278651877858</v>
      </c>
      <c r="BR33" s="210">
        <f t="shared" si="22"/>
        <v>7755.0044061340095</v>
      </c>
      <c r="BS33" s="210">
        <f t="shared" si="22"/>
        <v>7401.5809470802333</v>
      </c>
      <c r="BT33" s="210">
        <f t="shared" si="22"/>
        <v>7048.157488026457</v>
      </c>
      <c r="BU33" s="210">
        <f t="shared" si="22"/>
        <v>6694.7340289726808</v>
      </c>
      <c r="BV33" s="210">
        <f t="shared" si="22"/>
        <v>6341.3105699189045</v>
      </c>
      <c r="BW33" s="210">
        <f t="shared" si="22"/>
        <v>5987.8871108651283</v>
      </c>
      <c r="BX33" s="210">
        <f t="shared" si="23"/>
        <v>5634.4636518113512</v>
      </c>
      <c r="BY33" s="210">
        <f t="shared" si="23"/>
        <v>5281.0401927575758</v>
      </c>
      <c r="BZ33" s="210">
        <f t="shared" si="23"/>
        <v>4927.6167337037996</v>
      </c>
      <c r="CA33" s="210">
        <f t="shared" si="23"/>
        <v>4574.1932746500233</v>
      </c>
      <c r="CB33" s="210">
        <f t="shared" si="23"/>
        <v>4220.7698155962471</v>
      </c>
      <c r="CC33" s="210">
        <f t="shared" si="23"/>
        <v>3867.3463565424709</v>
      </c>
      <c r="CD33" s="210">
        <f t="shared" si="23"/>
        <v>3513.9228974886946</v>
      </c>
      <c r="CE33" s="210">
        <f t="shared" si="23"/>
        <v>3160.4994384349184</v>
      </c>
      <c r="CF33" s="210">
        <f t="shared" si="23"/>
        <v>2807.0759793811421</v>
      </c>
      <c r="CG33" s="210">
        <f t="shared" si="23"/>
        <v>2453.6525203273659</v>
      </c>
      <c r="CH33" s="210">
        <f t="shared" si="24"/>
        <v>2100.2290612735906</v>
      </c>
      <c r="CI33" s="210">
        <f t="shared" si="24"/>
        <v>1746.8056022198134</v>
      </c>
      <c r="CJ33" s="210">
        <f t="shared" si="24"/>
        <v>1622.0337734898269</v>
      </c>
      <c r="CK33" s="210">
        <f t="shared" si="24"/>
        <v>1497.2619447598402</v>
      </c>
      <c r="CL33" s="210">
        <f t="shared" si="24"/>
        <v>1372.4901160298537</v>
      </c>
      <c r="CM33" s="210">
        <f t="shared" si="24"/>
        <v>1247.7182872998669</v>
      </c>
      <c r="CN33" s="210">
        <f t="shared" si="24"/>
        <v>1122.9464585698802</v>
      </c>
      <c r="CO33" s="210">
        <f t="shared" si="24"/>
        <v>998.17462983989344</v>
      </c>
      <c r="CP33" s="210">
        <f t="shared" si="24"/>
        <v>873.40280110990682</v>
      </c>
      <c r="CQ33" s="210">
        <f t="shared" si="24"/>
        <v>748.63097237992008</v>
      </c>
      <c r="CR33" s="210">
        <f t="shared" si="25"/>
        <v>623.85914364993346</v>
      </c>
      <c r="CS33" s="210">
        <f t="shared" si="25"/>
        <v>499.08731491994672</v>
      </c>
      <c r="CT33" s="210">
        <f t="shared" si="25"/>
        <v>374.31548618995998</v>
      </c>
      <c r="CU33" s="210">
        <f t="shared" si="25"/>
        <v>249.54365745997325</v>
      </c>
      <c r="CV33" s="210">
        <f t="shared" si="25"/>
        <v>124.77182872998651</v>
      </c>
      <c r="CW33" s="210">
        <f t="shared" si="25"/>
        <v>0</v>
      </c>
      <c r="CX33" s="210">
        <f t="shared" si="25"/>
        <v>0</v>
      </c>
      <c r="CY33" s="210">
        <f t="shared" si="25"/>
        <v>0</v>
      </c>
      <c r="CZ33" s="210">
        <f t="shared" si="25"/>
        <v>0</v>
      </c>
      <c r="DA33" s="210">
        <f t="shared" si="25"/>
        <v>0</v>
      </c>
    </row>
    <row r="34" spans="1:105">
      <c r="A34" s="201" t="str">
        <f>Income!A82</f>
        <v>Small business/petty trading</v>
      </c>
      <c r="B34" s="203">
        <f>Income!B82</f>
        <v>0</v>
      </c>
      <c r="C34" s="203">
        <f>Income!C82</f>
        <v>1397.4444817758508</v>
      </c>
      <c r="D34" s="203">
        <f>Income!D82</f>
        <v>0</v>
      </c>
      <c r="E34" s="203">
        <f>Income!E82</f>
        <v>0</v>
      </c>
      <c r="F34" s="210">
        <f t="shared" si="16"/>
        <v>0</v>
      </c>
      <c r="G34" s="210">
        <f t="shared" si="16"/>
        <v>0</v>
      </c>
      <c r="H34" s="210">
        <f t="shared" si="16"/>
        <v>0</v>
      </c>
      <c r="I34" s="210">
        <f t="shared" si="16"/>
        <v>0</v>
      </c>
      <c r="J34" s="210">
        <f t="shared" si="16"/>
        <v>0</v>
      </c>
      <c r="K34" s="210">
        <f t="shared" si="16"/>
        <v>0</v>
      </c>
      <c r="L34" s="210">
        <f t="shared" si="16"/>
        <v>0</v>
      </c>
      <c r="M34" s="210">
        <f t="shared" si="16"/>
        <v>0</v>
      </c>
      <c r="N34" s="210">
        <f t="shared" si="16"/>
        <v>0</v>
      </c>
      <c r="O34" s="210">
        <f t="shared" si="16"/>
        <v>0</v>
      </c>
      <c r="P34" s="210">
        <f t="shared" si="17"/>
        <v>0</v>
      </c>
      <c r="Q34" s="210">
        <f t="shared" si="17"/>
        <v>0</v>
      </c>
      <c r="R34" s="210">
        <f t="shared" si="17"/>
        <v>0</v>
      </c>
      <c r="S34" s="210">
        <f t="shared" si="17"/>
        <v>0</v>
      </c>
      <c r="T34" s="210">
        <f t="shared" si="17"/>
        <v>0</v>
      </c>
      <c r="U34" s="210">
        <f t="shared" si="17"/>
        <v>0</v>
      </c>
      <c r="V34" s="210">
        <f t="shared" si="17"/>
        <v>0</v>
      </c>
      <c r="W34" s="210">
        <f t="shared" si="17"/>
        <v>0</v>
      </c>
      <c r="X34" s="210">
        <f t="shared" si="17"/>
        <v>0</v>
      </c>
      <c r="Y34" s="210">
        <f t="shared" si="17"/>
        <v>0</v>
      </c>
      <c r="Z34" s="210">
        <f t="shared" si="18"/>
        <v>0</v>
      </c>
      <c r="AA34" s="210">
        <f t="shared" si="18"/>
        <v>0</v>
      </c>
      <c r="AB34" s="210">
        <f t="shared" si="18"/>
        <v>0</v>
      </c>
      <c r="AC34" s="210">
        <f t="shared" si="18"/>
        <v>0</v>
      </c>
      <c r="AD34" s="210">
        <f t="shared" si="18"/>
        <v>19.408951135775705</v>
      </c>
      <c r="AE34" s="210">
        <f t="shared" si="18"/>
        <v>58.226853407327127</v>
      </c>
      <c r="AF34" s="210">
        <f t="shared" si="18"/>
        <v>97.044755678878516</v>
      </c>
      <c r="AG34" s="210">
        <f t="shared" si="18"/>
        <v>135.86265795042993</v>
      </c>
      <c r="AH34" s="210">
        <f t="shared" si="18"/>
        <v>174.68056022198135</v>
      </c>
      <c r="AI34" s="210">
        <f t="shared" si="18"/>
        <v>213.49846249353277</v>
      </c>
      <c r="AJ34" s="210">
        <f t="shared" si="19"/>
        <v>252.31636476508416</v>
      </c>
      <c r="AK34" s="210">
        <f t="shared" si="19"/>
        <v>291.13426703663555</v>
      </c>
      <c r="AL34" s="210">
        <f t="shared" si="19"/>
        <v>329.95216930818702</v>
      </c>
      <c r="AM34" s="210">
        <f t="shared" si="19"/>
        <v>368.77007157973844</v>
      </c>
      <c r="AN34" s="210">
        <f t="shared" si="19"/>
        <v>407.5879738512898</v>
      </c>
      <c r="AO34" s="210">
        <f t="shared" si="19"/>
        <v>446.40587612284122</v>
      </c>
      <c r="AP34" s="210">
        <f t="shared" si="19"/>
        <v>485.22377839439264</v>
      </c>
      <c r="AQ34" s="210">
        <f t="shared" si="19"/>
        <v>524.041680665944</v>
      </c>
      <c r="AR34" s="210">
        <f t="shared" si="19"/>
        <v>562.85958293749547</v>
      </c>
      <c r="AS34" s="210">
        <f t="shared" si="19"/>
        <v>601.67748520904695</v>
      </c>
      <c r="AT34" s="210">
        <f t="shared" si="20"/>
        <v>640.49538748059831</v>
      </c>
      <c r="AU34" s="210">
        <f t="shared" si="20"/>
        <v>679.31328975214967</v>
      </c>
      <c r="AV34" s="210">
        <f t="shared" si="20"/>
        <v>718.13119202370115</v>
      </c>
      <c r="AW34" s="210">
        <f t="shared" si="20"/>
        <v>756.94909429525251</v>
      </c>
      <c r="AX34" s="210">
        <f t="shared" si="20"/>
        <v>795.76699656680398</v>
      </c>
      <c r="AY34" s="210">
        <f t="shared" si="20"/>
        <v>834.58489883835534</v>
      </c>
      <c r="AZ34" s="210">
        <f t="shared" si="20"/>
        <v>873.4028011099067</v>
      </c>
      <c r="BA34" s="210">
        <f t="shared" si="20"/>
        <v>912.22070338145807</v>
      </c>
      <c r="BB34" s="210">
        <f t="shared" si="20"/>
        <v>951.03860565300965</v>
      </c>
      <c r="BC34" s="210">
        <f t="shared" si="20"/>
        <v>989.85650792456101</v>
      </c>
      <c r="BD34" s="210">
        <f t="shared" si="21"/>
        <v>1028.6744101961124</v>
      </c>
      <c r="BE34" s="210">
        <f t="shared" si="21"/>
        <v>1067.4923124676639</v>
      </c>
      <c r="BF34" s="210">
        <f t="shared" si="21"/>
        <v>1106.3102147392153</v>
      </c>
      <c r="BG34" s="210">
        <f t="shared" si="21"/>
        <v>1145.1281170107666</v>
      </c>
      <c r="BH34" s="210">
        <f t="shared" si="21"/>
        <v>1183.946019282318</v>
      </c>
      <c r="BI34" s="210">
        <f t="shared" si="21"/>
        <v>1222.7639215538695</v>
      </c>
      <c r="BJ34" s="210">
        <f t="shared" si="21"/>
        <v>1261.5818238254208</v>
      </c>
      <c r="BK34" s="210">
        <f t="shared" si="21"/>
        <v>1300.3997260969722</v>
      </c>
      <c r="BL34" s="210">
        <f t="shared" si="21"/>
        <v>1339.2176283685237</v>
      </c>
      <c r="BM34" s="210">
        <f t="shared" si="21"/>
        <v>1378.0355306400752</v>
      </c>
      <c r="BN34" s="210">
        <f t="shared" si="22"/>
        <v>1364.9457728973427</v>
      </c>
      <c r="BO34" s="210">
        <f t="shared" si="22"/>
        <v>1299.9483551403264</v>
      </c>
      <c r="BP34" s="210">
        <f t="shared" si="22"/>
        <v>1234.95093738331</v>
      </c>
      <c r="BQ34" s="210">
        <f t="shared" si="22"/>
        <v>1169.9535196262937</v>
      </c>
      <c r="BR34" s="210">
        <f t="shared" si="22"/>
        <v>1104.9561018692775</v>
      </c>
      <c r="BS34" s="210">
        <f t="shared" si="22"/>
        <v>1039.9586841122609</v>
      </c>
      <c r="BT34" s="210">
        <f t="shared" si="22"/>
        <v>974.96126635524479</v>
      </c>
      <c r="BU34" s="210">
        <f t="shared" si="22"/>
        <v>909.96384859822842</v>
      </c>
      <c r="BV34" s="210">
        <f t="shared" si="22"/>
        <v>844.96643084121206</v>
      </c>
      <c r="BW34" s="210">
        <f t="shared" si="22"/>
        <v>779.96901308419581</v>
      </c>
      <c r="BX34" s="210">
        <f t="shared" si="23"/>
        <v>714.97159532717944</v>
      </c>
      <c r="BY34" s="210">
        <f t="shared" si="23"/>
        <v>649.97417757016319</v>
      </c>
      <c r="BZ34" s="210">
        <f t="shared" si="23"/>
        <v>584.97675981314683</v>
      </c>
      <c r="CA34" s="210">
        <f t="shared" si="23"/>
        <v>519.97934205613058</v>
      </c>
      <c r="CB34" s="210">
        <f t="shared" si="23"/>
        <v>454.98192429911421</v>
      </c>
      <c r="CC34" s="210">
        <f t="shared" si="23"/>
        <v>389.98450654209785</v>
      </c>
      <c r="CD34" s="210">
        <f t="shared" si="23"/>
        <v>324.9870887850816</v>
      </c>
      <c r="CE34" s="210">
        <f t="shared" si="23"/>
        <v>259.98967102806523</v>
      </c>
      <c r="CF34" s="210">
        <f t="shared" si="23"/>
        <v>194.99225327104887</v>
      </c>
      <c r="CG34" s="210">
        <f t="shared" si="23"/>
        <v>129.99483551403273</v>
      </c>
      <c r="CH34" s="210">
        <f t="shared" si="24"/>
        <v>64.997417757016365</v>
      </c>
      <c r="CI34" s="210">
        <f t="shared" si="24"/>
        <v>0</v>
      </c>
      <c r="CJ34" s="210">
        <f t="shared" si="24"/>
        <v>0</v>
      </c>
      <c r="CK34" s="210">
        <f t="shared" si="24"/>
        <v>0</v>
      </c>
      <c r="CL34" s="210">
        <f t="shared" si="24"/>
        <v>0</v>
      </c>
      <c r="CM34" s="210">
        <f t="shared" si="24"/>
        <v>0</v>
      </c>
      <c r="CN34" s="210">
        <f t="shared" si="24"/>
        <v>0</v>
      </c>
      <c r="CO34" s="210">
        <f t="shared" si="24"/>
        <v>0</v>
      </c>
      <c r="CP34" s="210">
        <f t="shared" si="24"/>
        <v>0</v>
      </c>
      <c r="CQ34" s="210">
        <f t="shared" si="24"/>
        <v>0</v>
      </c>
      <c r="CR34" s="210">
        <f t="shared" si="25"/>
        <v>0</v>
      </c>
      <c r="CS34" s="210">
        <f t="shared" si="25"/>
        <v>0</v>
      </c>
      <c r="CT34" s="210">
        <f t="shared" si="25"/>
        <v>0</v>
      </c>
      <c r="CU34" s="210">
        <f t="shared" si="25"/>
        <v>0</v>
      </c>
      <c r="CV34" s="210">
        <f t="shared" si="25"/>
        <v>0</v>
      </c>
      <c r="CW34" s="210">
        <f t="shared" si="25"/>
        <v>0</v>
      </c>
      <c r="CX34" s="210">
        <f t="shared" si="25"/>
        <v>0</v>
      </c>
      <c r="CY34" s="210">
        <f t="shared" si="25"/>
        <v>0</v>
      </c>
      <c r="CZ34" s="210">
        <f t="shared" si="25"/>
        <v>0</v>
      </c>
      <c r="DA34" s="210">
        <f t="shared" si="25"/>
        <v>0</v>
      </c>
    </row>
    <row r="35" spans="1:105">
      <c r="A35" s="201" t="str">
        <f>Income!A83</f>
        <v>Food transfer - official</v>
      </c>
      <c r="B35" s="203">
        <f>Income!B83</f>
        <v>1008.3916845262437</v>
      </c>
      <c r="C35" s="203">
        <f>Income!C83</f>
        <v>840.32640377186965</v>
      </c>
      <c r="D35" s="203">
        <f>Income!D83</f>
        <v>0</v>
      </c>
      <c r="E35" s="203">
        <f>Income!E83</f>
        <v>0</v>
      </c>
      <c r="F35" s="210">
        <f t="shared" si="16"/>
        <v>1008.3916845262437</v>
      </c>
      <c r="G35" s="210">
        <f t="shared" si="16"/>
        <v>1008.3916845262437</v>
      </c>
      <c r="H35" s="210">
        <f t="shared" si="16"/>
        <v>1008.3916845262437</v>
      </c>
      <c r="I35" s="210">
        <f t="shared" si="16"/>
        <v>1008.3916845262437</v>
      </c>
      <c r="J35" s="210">
        <f t="shared" si="16"/>
        <v>1008.3916845262437</v>
      </c>
      <c r="K35" s="210">
        <f t="shared" si="16"/>
        <v>1008.3916845262437</v>
      </c>
      <c r="L35" s="210">
        <f t="shared" si="16"/>
        <v>1008.3916845262437</v>
      </c>
      <c r="M35" s="210">
        <f t="shared" si="16"/>
        <v>1008.3916845262437</v>
      </c>
      <c r="N35" s="210">
        <f t="shared" si="16"/>
        <v>1008.3916845262437</v>
      </c>
      <c r="O35" s="210">
        <f t="shared" si="16"/>
        <v>1008.3916845262437</v>
      </c>
      <c r="P35" s="210">
        <f t="shared" si="17"/>
        <v>1008.3916845262437</v>
      </c>
      <c r="Q35" s="210">
        <f t="shared" si="17"/>
        <v>1008.3916845262437</v>
      </c>
      <c r="R35" s="210">
        <f t="shared" si="17"/>
        <v>1008.3916845262437</v>
      </c>
      <c r="S35" s="210">
        <f t="shared" si="17"/>
        <v>1008.3916845262437</v>
      </c>
      <c r="T35" s="210">
        <f t="shared" si="17"/>
        <v>1008.3916845262437</v>
      </c>
      <c r="U35" s="210">
        <f t="shared" si="17"/>
        <v>1008.3916845262437</v>
      </c>
      <c r="V35" s="210">
        <f t="shared" si="17"/>
        <v>1008.3916845262437</v>
      </c>
      <c r="W35" s="210">
        <f t="shared" si="17"/>
        <v>1008.3916845262437</v>
      </c>
      <c r="X35" s="210">
        <f t="shared" si="17"/>
        <v>1008.3916845262437</v>
      </c>
      <c r="Y35" s="210">
        <f t="shared" si="17"/>
        <v>1008.3916845262437</v>
      </c>
      <c r="Z35" s="210">
        <f t="shared" si="18"/>
        <v>1008.3916845262437</v>
      </c>
      <c r="AA35" s="210">
        <f t="shared" si="18"/>
        <v>1008.3916845262437</v>
      </c>
      <c r="AB35" s="210">
        <f t="shared" si="18"/>
        <v>1008.3916845262437</v>
      </c>
      <c r="AC35" s="210">
        <f t="shared" si="18"/>
        <v>1008.3916845262437</v>
      </c>
      <c r="AD35" s="210">
        <f t="shared" si="18"/>
        <v>1006.0574445157663</v>
      </c>
      <c r="AE35" s="210">
        <f t="shared" si="18"/>
        <v>1001.3889644948115</v>
      </c>
      <c r="AF35" s="210">
        <f t="shared" si="18"/>
        <v>996.72048447385657</v>
      </c>
      <c r="AG35" s="210">
        <f t="shared" si="18"/>
        <v>992.05200445290177</v>
      </c>
      <c r="AH35" s="210">
        <f t="shared" si="18"/>
        <v>987.38352443194697</v>
      </c>
      <c r="AI35" s="210">
        <f t="shared" si="18"/>
        <v>982.71504441099205</v>
      </c>
      <c r="AJ35" s="210">
        <f t="shared" si="19"/>
        <v>978.04656439003725</v>
      </c>
      <c r="AK35" s="210">
        <f t="shared" si="19"/>
        <v>973.37808436908244</v>
      </c>
      <c r="AL35" s="210">
        <f t="shared" si="19"/>
        <v>968.70960434812764</v>
      </c>
      <c r="AM35" s="210">
        <f t="shared" si="19"/>
        <v>964.04112432717272</v>
      </c>
      <c r="AN35" s="210">
        <f t="shared" si="19"/>
        <v>959.37264430621792</v>
      </c>
      <c r="AO35" s="210">
        <f t="shared" si="19"/>
        <v>954.70416428526312</v>
      </c>
      <c r="AP35" s="210">
        <f t="shared" si="19"/>
        <v>950.03568426430832</v>
      </c>
      <c r="AQ35" s="210">
        <f t="shared" si="19"/>
        <v>945.3672042433534</v>
      </c>
      <c r="AR35" s="210">
        <f t="shared" si="19"/>
        <v>940.6987242223986</v>
      </c>
      <c r="AS35" s="210">
        <f t="shared" si="19"/>
        <v>936.03024420144379</v>
      </c>
      <c r="AT35" s="210">
        <f t="shared" si="20"/>
        <v>931.36176418048899</v>
      </c>
      <c r="AU35" s="210">
        <f t="shared" si="20"/>
        <v>926.69328415953407</v>
      </c>
      <c r="AV35" s="210">
        <f t="shared" si="20"/>
        <v>922.02480413857927</v>
      </c>
      <c r="AW35" s="210">
        <f t="shared" si="20"/>
        <v>917.35632411762435</v>
      </c>
      <c r="AX35" s="210">
        <f t="shared" si="20"/>
        <v>912.68784409666955</v>
      </c>
      <c r="AY35" s="210">
        <f t="shared" si="20"/>
        <v>908.01936407571475</v>
      </c>
      <c r="AZ35" s="210">
        <f t="shared" si="20"/>
        <v>903.35088405475994</v>
      </c>
      <c r="BA35" s="210">
        <f t="shared" si="20"/>
        <v>898.68240403380514</v>
      </c>
      <c r="BB35" s="210">
        <f t="shared" si="20"/>
        <v>894.01392401285023</v>
      </c>
      <c r="BC35" s="210">
        <f t="shared" si="20"/>
        <v>889.34544399189542</v>
      </c>
      <c r="BD35" s="210">
        <f t="shared" si="21"/>
        <v>884.67696397094051</v>
      </c>
      <c r="BE35" s="210">
        <f t="shared" si="21"/>
        <v>880.0084839499857</v>
      </c>
      <c r="BF35" s="210">
        <f t="shared" si="21"/>
        <v>875.3400039290309</v>
      </c>
      <c r="BG35" s="210">
        <f t="shared" si="21"/>
        <v>870.6715239080761</v>
      </c>
      <c r="BH35" s="210">
        <f t="shared" si="21"/>
        <v>866.00304388712129</v>
      </c>
      <c r="BI35" s="210">
        <f t="shared" si="21"/>
        <v>861.33456386616638</v>
      </c>
      <c r="BJ35" s="210">
        <f t="shared" si="21"/>
        <v>856.66608384521157</v>
      </c>
      <c r="BK35" s="210">
        <f t="shared" si="21"/>
        <v>851.99760382425677</v>
      </c>
      <c r="BL35" s="210">
        <f t="shared" si="21"/>
        <v>847.32912380330185</v>
      </c>
      <c r="BM35" s="210">
        <f t="shared" si="21"/>
        <v>842.66064378234705</v>
      </c>
      <c r="BN35" s="210">
        <f t="shared" si="22"/>
        <v>820.78392926554716</v>
      </c>
      <c r="BO35" s="210">
        <f t="shared" si="22"/>
        <v>781.69898025290195</v>
      </c>
      <c r="BP35" s="210">
        <f t="shared" si="22"/>
        <v>742.61403124025696</v>
      </c>
      <c r="BQ35" s="210">
        <f t="shared" si="22"/>
        <v>703.52908222761175</v>
      </c>
      <c r="BR35" s="210">
        <f t="shared" si="22"/>
        <v>664.44413321496666</v>
      </c>
      <c r="BS35" s="210">
        <f t="shared" si="22"/>
        <v>625.35918420232156</v>
      </c>
      <c r="BT35" s="210">
        <f t="shared" si="22"/>
        <v>586.27423518967646</v>
      </c>
      <c r="BU35" s="210">
        <f t="shared" si="22"/>
        <v>547.18928617703136</v>
      </c>
      <c r="BV35" s="210">
        <f t="shared" si="22"/>
        <v>508.10433716438632</v>
      </c>
      <c r="BW35" s="210">
        <f t="shared" si="22"/>
        <v>469.01938815174123</v>
      </c>
      <c r="BX35" s="210">
        <f t="shared" si="23"/>
        <v>429.93443913909613</v>
      </c>
      <c r="BY35" s="210">
        <f t="shared" si="23"/>
        <v>390.84949012645097</v>
      </c>
      <c r="BZ35" s="210">
        <f t="shared" si="23"/>
        <v>351.76454111380588</v>
      </c>
      <c r="CA35" s="210">
        <f t="shared" si="23"/>
        <v>312.67959210116078</v>
      </c>
      <c r="CB35" s="210">
        <f t="shared" si="23"/>
        <v>273.59464308851568</v>
      </c>
      <c r="CC35" s="210">
        <f t="shared" si="23"/>
        <v>234.50969407587058</v>
      </c>
      <c r="CD35" s="210">
        <f t="shared" si="23"/>
        <v>195.42474506322549</v>
      </c>
      <c r="CE35" s="210">
        <f t="shared" si="23"/>
        <v>156.33979605058039</v>
      </c>
      <c r="CF35" s="210">
        <f t="shared" si="23"/>
        <v>117.25484703793529</v>
      </c>
      <c r="CG35" s="210">
        <f t="shared" si="23"/>
        <v>78.169898025290195</v>
      </c>
      <c r="CH35" s="210">
        <f t="shared" si="24"/>
        <v>39.084949012645097</v>
      </c>
      <c r="CI35" s="210">
        <f t="shared" si="24"/>
        <v>1.1368683772161603E-13</v>
      </c>
      <c r="CJ35" s="210">
        <f t="shared" si="24"/>
        <v>0</v>
      </c>
      <c r="CK35" s="210">
        <f t="shared" si="24"/>
        <v>0</v>
      </c>
      <c r="CL35" s="210">
        <f t="shared" si="24"/>
        <v>0</v>
      </c>
      <c r="CM35" s="210">
        <f t="shared" si="24"/>
        <v>0</v>
      </c>
      <c r="CN35" s="210">
        <f t="shared" si="24"/>
        <v>0</v>
      </c>
      <c r="CO35" s="210">
        <f t="shared" si="24"/>
        <v>0</v>
      </c>
      <c r="CP35" s="210">
        <f t="shared" si="24"/>
        <v>0</v>
      </c>
      <c r="CQ35" s="210">
        <f t="shared" si="24"/>
        <v>0</v>
      </c>
      <c r="CR35" s="210">
        <f t="shared" si="25"/>
        <v>0</v>
      </c>
      <c r="CS35" s="210">
        <f t="shared" si="25"/>
        <v>0</v>
      </c>
      <c r="CT35" s="210">
        <f t="shared" si="25"/>
        <v>0</v>
      </c>
      <c r="CU35" s="210">
        <f t="shared" si="25"/>
        <v>0</v>
      </c>
      <c r="CV35" s="210">
        <f t="shared" si="25"/>
        <v>0</v>
      </c>
      <c r="CW35" s="210">
        <f t="shared" si="25"/>
        <v>0</v>
      </c>
      <c r="CX35" s="210">
        <f t="shared" si="25"/>
        <v>0</v>
      </c>
      <c r="CY35" s="210">
        <f t="shared" si="25"/>
        <v>0</v>
      </c>
      <c r="CZ35" s="210">
        <f t="shared" si="25"/>
        <v>0</v>
      </c>
      <c r="DA35" s="210">
        <f t="shared" si="25"/>
        <v>0</v>
      </c>
    </row>
    <row r="36" spans="1:105">
      <c r="A36" s="201" t="str">
        <f>Income!A85</f>
        <v>Cash transfer - official</v>
      </c>
      <c r="B36" s="203">
        <f>Income!B85</f>
        <v>29433.674397403858</v>
      </c>
      <c r="C36" s="203">
        <f>Income!C85</f>
        <v>29433.674397403858</v>
      </c>
      <c r="D36" s="203">
        <f>Income!D85</f>
        <v>11092.215574095817</v>
      </c>
      <c r="E36" s="203">
        <f>Income!E85</f>
        <v>12676.817798966647</v>
      </c>
      <c r="F36" s="210">
        <f t="shared" si="16"/>
        <v>29433.674397403858</v>
      </c>
      <c r="G36" s="210">
        <f t="shared" si="16"/>
        <v>29433.674397403858</v>
      </c>
      <c r="H36" s="210">
        <f t="shared" si="16"/>
        <v>29433.674397403858</v>
      </c>
      <c r="I36" s="210">
        <f t="shared" si="16"/>
        <v>29433.674397403858</v>
      </c>
      <c r="J36" s="210">
        <f t="shared" si="16"/>
        <v>29433.674397403858</v>
      </c>
      <c r="K36" s="210">
        <f t="shared" si="16"/>
        <v>29433.674397403858</v>
      </c>
      <c r="L36" s="210">
        <f t="shared" si="16"/>
        <v>29433.674397403858</v>
      </c>
      <c r="M36" s="210">
        <f t="shared" si="16"/>
        <v>29433.674397403858</v>
      </c>
      <c r="N36" s="210">
        <f t="shared" si="16"/>
        <v>29433.674397403858</v>
      </c>
      <c r="O36" s="210">
        <f t="shared" si="16"/>
        <v>29433.674397403858</v>
      </c>
      <c r="P36" s="210">
        <f t="shared" si="16"/>
        <v>29433.674397403858</v>
      </c>
      <c r="Q36" s="210">
        <f t="shared" si="16"/>
        <v>29433.674397403858</v>
      </c>
      <c r="R36" s="210">
        <f t="shared" si="16"/>
        <v>29433.674397403858</v>
      </c>
      <c r="S36" s="210">
        <f t="shared" si="16"/>
        <v>29433.674397403858</v>
      </c>
      <c r="T36" s="210">
        <f t="shared" si="16"/>
        <v>29433.674397403858</v>
      </c>
      <c r="U36" s="210">
        <f t="shared" si="16"/>
        <v>29433.674397403858</v>
      </c>
      <c r="V36" s="210">
        <f t="shared" si="17"/>
        <v>29433.674397403858</v>
      </c>
      <c r="W36" s="210">
        <f t="shared" si="17"/>
        <v>29433.674397403858</v>
      </c>
      <c r="X36" s="210">
        <f t="shared" si="17"/>
        <v>29433.674397403858</v>
      </c>
      <c r="Y36" s="210">
        <f t="shared" si="17"/>
        <v>29433.674397403858</v>
      </c>
      <c r="Z36" s="210">
        <f t="shared" si="17"/>
        <v>29433.674397403858</v>
      </c>
      <c r="AA36" s="210">
        <f t="shared" si="17"/>
        <v>29433.674397403858</v>
      </c>
      <c r="AB36" s="210">
        <f t="shared" si="17"/>
        <v>29433.674397403858</v>
      </c>
      <c r="AC36" s="210">
        <f t="shared" si="17"/>
        <v>29433.674397403858</v>
      </c>
      <c r="AD36" s="210">
        <f t="shared" si="17"/>
        <v>29433.674397403858</v>
      </c>
      <c r="AE36" s="210">
        <f t="shared" si="17"/>
        <v>29433.674397403858</v>
      </c>
      <c r="AF36" s="210">
        <f t="shared" si="18"/>
        <v>29433.674397403858</v>
      </c>
      <c r="AG36" s="210">
        <f t="shared" si="18"/>
        <v>29433.674397403858</v>
      </c>
      <c r="AH36" s="210">
        <f t="shared" si="18"/>
        <v>29433.674397403858</v>
      </c>
      <c r="AI36" s="210">
        <f t="shared" si="18"/>
        <v>29433.674397403858</v>
      </c>
      <c r="AJ36" s="210">
        <f t="shared" si="18"/>
        <v>29433.674397403858</v>
      </c>
      <c r="AK36" s="210">
        <f t="shared" si="18"/>
        <v>29433.674397403858</v>
      </c>
      <c r="AL36" s="210">
        <f t="shared" si="18"/>
        <v>29433.674397403858</v>
      </c>
      <c r="AM36" s="210">
        <f t="shared" si="18"/>
        <v>29433.674397403858</v>
      </c>
      <c r="AN36" s="210">
        <f t="shared" si="18"/>
        <v>29433.674397403858</v>
      </c>
      <c r="AO36" s="210">
        <f t="shared" si="18"/>
        <v>29433.674397403858</v>
      </c>
      <c r="AP36" s="210">
        <f t="shared" si="19"/>
        <v>29433.674397403858</v>
      </c>
      <c r="AQ36" s="210">
        <f t="shared" si="19"/>
        <v>29433.674397403858</v>
      </c>
      <c r="AR36" s="210">
        <f t="shared" si="19"/>
        <v>29433.674397403858</v>
      </c>
      <c r="AS36" s="210">
        <f t="shared" si="19"/>
        <v>29433.674397403858</v>
      </c>
      <c r="AT36" s="210">
        <f t="shared" si="19"/>
        <v>29433.674397403858</v>
      </c>
      <c r="AU36" s="210">
        <f t="shared" si="19"/>
        <v>29433.674397403858</v>
      </c>
      <c r="AV36" s="210">
        <f t="shared" si="19"/>
        <v>29433.674397403858</v>
      </c>
      <c r="AW36" s="210">
        <f t="shared" si="19"/>
        <v>29433.674397403858</v>
      </c>
      <c r="AX36" s="210">
        <f t="shared" si="19"/>
        <v>29433.674397403858</v>
      </c>
      <c r="AY36" s="210">
        <f t="shared" si="19"/>
        <v>29433.674397403858</v>
      </c>
      <c r="AZ36" s="210">
        <f t="shared" si="20"/>
        <v>29433.674397403858</v>
      </c>
      <c r="BA36" s="210">
        <f t="shared" si="20"/>
        <v>29433.674397403858</v>
      </c>
      <c r="BB36" s="210">
        <f t="shared" si="20"/>
        <v>29433.674397403858</v>
      </c>
      <c r="BC36" s="210">
        <f t="shared" si="20"/>
        <v>29433.674397403858</v>
      </c>
      <c r="BD36" s="210">
        <f t="shared" si="20"/>
        <v>29433.674397403858</v>
      </c>
      <c r="BE36" s="210">
        <f t="shared" si="20"/>
        <v>29433.674397403858</v>
      </c>
      <c r="BF36" s="210">
        <f t="shared" si="20"/>
        <v>29433.674397403858</v>
      </c>
      <c r="BG36" s="210">
        <f t="shared" si="20"/>
        <v>29433.674397403858</v>
      </c>
      <c r="BH36" s="210">
        <f t="shared" si="20"/>
        <v>29433.674397403858</v>
      </c>
      <c r="BI36" s="210">
        <f t="shared" si="20"/>
        <v>29433.674397403858</v>
      </c>
      <c r="BJ36" s="210">
        <f t="shared" si="21"/>
        <v>29433.674397403858</v>
      </c>
      <c r="BK36" s="210">
        <f t="shared" si="21"/>
        <v>29433.674397403858</v>
      </c>
      <c r="BL36" s="210">
        <f t="shared" si="21"/>
        <v>29433.674397403858</v>
      </c>
      <c r="BM36" s="210">
        <f t="shared" si="21"/>
        <v>29433.674397403858</v>
      </c>
      <c r="BN36" s="210">
        <f t="shared" si="21"/>
        <v>29007.128843373437</v>
      </c>
      <c r="BO36" s="210">
        <f t="shared" si="21"/>
        <v>28154.037735312599</v>
      </c>
      <c r="BP36" s="210">
        <f t="shared" si="21"/>
        <v>27300.94662725176</v>
      </c>
      <c r="BQ36" s="210">
        <f t="shared" si="21"/>
        <v>26447.855519190922</v>
      </c>
      <c r="BR36" s="210">
        <f t="shared" si="21"/>
        <v>25594.764411130083</v>
      </c>
      <c r="BS36" s="210">
        <f t="shared" si="21"/>
        <v>24741.673303069241</v>
      </c>
      <c r="BT36" s="210">
        <f t="shared" si="22"/>
        <v>23888.582195008403</v>
      </c>
      <c r="BU36" s="210">
        <f t="shared" si="22"/>
        <v>23035.491086947564</v>
      </c>
      <c r="BV36" s="210">
        <f t="shared" si="22"/>
        <v>22182.399978886726</v>
      </c>
      <c r="BW36" s="210">
        <f t="shared" si="22"/>
        <v>21329.308870825887</v>
      </c>
      <c r="BX36" s="210">
        <f t="shared" si="22"/>
        <v>20476.217762765045</v>
      </c>
      <c r="BY36" s="210">
        <f t="shared" si="22"/>
        <v>19623.126654704207</v>
      </c>
      <c r="BZ36" s="210">
        <f t="shared" si="22"/>
        <v>18770.035546643368</v>
      </c>
      <c r="CA36" s="210">
        <f t="shared" si="22"/>
        <v>17916.94443858253</v>
      </c>
      <c r="CB36" s="210">
        <f t="shared" si="22"/>
        <v>17063.853330521692</v>
      </c>
      <c r="CC36" s="210">
        <f t="shared" si="22"/>
        <v>16210.762222460849</v>
      </c>
      <c r="CD36" s="210">
        <f t="shared" si="23"/>
        <v>15357.671114400013</v>
      </c>
      <c r="CE36" s="210">
        <f t="shared" si="23"/>
        <v>14504.580006339173</v>
      </c>
      <c r="CF36" s="210">
        <f t="shared" si="23"/>
        <v>13651.488898278332</v>
      </c>
      <c r="CG36" s="210">
        <f t="shared" si="23"/>
        <v>12798.397790217492</v>
      </c>
      <c r="CH36" s="210">
        <f t="shared" si="23"/>
        <v>11945.306682156654</v>
      </c>
      <c r="CI36" s="210">
        <f t="shared" si="23"/>
        <v>11092.215574095815</v>
      </c>
      <c r="CJ36" s="210">
        <f t="shared" si="23"/>
        <v>11205.401447300876</v>
      </c>
      <c r="CK36" s="210">
        <f t="shared" si="23"/>
        <v>11318.587320505936</v>
      </c>
      <c r="CL36" s="210">
        <f t="shared" si="23"/>
        <v>11431.773193710995</v>
      </c>
      <c r="CM36" s="210">
        <f t="shared" si="23"/>
        <v>11544.959066916053</v>
      </c>
      <c r="CN36" s="210">
        <f t="shared" si="24"/>
        <v>11658.144940121114</v>
      </c>
      <c r="CO36" s="210">
        <f t="shared" si="24"/>
        <v>11771.330813326173</v>
      </c>
      <c r="CP36" s="210">
        <f t="shared" si="24"/>
        <v>11884.516686531231</v>
      </c>
      <c r="CQ36" s="210">
        <f t="shared" si="24"/>
        <v>11997.702559736292</v>
      </c>
      <c r="CR36" s="210">
        <f t="shared" si="24"/>
        <v>12110.88843294135</v>
      </c>
      <c r="CS36" s="210">
        <f t="shared" si="24"/>
        <v>12224.074306146411</v>
      </c>
      <c r="CT36" s="210">
        <f t="shared" si="24"/>
        <v>12337.26017935147</v>
      </c>
      <c r="CU36" s="210">
        <f t="shared" si="24"/>
        <v>12450.446052556528</v>
      </c>
      <c r="CV36" s="210">
        <f t="shared" si="24"/>
        <v>12563.631925761589</v>
      </c>
      <c r="CW36" s="210">
        <f t="shared" si="24"/>
        <v>12676.817798966647</v>
      </c>
      <c r="CX36" s="210">
        <f t="shared" si="25"/>
        <v>12676.817798966647</v>
      </c>
      <c r="CY36" s="210">
        <f t="shared" si="25"/>
        <v>12676.817798966647</v>
      </c>
      <c r="CZ36" s="210">
        <f t="shared" si="25"/>
        <v>12676.817798966647</v>
      </c>
      <c r="DA36" s="210">
        <f t="shared" si="25"/>
        <v>12676.817798966647</v>
      </c>
    </row>
    <row r="37" spans="1:105">
      <c r="A37" s="201" t="str">
        <f>Income!A86</f>
        <v>Cash transfer - gifts</v>
      </c>
      <c r="B37" s="203">
        <f>Income!B86</f>
        <v>0</v>
      </c>
      <c r="C37" s="203">
        <f>Income!C86</f>
        <v>6987.2224088792545</v>
      </c>
      <c r="D37" s="203">
        <f>Income!D86</f>
        <v>0</v>
      </c>
      <c r="E37" s="203">
        <f>Income!E86</f>
        <v>0</v>
      </c>
      <c r="F37" s="210">
        <f t="shared" si="16"/>
        <v>0</v>
      </c>
      <c r="G37" s="210">
        <f t="shared" si="16"/>
        <v>0</v>
      </c>
      <c r="H37" s="210">
        <f t="shared" si="16"/>
        <v>0</v>
      </c>
      <c r="I37" s="210">
        <f t="shared" si="16"/>
        <v>0</v>
      </c>
      <c r="J37" s="210">
        <f t="shared" si="16"/>
        <v>0</v>
      </c>
      <c r="K37" s="210">
        <f t="shared" si="16"/>
        <v>0</v>
      </c>
      <c r="L37" s="210">
        <f t="shared" si="16"/>
        <v>0</v>
      </c>
      <c r="M37" s="210">
        <f t="shared" si="16"/>
        <v>0</v>
      </c>
      <c r="N37" s="210">
        <f t="shared" si="16"/>
        <v>0</v>
      </c>
      <c r="O37" s="210">
        <f t="shared" si="16"/>
        <v>0</v>
      </c>
      <c r="P37" s="210">
        <f t="shared" si="17"/>
        <v>0</v>
      </c>
      <c r="Q37" s="210">
        <f t="shared" si="17"/>
        <v>0</v>
      </c>
      <c r="R37" s="210">
        <f t="shared" si="17"/>
        <v>0</v>
      </c>
      <c r="S37" s="210">
        <f t="shared" si="17"/>
        <v>0</v>
      </c>
      <c r="T37" s="210">
        <f t="shared" si="17"/>
        <v>0</v>
      </c>
      <c r="U37" s="210">
        <f t="shared" si="17"/>
        <v>0</v>
      </c>
      <c r="V37" s="210">
        <f t="shared" si="17"/>
        <v>0</v>
      </c>
      <c r="W37" s="210">
        <f t="shared" si="17"/>
        <v>0</v>
      </c>
      <c r="X37" s="210">
        <f t="shared" si="17"/>
        <v>0</v>
      </c>
      <c r="Y37" s="210">
        <f t="shared" si="17"/>
        <v>0</v>
      </c>
      <c r="Z37" s="210">
        <f t="shared" si="18"/>
        <v>0</v>
      </c>
      <c r="AA37" s="210">
        <f t="shared" si="18"/>
        <v>0</v>
      </c>
      <c r="AB37" s="210">
        <f t="shared" si="18"/>
        <v>0</v>
      </c>
      <c r="AC37" s="210">
        <f t="shared" si="18"/>
        <v>0</v>
      </c>
      <c r="AD37" s="210">
        <f t="shared" si="18"/>
        <v>97.044755678878531</v>
      </c>
      <c r="AE37" s="210">
        <f t="shared" si="18"/>
        <v>291.13426703663561</v>
      </c>
      <c r="AF37" s="210">
        <f t="shared" si="18"/>
        <v>485.22377839439264</v>
      </c>
      <c r="AG37" s="210">
        <f t="shared" si="18"/>
        <v>679.31328975214967</v>
      </c>
      <c r="AH37" s="210">
        <f t="shared" si="18"/>
        <v>873.40280110990682</v>
      </c>
      <c r="AI37" s="210">
        <f t="shared" si="18"/>
        <v>1067.4923124676639</v>
      </c>
      <c r="AJ37" s="210">
        <f t="shared" si="19"/>
        <v>1261.581823825421</v>
      </c>
      <c r="AK37" s="210">
        <f t="shared" si="19"/>
        <v>1455.6713351831779</v>
      </c>
      <c r="AL37" s="210">
        <f t="shared" si="19"/>
        <v>1649.7608465409351</v>
      </c>
      <c r="AM37" s="210">
        <f t="shared" si="19"/>
        <v>1843.850357898692</v>
      </c>
      <c r="AN37" s="210">
        <f t="shared" si="19"/>
        <v>2037.9398692564491</v>
      </c>
      <c r="AO37" s="210">
        <f t="shared" si="19"/>
        <v>2232.0293806142063</v>
      </c>
      <c r="AP37" s="210">
        <f t="shared" si="19"/>
        <v>2426.1188919719634</v>
      </c>
      <c r="AQ37" s="210">
        <f t="shared" si="19"/>
        <v>2620.2084033297201</v>
      </c>
      <c r="AR37" s="210">
        <f t="shared" si="19"/>
        <v>2814.2979146874773</v>
      </c>
      <c r="AS37" s="210">
        <f t="shared" si="19"/>
        <v>3008.3874260452344</v>
      </c>
      <c r="AT37" s="210">
        <f t="shared" si="20"/>
        <v>3202.4769374029916</v>
      </c>
      <c r="AU37" s="210">
        <f t="shared" si="20"/>
        <v>3396.5664487607487</v>
      </c>
      <c r="AV37" s="210">
        <f t="shared" si="20"/>
        <v>3590.6559601185058</v>
      </c>
      <c r="AW37" s="210">
        <f t="shared" si="20"/>
        <v>3784.7454714762625</v>
      </c>
      <c r="AX37" s="210">
        <f t="shared" si="20"/>
        <v>3978.8349828340197</v>
      </c>
      <c r="AY37" s="210">
        <f t="shared" si="20"/>
        <v>4172.9244941917768</v>
      </c>
      <c r="AZ37" s="210">
        <f t="shared" si="20"/>
        <v>4367.014005549534</v>
      </c>
      <c r="BA37" s="210">
        <f t="shared" si="20"/>
        <v>4561.1035169072911</v>
      </c>
      <c r="BB37" s="210">
        <f t="shared" si="20"/>
        <v>4755.1930282650483</v>
      </c>
      <c r="BC37" s="210">
        <f t="shared" si="20"/>
        <v>4949.2825396228054</v>
      </c>
      <c r="BD37" s="210">
        <f t="shared" si="21"/>
        <v>5143.3720509805626</v>
      </c>
      <c r="BE37" s="210">
        <f t="shared" si="21"/>
        <v>5337.4615623383188</v>
      </c>
      <c r="BF37" s="210">
        <f t="shared" si="21"/>
        <v>5531.5510736960759</v>
      </c>
      <c r="BG37" s="210">
        <f t="shared" si="21"/>
        <v>5725.6405850538331</v>
      </c>
      <c r="BH37" s="210">
        <f t="shared" si="21"/>
        <v>5919.7300964115902</v>
      </c>
      <c r="BI37" s="210">
        <f t="shared" si="21"/>
        <v>6113.8196077693474</v>
      </c>
      <c r="BJ37" s="210">
        <f t="shared" si="21"/>
        <v>6307.9091191271045</v>
      </c>
      <c r="BK37" s="210">
        <f t="shared" si="21"/>
        <v>6501.9986304848617</v>
      </c>
      <c r="BL37" s="210">
        <f t="shared" si="21"/>
        <v>6696.0881418426188</v>
      </c>
      <c r="BM37" s="210">
        <f t="shared" si="21"/>
        <v>6890.177653200376</v>
      </c>
      <c r="BN37" s="210">
        <f t="shared" si="22"/>
        <v>6824.728864486714</v>
      </c>
      <c r="BO37" s="210">
        <f t="shared" si="22"/>
        <v>6499.7417757016319</v>
      </c>
      <c r="BP37" s="210">
        <f t="shared" si="22"/>
        <v>6174.7546869165508</v>
      </c>
      <c r="BQ37" s="210">
        <f t="shared" si="22"/>
        <v>5849.7675981314687</v>
      </c>
      <c r="BR37" s="210">
        <f t="shared" si="22"/>
        <v>5524.7805093463876</v>
      </c>
      <c r="BS37" s="210">
        <f t="shared" si="22"/>
        <v>5199.7934205613055</v>
      </c>
      <c r="BT37" s="210">
        <f t="shared" si="22"/>
        <v>4874.8063317762244</v>
      </c>
      <c r="BU37" s="210">
        <f t="shared" si="22"/>
        <v>4549.8192429911423</v>
      </c>
      <c r="BV37" s="210">
        <f t="shared" si="22"/>
        <v>4224.8321542060603</v>
      </c>
      <c r="BW37" s="210">
        <f t="shared" si="22"/>
        <v>3899.8450654209796</v>
      </c>
      <c r="BX37" s="210">
        <f t="shared" si="23"/>
        <v>3574.8579766358976</v>
      </c>
      <c r="BY37" s="210">
        <f t="shared" si="23"/>
        <v>3249.870887850816</v>
      </c>
      <c r="BZ37" s="210">
        <f t="shared" si="23"/>
        <v>2924.8837990657344</v>
      </c>
      <c r="CA37" s="210">
        <f t="shared" si="23"/>
        <v>2599.8967102806528</v>
      </c>
      <c r="CB37" s="210">
        <f t="shared" si="23"/>
        <v>2274.9096214955716</v>
      </c>
      <c r="CC37" s="210">
        <f t="shared" si="23"/>
        <v>1949.9225327104896</v>
      </c>
      <c r="CD37" s="210">
        <f t="shared" si="23"/>
        <v>1624.9354439254075</v>
      </c>
      <c r="CE37" s="210">
        <f t="shared" si="23"/>
        <v>1299.9483551403264</v>
      </c>
      <c r="CF37" s="210">
        <f t="shared" si="23"/>
        <v>974.96126635524433</v>
      </c>
      <c r="CG37" s="210">
        <f t="shared" si="23"/>
        <v>649.97417757016319</v>
      </c>
      <c r="CH37" s="210">
        <f t="shared" si="24"/>
        <v>324.98708878508205</v>
      </c>
      <c r="CI37" s="210">
        <f t="shared" si="24"/>
        <v>0</v>
      </c>
      <c r="CJ37" s="210">
        <f t="shared" si="24"/>
        <v>0</v>
      </c>
      <c r="CK37" s="210">
        <f t="shared" si="24"/>
        <v>0</v>
      </c>
      <c r="CL37" s="210">
        <f t="shared" si="24"/>
        <v>0</v>
      </c>
      <c r="CM37" s="210">
        <f t="shared" si="24"/>
        <v>0</v>
      </c>
      <c r="CN37" s="210">
        <f t="shared" si="24"/>
        <v>0</v>
      </c>
      <c r="CO37" s="210">
        <f t="shared" si="24"/>
        <v>0</v>
      </c>
      <c r="CP37" s="210">
        <f t="shared" si="24"/>
        <v>0</v>
      </c>
      <c r="CQ37" s="210">
        <f t="shared" si="24"/>
        <v>0</v>
      </c>
      <c r="CR37" s="210">
        <f t="shared" si="25"/>
        <v>0</v>
      </c>
      <c r="CS37" s="210">
        <f t="shared" si="25"/>
        <v>0</v>
      </c>
      <c r="CT37" s="210">
        <f t="shared" si="25"/>
        <v>0</v>
      </c>
      <c r="CU37" s="210">
        <f t="shared" si="25"/>
        <v>0</v>
      </c>
      <c r="CV37" s="210">
        <f t="shared" si="25"/>
        <v>0</v>
      </c>
      <c r="CW37" s="210">
        <f t="shared" si="25"/>
        <v>0</v>
      </c>
      <c r="CX37" s="210">
        <f t="shared" si="25"/>
        <v>0</v>
      </c>
      <c r="CY37" s="210">
        <f t="shared" si="25"/>
        <v>0</v>
      </c>
      <c r="CZ37" s="210">
        <f t="shared" si="25"/>
        <v>0</v>
      </c>
      <c r="DA37" s="210">
        <f t="shared" si="25"/>
        <v>0</v>
      </c>
    </row>
    <row r="38" spans="1:105">
      <c r="A38" s="201" t="str">
        <f>Income!A88</f>
        <v>TOTAL</v>
      </c>
      <c r="B38" s="203">
        <f>Income!B88</f>
        <v>48650.036407108069</v>
      </c>
      <c r="C38" s="203">
        <f>Income!C88</f>
        <v>105607.91820347664</v>
      </c>
      <c r="D38" s="203">
        <f>Income!D88</f>
        <v>153212.59335657558</v>
      </c>
      <c r="E38" s="203">
        <f>Income!E88</f>
        <v>389759.09597611619</v>
      </c>
      <c r="F38" s="204">
        <f t="shared" ref="F38:AK38" si="26">SUM(F25:F37)</f>
        <v>48583.421329098739</v>
      </c>
      <c r="G38" s="204">
        <f t="shared" si="26"/>
        <v>48583.421329098739</v>
      </c>
      <c r="H38" s="204">
        <f t="shared" si="26"/>
        <v>48583.421329098739</v>
      </c>
      <c r="I38" s="204">
        <f t="shared" si="26"/>
        <v>48583.421329098739</v>
      </c>
      <c r="J38" s="204">
        <f t="shared" si="26"/>
        <v>48583.421329098739</v>
      </c>
      <c r="K38" s="204">
        <f t="shared" si="26"/>
        <v>48583.421329098739</v>
      </c>
      <c r="L38" s="204">
        <f t="shared" si="26"/>
        <v>48583.421329098739</v>
      </c>
      <c r="M38" s="204">
        <f t="shared" si="26"/>
        <v>48583.421329098739</v>
      </c>
      <c r="N38" s="204">
        <f t="shared" si="26"/>
        <v>48583.421329098739</v>
      </c>
      <c r="O38" s="204">
        <f t="shared" si="26"/>
        <v>48583.421329098739</v>
      </c>
      <c r="P38" s="204">
        <f t="shared" si="26"/>
        <v>48583.421329098739</v>
      </c>
      <c r="Q38" s="204">
        <f t="shared" si="26"/>
        <v>48583.421329098739</v>
      </c>
      <c r="R38" s="204">
        <f t="shared" si="26"/>
        <v>48583.421329098739</v>
      </c>
      <c r="S38" s="204">
        <f t="shared" si="26"/>
        <v>48583.421329098739</v>
      </c>
      <c r="T38" s="204">
        <f t="shared" si="26"/>
        <v>48583.421329098739</v>
      </c>
      <c r="U38" s="204">
        <f t="shared" si="26"/>
        <v>48583.421329098739</v>
      </c>
      <c r="V38" s="204">
        <f t="shared" si="26"/>
        <v>48583.421329098739</v>
      </c>
      <c r="W38" s="204">
        <f t="shared" si="26"/>
        <v>48583.421329098739</v>
      </c>
      <c r="X38" s="204">
        <f t="shared" si="26"/>
        <v>48583.421329098739</v>
      </c>
      <c r="Y38" s="204">
        <f t="shared" si="26"/>
        <v>48583.421329098739</v>
      </c>
      <c r="Z38" s="204">
        <f t="shared" si="26"/>
        <v>48583.421329098739</v>
      </c>
      <c r="AA38" s="204">
        <f t="shared" si="26"/>
        <v>48583.421329098739</v>
      </c>
      <c r="AB38" s="204">
        <f t="shared" si="26"/>
        <v>48583.421329098739</v>
      </c>
      <c r="AC38" s="204">
        <f t="shared" si="26"/>
        <v>48583.421329098739</v>
      </c>
      <c r="AD38" s="204">
        <f t="shared" si="26"/>
        <v>49374.317978831612</v>
      </c>
      <c r="AE38" s="204">
        <f t="shared" si="26"/>
        <v>50956.111278297351</v>
      </c>
      <c r="AF38" s="204">
        <f t="shared" si="26"/>
        <v>52537.904577763089</v>
      </c>
      <c r="AG38" s="204">
        <f t="shared" si="26"/>
        <v>54119.697877228835</v>
      </c>
      <c r="AH38" s="204">
        <f t="shared" si="26"/>
        <v>55701.491176694581</v>
      </c>
      <c r="AI38" s="204">
        <f t="shared" si="26"/>
        <v>57283.284476160326</v>
      </c>
      <c r="AJ38" s="204">
        <f t="shared" si="26"/>
        <v>58865.077775626058</v>
      </c>
      <c r="AK38" s="204">
        <f t="shared" si="26"/>
        <v>60446.871075091804</v>
      </c>
      <c r="AL38" s="204">
        <f t="shared" ref="AL38:BQ38" si="27">SUM(AL25:AL37)</f>
        <v>62028.664374557549</v>
      </c>
      <c r="AM38" s="204">
        <f t="shared" si="27"/>
        <v>63610.457674023295</v>
      </c>
      <c r="AN38" s="204">
        <f t="shared" si="27"/>
        <v>65192.250973489026</v>
      </c>
      <c r="AO38" s="204">
        <f t="shared" si="27"/>
        <v>66774.044272954765</v>
      </c>
      <c r="AP38" s="204">
        <f t="shared" si="27"/>
        <v>68355.837572420511</v>
      </c>
      <c r="AQ38" s="204">
        <f t="shared" si="27"/>
        <v>69937.630871886257</v>
      </c>
      <c r="AR38" s="204">
        <f t="shared" si="27"/>
        <v>71519.424171351988</v>
      </c>
      <c r="AS38" s="204">
        <f t="shared" si="27"/>
        <v>73101.217470817734</v>
      </c>
      <c r="AT38" s="204">
        <f t="shared" si="27"/>
        <v>74683.010770283479</v>
      </c>
      <c r="AU38" s="204">
        <f t="shared" si="27"/>
        <v>76264.804069749211</v>
      </c>
      <c r="AV38" s="204">
        <f t="shared" si="27"/>
        <v>77846.597369214956</v>
      </c>
      <c r="AW38" s="204">
        <f t="shared" si="27"/>
        <v>79428.390668680702</v>
      </c>
      <c r="AX38" s="204">
        <f t="shared" si="27"/>
        <v>81010.183968146433</v>
      </c>
      <c r="AY38" s="204">
        <f t="shared" si="27"/>
        <v>82591.977267612179</v>
      </c>
      <c r="AZ38" s="204">
        <f t="shared" si="27"/>
        <v>84173.770567077925</v>
      </c>
      <c r="BA38" s="204">
        <f t="shared" si="27"/>
        <v>85755.563866543671</v>
      </c>
      <c r="BB38" s="204">
        <f t="shared" si="27"/>
        <v>87337.357166009402</v>
      </c>
      <c r="BC38" s="204">
        <f t="shared" si="27"/>
        <v>88919.150465475148</v>
      </c>
      <c r="BD38" s="204">
        <f t="shared" si="27"/>
        <v>90500.943764940894</v>
      </c>
      <c r="BE38" s="204">
        <f t="shared" si="27"/>
        <v>92082.737064406625</v>
      </c>
      <c r="BF38" s="204">
        <f t="shared" si="27"/>
        <v>93664.530363872371</v>
      </c>
      <c r="BG38" s="204">
        <f t="shared" si="27"/>
        <v>95246.323663338117</v>
      </c>
      <c r="BH38" s="204">
        <f t="shared" si="27"/>
        <v>96828.116962803848</v>
      </c>
      <c r="BI38" s="204">
        <f t="shared" si="27"/>
        <v>98409.910262269594</v>
      </c>
      <c r="BJ38" s="204">
        <f t="shared" si="27"/>
        <v>99991.703561735339</v>
      </c>
      <c r="BK38" s="204">
        <f t="shared" si="27"/>
        <v>101573.49686120109</v>
      </c>
      <c r="BL38" s="204">
        <f t="shared" si="27"/>
        <v>103155.29016066682</v>
      </c>
      <c r="BM38" s="204">
        <f t="shared" si="27"/>
        <v>104737.08346013256</v>
      </c>
      <c r="BN38" s="204">
        <f t="shared" si="27"/>
        <v>106634.44590339786</v>
      </c>
      <c r="BO38" s="204">
        <f t="shared" si="27"/>
        <v>108847.37749046278</v>
      </c>
      <c r="BP38" s="204">
        <f t="shared" si="27"/>
        <v>111060.30907752768</v>
      </c>
      <c r="BQ38" s="204">
        <f t="shared" si="27"/>
        <v>113273.24066459257</v>
      </c>
      <c r="BR38" s="204">
        <f t="shared" ref="BR38:CW38" si="28">SUM(BR25:BR37)</f>
        <v>115486.17225165748</v>
      </c>
      <c r="BS38" s="204">
        <f t="shared" si="28"/>
        <v>117699.10383872237</v>
      </c>
      <c r="BT38" s="204">
        <f t="shared" si="28"/>
        <v>119912.03542578725</v>
      </c>
      <c r="BU38" s="204">
        <f t="shared" si="28"/>
        <v>122124.96701285215</v>
      </c>
      <c r="BV38" s="204">
        <f t="shared" si="28"/>
        <v>124337.89859991705</v>
      </c>
      <c r="BW38" s="204">
        <f t="shared" si="28"/>
        <v>126550.83018698194</v>
      </c>
      <c r="BX38" s="204">
        <f t="shared" si="28"/>
        <v>128763.76177404683</v>
      </c>
      <c r="BY38" s="204">
        <f t="shared" si="28"/>
        <v>130976.69336111173</v>
      </c>
      <c r="BZ38" s="204">
        <f t="shared" si="28"/>
        <v>133189.62494817664</v>
      </c>
      <c r="CA38" s="204">
        <f t="shared" si="28"/>
        <v>135402.55653524151</v>
      </c>
      <c r="CB38" s="204">
        <f t="shared" si="28"/>
        <v>137615.48812230641</v>
      </c>
      <c r="CC38" s="204">
        <f t="shared" si="28"/>
        <v>139828.41970937129</v>
      </c>
      <c r="CD38" s="204">
        <f t="shared" si="28"/>
        <v>142041.35129643622</v>
      </c>
      <c r="CE38" s="204">
        <f t="shared" si="28"/>
        <v>144254.28288350109</v>
      </c>
      <c r="CF38" s="204">
        <f t="shared" si="28"/>
        <v>146467.21447056596</v>
      </c>
      <c r="CG38" s="204">
        <f t="shared" si="28"/>
        <v>148680.14605763086</v>
      </c>
      <c r="CH38" s="204">
        <f t="shared" si="28"/>
        <v>150893.07764469579</v>
      </c>
      <c r="CI38" s="204">
        <f t="shared" si="28"/>
        <v>153106.00923176066</v>
      </c>
      <c r="CJ38" s="204">
        <f t="shared" si="28"/>
        <v>170009.80114207181</v>
      </c>
      <c r="CK38" s="204">
        <f t="shared" si="28"/>
        <v>186913.5930523829</v>
      </c>
      <c r="CL38" s="204">
        <f t="shared" si="28"/>
        <v>203817.38496269405</v>
      </c>
      <c r="CM38" s="204">
        <f t="shared" si="28"/>
        <v>220721.17687300511</v>
      </c>
      <c r="CN38" s="204">
        <f t="shared" si="28"/>
        <v>237624.9687833162</v>
      </c>
      <c r="CO38" s="204">
        <f t="shared" si="28"/>
        <v>254528.76069362735</v>
      </c>
      <c r="CP38" s="204">
        <f t="shared" si="28"/>
        <v>271432.55260393844</v>
      </c>
      <c r="CQ38" s="204">
        <f t="shared" si="28"/>
        <v>288336.34451424953</v>
      </c>
      <c r="CR38" s="204">
        <f t="shared" si="28"/>
        <v>305240.13642456062</v>
      </c>
      <c r="CS38" s="204">
        <f t="shared" si="28"/>
        <v>322143.92833487171</v>
      </c>
      <c r="CT38" s="204">
        <f t="shared" si="28"/>
        <v>339047.72024518292</v>
      </c>
      <c r="CU38" s="204">
        <f t="shared" si="28"/>
        <v>355951.51215549395</v>
      </c>
      <c r="CV38" s="204">
        <f t="shared" si="28"/>
        <v>372855.3040658051</v>
      </c>
      <c r="CW38" s="204">
        <f t="shared" si="28"/>
        <v>389759.09597611619</v>
      </c>
      <c r="CX38" s="204">
        <f>SUM(CX25:CX37)</f>
        <v>389759.09597611619</v>
      </c>
      <c r="CY38" s="204">
        <f>SUM(CY25:CY37)</f>
        <v>389759.09597611619</v>
      </c>
      <c r="CZ38" s="204">
        <f>SUM(CZ25:CZ37)</f>
        <v>389759.09597611619</v>
      </c>
      <c r="DA38" s="204">
        <f>SUM(DA25:DA37)</f>
        <v>389759.09597611619</v>
      </c>
    </row>
    <row r="39" spans="1:105">
      <c r="A39" s="201" t="str">
        <f>Income!A89</f>
        <v>Food Poverty line</v>
      </c>
      <c r="B39" s="203">
        <f>Income!B89</f>
        <v>39324.286292052799</v>
      </c>
      <c r="C39" s="203">
        <f>Income!C89</f>
        <v>39324.286292052799</v>
      </c>
      <c r="D39" s="203">
        <f>Income!D89</f>
        <v>39324.286292052799</v>
      </c>
      <c r="E39" s="203">
        <f>Income!E89</f>
        <v>39324.286292052806</v>
      </c>
      <c r="F39" s="204">
        <f t="shared" ref="F39:U39" si="29">IF(F$2&lt;=($B$2+$C$2+$D$2),IF(F$2&lt;=($B$2+$C$2),IF(F$2&lt;=$B$2,$B39,$C39),$D39),$E39)</f>
        <v>39324.286292052799</v>
      </c>
      <c r="G39" s="204">
        <f t="shared" si="29"/>
        <v>39324.286292052799</v>
      </c>
      <c r="H39" s="204">
        <f t="shared" si="29"/>
        <v>39324.286292052799</v>
      </c>
      <c r="I39" s="204">
        <f t="shared" si="29"/>
        <v>39324.286292052799</v>
      </c>
      <c r="J39" s="204">
        <f t="shared" si="29"/>
        <v>39324.286292052799</v>
      </c>
      <c r="K39" s="204">
        <f t="shared" si="29"/>
        <v>39324.286292052799</v>
      </c>
      <c r="L39" s="204">
        <f t="shared" si="29"/>
        <v>39324.286292052799</v>
      </c>
      <c r="M39" s="204">
        <f t="shared" si="29"/>
        <v>39324.286292052799</v>
      </c>
      <c r="N39" s="204">
        <f t="shared" si="29"/>
        <v>39324.286292052799</v>
      </c>
      <c r="O39" s="204">
        <f t="shared" si="29"/>
        <v>39324.286292052799</v>
      </c>
      <c r="P39" s="204">
        <f t="shared" si="29"/>
        <v>39324.286292052799</v>
      </c>
      <c r="Q39" s="204">
        <f t="shared" si="29"/>
        <v>39324.286292052799</v>
      </c>
      <c r="R39" s="204">
        <f t="shared" si="29"/>
        <v>39324.286292052799</v>
      </c>
      <c r="S39" s="204">
        <f t="shared" si="29"/>
        <v>39324.286292052799</v>
      </c>
      <c r="T39" s="204">
        <f t="shared" si="29"/>
        <v>39324.286292052799</v>
      </c>
      <c r="U39" s="204">
        <f t="shared" si="29"/>
        <v>39324.286292052799</v>
      </c>
      <c r="V39" s="204">
        <f t="shared" ref="V39:AK40" si="30">IF(V$2&lt;=($B$2+$C$2+$D$2),IF(V$2&lt;=($B$2+$C$2),IF(V$2&lt;=$B$2,$B39,$C39),$D39),$E39)</f>
        <v>39324.286292052799</v>
      </c>
      <c r="W39" s="204">
        <f t="shared" si="30"/>
        <v>39324.286292052799</v>
      </c>
      <c r="X39" s="204">
        <f t="shared" si="30"/>
        <v>39324.286292052799</v>
      </c>
      <c r="Y39" s="204">
        <f t="shared" si="30"/>
        <v>39324.286292052799</v>
      </c>
      <c r="Z39" s="204">
        <f t="shared" si="30"/>
        <v>39324.286292052799</v>
      </c>
      <c r="AA39" s="204">
        <f t="shared" si="30"/>
        <v>39324.286292052799</v>
      </c>
      <c r="AB39" s="204">
        <f t="shared" si="30"/>
        <v>39324.286292052799</v>
      </c>
      <c r="AC39" s="204">
        <f t="shared" si="30"/>
        <v>39324.286292052799</v>
      </c>
      <c r="AD39" s="204">
        <f t="shared" si="30"/>
        <v>39324.286292052799</v>
      </c>
      <c r="AE39" s="204">
        <f t="shared" si="30"/>
        <v>39324.286292052799</v>
      </c>
      <c r="AF39" s="204">
        <f t="shared" si="30"/>
        <v>39324.286292052799</v>
      </c>
      <c r="AG39" s="204">
        <f t="shared" si="30"/>
        <v>39324.286292052799</v>
      </c>
      <c r="AH39" s="204">
        <f t="shared" si="30"/>
        <v>39324.286292052799</v>
      </c>
      <c r="AI39" s="204">
        <f t="shared" si="30"/>
        <v>39324.286292052799</v>
      </c>
      <c r="AJ39" s="204">
        <f t="shared" si="30"/>
        <v>39324.286292052799</v>
      </c>
      <c r="AK39" s="204">
        <f t="shared" si="30"/>
        <v>39324.286292052799</v>
      </c>
      <c r="AL39" s="204">
        <f t="shared" ref="AL39:BA40" si="31">IF(AL$2&lt;=($B$2+$C$2+$D$2),IF(AL$2&lt;=($B$2+$C$2),IF(AL$2&lt;=$B$2,$B39,$C39),$D39),$E39)</f>
        <v>39324.286292052799</v>
      </c>
      <c r="AM39" s="204">
        <f t="shared" si="31"/>
        <v>39324.286292052799</v>
      </c>
      <c r="AN39" s="204">
        <f t="shared" si="31"/>
        <v>39324.286292052799</v>
      </c>
      <c r="AO39" s="204">
        <f t="shared" si="31"/>
        <v>39324.286292052799</v>
      </c>
      <c r="AP39" s="204">
        <f t="shared" si="31"/>
        <v>39324.286292052799</v>
      </c>
      <c r="AQ39" s="204">
        <f t="shared" si="31"/>
        <v>39324.286292052799</v>
      </c>
      <c r="AR39" s="204">
        <f t="shared" si="31"/>
        <v>39324.286292052799</v>
      </c>
      <c r="AS39" s="204">
        <f t="shared" si="31"/>
        <v>39324.286292052799</v>
      </c>
      <c r="AT39" s="204">
        <f t="shared" si="31"/>
        <v>39324.286292052799</v>
      </c>
      <c r="AU39" s="204">
        <f t="shared" si="31"/>
        <v>39324.286292052799</v>
      </c>
      <c r="AV39" s="204">
        <f t="shared" si="31"/>
        <v>39324.286292052799</v>
      </c>
      <c r="AW39" s="204">
        <f t="shared" si="31"/>
        <v>39324.286292052799</v>
      </c>
      <c r="AX39" s="204">
        <f t="shared" si="31"/>
        <v>39324.286292052799</v>
      </c>
      <c r="AY39" s="204">
        <f t="shared" si="31"/>
        <v>39324.286292052799</v>
      </c>
      <c r="AZ39" s="204">
        <f t="shared" si="31"/>
        <v>39324.286292052799</v>
      </c>
      <c r="BA39" s="204">
        <f t="shared" si="31"/>
        <v>39324.286292052799</v>
      </c>
      <c r="BB39" s="204">
        <f t="shared" ref="BB39:CD40" si="32">IF(BB$2&lt;=($B$2+$C$2+$D$2),IF(BB$2&lt;=($B$2+$C$2),IF(BB$2&lt;=$B$2,$B39,$C39),$D39),$E39)</f>
        <v>39324.286292052799</v>
      </c>
      <c r="BC39" s="204">
        <f t="shared" si="32"/>
        <v>39324.286292052799</v>
      </c>
      <c r="BD39" s="204">
        <f t="shared" si="32"/>
        <v>39324.286292052799</v>
      </c>
      <c r="BE39" s="204">
        <f t="shared" si="32"/>
        <v>39324.286292052799</v>
      </c>
      <c r="BF39" s="204">
        <f t="shared" si="32"/>
        <v>39324.286292052799</v>
      </c>
      <c r="BG39" s="204">
        <f t="shared" si="32"/>
        <v>39324.286292052799</v>
      </c>
      <c r="BH39" s="204">
        <f t="shared" si="32"/>
        <v>39324.286292052799</v>
      </c>
      <c r="BI39" s="204">
        <f t="shared" si="32"/>
        <v>39324.286292052799</v>
      </c>
      <c r="BJ39" s="204">
        <f t="shared" si="32"/>
        <v>39324.286292052799</v>
      </c>
      <c r="BK39" s="204">
        <f t="shared" si="32"/>
        <v>39324.286292052799</v>
      </c>
      <c r="BL39" s="204">
        <f t="shared" si="32"/>
        <v>39324.286292052799</v>
      </c>
      <c r="BM39" s="204">
        <f t="shared" si="32"/>
        <v>39324.286292052799</v>
      </c>
      <c r="BN39" s="204">
        <f t="shared" si="32"/>
        <v>39324.286292052799</v>
      </c>
      <c r="BO39" s="204">
        <f t="shared" si="32"/>
        <v>39324.286292052799</v>
      </c>
      <c r="BP39" s="204">
        <f t="shared" si="32"/>
        <v>39324.286292052799</v>
      </c>
      <c r="BQ39" s="204">
        <f t="shared" si="32"/>
        <v>39324.286292052799</v>
      </c>
      <c r="BR39" s="204">
        <f t="shared" si="32"/>
        <v>39324.286292052799</v>
      </c>
      <c r="BS39" s="204">
        <f t="shared" si="32"/>
        <v>39324.286292052799</v>
      </c>
      <c r="BT39" s="204">
        <f t="shared" si="32"/>
        <v>39324.286292052799</v>
      </c>
      <c r="BU39" s="204">
        <f t="shared" si="32"/>
        <v>39324.286292052799</v>
      </c>
      <c r="BV39" s="204">
        <f t="shared" si="32"/>
        <v>39324.286292052799</v>
      </c>
      <c r="BW39" s="204">
        <f t="shared" si="32"/>
        <v>39324.286292052799</v>
      </c>
      <c r="BX39" s="204">
        <f t="shared" si="32"/>
        <v>39324.286292052799</v>
      </c>
      <c r="BY39" s="204">
        <f t="shared" si="32"/>
        <v>39324.286292052799</v>
      </c>
      <c r="BZ39" s="204">
        <f t="shared" si="32"/>
        <v>39324.286292052799</v>
      </c>
      <c r="CA39" s="204">
        <f t="shared" si="32"/>
        <v>39324.286292052799</v>
      </c>
      <c r="CB39" s="204">
        <f t="shared" si="32"/>
        <v>39324.286292052799</v>
      </c>
      <c r="CC39" s="204">
        <f t="shared" si="32"/>
        <v>39324.286292052799</v>
      </c>
      <c r="CD39" s="204">
        <f t="shared" si="32"/>
        <v>39324.286292052799</v>
      </c>
      <c r="CE39" s="204">
        <f t="shared" ref="CE39:CR40" si="33">IF(CE$2&lt;=($B$2+$C$2+$D$2),IF(CE$2&lt;=($B$2+$C$2),IF(CE$2&lt;=$B$2,$B39,$C39),$D39),$E39)</f>
        <v>39324.286292052799</v>
      </c>
      <c r="CF39" s="204">
        <f t="shared" si="33"/>
        <v>39324.286292052799</v>
      </c>
      <c r="CG39" s="204">
        <f t="shared" si="33"/>
        <v>39324.286292052799</v>
      </c>
      <c r="CH39" s="204">
        <f t="shared" si="33"/>
        <v>39324.286292052799</v>
      </c>
      <c r="CI39" s="204">
        <f t="shared" si="33"/>
        <v>39324.286292052799</v>
      </c>
      <c r="CJ39" s="204">
        <f t="shared" si="33"/>
        <v>39324.286292052799</v>
      </c>
      <c r="CK39" s="204">
        <f t="shared" si="33"/>
        <v>39324.286292052799</v>
      </c>
      <c r="CL39" s="204">
        <f t="shared" si="33"/>
        <v>39324.286292052799</v>
      </c>
      <c r="CM39" s="204">
        <f t="shared" si="33"/>
        <v>39324.286292052799</v>
      </c>
      <c r="CN39" s="204">
        <f t="shared" si="33"/>
        <v>39324.286292052799</v>
      </c>
      <c r="CO39" s="204">
        <f t="shared" si="33"/>
        <v>39324.286292052799</v>
      </c>
      <c r="CP39" s="204">
        <f t="shared" si="33"/>
        <v>39324.286292052799</v>
      </c>
      <c r="CQ39" s="204">
        <f t="shared" si="33"/>
        <v>39324.286292052799</v>
      </c>
      <c r="CR39" s="204">
        <f t="shared" si="33"/>
        <v>39324.286292052806</v>
      </c>
      <c r="CS39" s="204">
        <f t="shared" ref="CS39:DA40" si="34">IF(CS$2&lt;=($B$2+$C$2+$D$2),IF(CS$2&lt;=($B$2+$C$2),IF(CS$2&lt;=$B$2,$B39,$C39),$D39),$E39)</f>
        <v>39324.286292052806</v>
      </c>
      <c r="CT39" s="204">
        <f t="shared" si="34"/>
        <v>39324.286292052806</v>
      </c>
      <c r="CU39" s="204">
        <f t="shared" si="34"/>
        <v>39324.286292052806</v>
      </c>
      <c r="CV39" s="204">
        <f t="shared" si="34"/>
        <v>39324.286292052806</v>
      </c>
      <c r="CW39" s="204">
        <f t="shared" si="34"/>
        <v>39324.286292052806</v>
      </c>
      <c r="CX39" s="204">
        <f t="shared" si="34"/>
        <v>39324.286292052806</v>
      </c>
      <c r="CY39" s="204">
        <f t="shared" si="34"/>
        <v>39324.286292052806</v>
      </c>
      <c r="CZ39" s="204">
        <f t="shared" si="34"/>
        <v>39324.286292052806</v>
      </c>
      <c r="DA39" s="204">
        <f t="shared" si="34"/>
        <v>39324.286292052806</v>
      </c>
    </row>
    <row r="40" spans="1:105">
      <c r="A40" s="201" t="str">
        <f>Income!A90</f>
        <v>Lower Bound Poverty line</v>
      </c>
      <c r="B40" s="203">
        <f>Income!B90</f>
        <v>59595.112958719466</v>
      </c>
      <c r="C40" s="203">
        <f>Income!C90</f>
        <v>59595.112958719466</v>
      </c>
      <c r="D40" s="203">
        <f>Income!D90</f>
        <v>59595.112958719466</v>
      </c>
      <c r="E40" s="203">
        <f>Income!E90</f>
        <v>59595.112958719466</v>
      </c>
      <c r="F40" s="204">
        <f t="shared" ref="F40:U40" si="35">IF(F$2&lt;=($B$2+$C$2+$D$2),IF(F$2&lt;=($B$2+$C$2),IF(F$2&lt;=$B$2,$B40,$C40),$D40),$E40)</f>
        <v>59595.112958719466</v>
      </c>
      <c r="G40" s="204">
        <f t="shared" si="35"/>
        <v>59595.112958719466</v>
      </c>
      <c r="H40" s="204">
        <f t="shared" si="35"/>
        <v>59595.112958719466</v>
      </c>
      <c r="I40" s="204">
        <f t="shared" si="35"/>
        <v>59595.112958719466</v>
      </c>
      <c r="J40" s="204">
        <f t="shared" si="35"/>
        <v>59595.112958719466</v>
      </c>
      <c r="K40" s="204">
        <f t="shared" si="35"/>
        <v>59595.112958719466</v>
      </c>
      <c r="L40" s="204">
        <f t="shared" si="35"/>
        <v>59595.112958719466</v>
      </c>
      <c r="M40" s="204">
        <f t="shared" si="35"/>
        <v>59595.112958719466</v>
      </c>
      <c r="N40" s="204">
        <f t="shared" si="35"/>
        <v>59595.112958719466</v>
      </c>
      <c r="O40" s="204">
        <f t="shared" si="35"/>
        <v>59595.112958719466</v>
      </c>
      <c r="P40" s="204">
        <f t="shared" si="35"/>
        <v>59595.112958719466</v>
      </c>
      <c r="Q40" s="204">
        <f t="shared" si="35"/>
        <v>59595.112958719466</v>
      </c>
      <c r="R40" s="204">
        <f t="shared" si="35"/>
        <v>59595.112958719466</v>
      </c>
      <c r="S40" s="204">
        <f t="shared" si="35"/>
        <v>59595.112958719466</v>
      </c>
      <c r="T40" s="204">
        <f t="shared" si="35"/>
        <v>59595.112958719466</v>
      </c>
      <c r="U40" s="204">
        <f t="shared" si="35"/>
        <v>59595.112958719466</v>
      </c>
      <c r="V40" s="204">
        <f t="shared" si="30"/>
        <v>59595.112958719466</v>
      </c>
      <c r="W40" s="204">
        <f t="shared" si="30"/>
        <v>59595.112958719466</v>
      </c>
      <c r="X40" s="204">
        <f t="shared" si="30"/>
        <v>59595.112958719466</v>
      </c>
      <c r="Y40" s="204">
        <f t="shared" si="30"/>
        <v>59595.112958719466</v>
      </c>
      <c r="Z40" s="204">
        <f t="shared" si="30"/>
        <v>59595.112958719466</v>
      </c>
      <c r="AA40" s="204">
        <f t="shared" si="30"/>
        <v>59595.112958719466</v>
      </c>
      <c r="AB40" s="204">
        <f t="shared" si="30"/>
        <v>59595.112958719466</v>
      </c>
      <c r="AC40" s="204">
        <f t="shared" si="30"/>
        <v>59595.112958719466</v>
      </c>
      <c r="AD40" s="204">
        <f t="shared" si="30"/>
        <v>59595.112958719466</v>
      </c>
      <c r="AE40" s="204">
        <f t="shared" si="30"/>
        <v>59595.112958719466</v>
      </c>
      <c r="AF40" s="204">
        <f t="shared" si="30"/>
        <v>59595.112958719466</v>
      </c>
      <c r="AG40" s="204">
        <f t="shared" si="30"/>
        <v>59595.112958719466</v>
      </c>
      <c r="AH40" s="204">
        <f t="shared" si="30"/>
        <v>59595.112958719466</v>
      </c>
      <c r="AI40" s="204">
        <f t="shared" si="30"/>
        <v>59595.112958719466</v>
      </c>
      <c r="AJ40" s="204">
        <f t="shared" si="30"/>
        <v>59595.112958719466</v>
      </c>
      <c r="AK40" s="204">
        <f t="shared" si="30"/>
        <v>59595.112958719466</v>
      </c>
      <c r="AL40" s="204">
        <f t="shared" si="31"/>
        <v>59595.112958719466</v>
      </c>
      <c r="AM40" s="204">
        <f t="shared" si="31"/>
        <v>59595.112958719466</v>
      </c>
      <c r="AN40" s="204">
        <f t="shared" si="31"/>
        <v>59595.112958719466</v>
      </c>
      <c r="AO40" s="204">
        <f t="shared" si="31"/>
        <v>59595.112958719466</v>
      </c>
      <c r="AP40" s="204">
        <f t="shared" si="31"/>
        <v>59595.112958719466</v>
      </c>
      <c r="AQ40" s="204">
        <f t="shared" si="31"/>
        <v>59595.112958719466</v>
      </c>
      <c r="AR40" s="204">
        <f t="shared" si="31"/>
        <v>59595.112958719466</v>
      </c>
      <c r="AS40" s="204">
        <f t="shared" si="31"/>
        <v>59595.112958719466</v>
      </c>
      <c r="AT40" s="204">
        <f t="shared" si="31"/>
        <v>59595.112958719466</v>
      </c>
      <c r="AU40" s="204">
        <f t="shared" si="31"/>
        <v>59595.112958719466</v>
      </c>
      <c r="AV40" s="204">
        <f t="shared" si="31"/>
        <v>59595.112958719466</v>
      </c>
      <c r="AW40" s="204">
        <f t="shared" si="31"/>
        <v>59595.112958719466</v>
      </c>
      <c r="AX40" s="204">
        <f t="shared" si="31"/>
        <v>59595.112958719466</v>
      </c>
      <c r="AY40" s="204">
        <f t="shared" si="31"/>
        <v>59595.112958719466</v>
      </c>
      <c r="AZ40" s="204">
        <f t="shared" si="31"/>
        <v>59595.112958719466</v>
      </c>
      <c r="BA40" s="204">
        <f t="shared" si="31"/>
        <v>59595.112958719466</v>
      </c>
      <c r="BB40" s="204">
        <f t="shared" si="32"/>
        <v>59595.112958719466</v>
      </c>
      <c r="BC40" s="204">
        <f t="shared" si="32"/>
        <v>59595.112958719466</v>
      </c>
      <c r="BD40" s="204">
        <f t="shared" si="32"/>
        <v>59595.112958719466</v>
      </c>
      <c r="BE40" s="204">
        <f t="shared" si="32"/>
        <v>59595.112958719466</v>
      </c>
      <c r="BF40" s="204">
        <f t="shared" si="32"/>
        <v>59595.112958719466</v>
      </c>
      <c r="BG40" s="204">
        <f t="shared" si="32"/>
        <v>59595.112958719466</v>
      </c>
      <c r="BH40" s="204">
        <f t="shared" si="32"/>
        <v>59595.112958719466</v>
      </c>
      <c r="BI40" s="204">
        <f t="shared" si="32"/>
        <v>59595.112958719466</v>
      </c>
      <c r="BJ40" s="204">
        <f t="shared" si="32"/>
        <v>59595.112958719466</v>
      </c>
      <c r="BK40" s="204">
        <f t="shared" si="32"/>
        <v>59595.112958719466</v>
      </c>
      <c r="BL40" s="204">
        <f t="shared" si="32"/>
        <v>59595.112958719466</v>
      </c>
      <c r="BM40" s="204">
        <f t="shared" si="32"/>
        <v>59595.112958719466</v>
      </c>
      <c r="BN40" s="204">
        <f t="shared" si="32"/>
        <v>59595.112958719466</v>
      </c>
      <c r="BO40" s="204">
        <f t="shared" si="32"/>
        <v>59595.112958719466</v>
      </c>
      <c r="BP40" s="204">
        <f t="shared" si="32"/>
        <v>59595.112958719466</v>
      </c>
      <c r="BQ40" s="204">
        <f t="shared" si="32"/>
        <v>59595.112958719466</v>
      </c>
      <c r="BR40" s="204">
        <f t="shared" si="32"/>
        <v>59595.112958719466</v>
      </c>
      <c r="BS40" s="204">
        <f t="shared" si="32"/>
        <v>59595.112958719466</v>
      </c>
      <c r="BT40" s="204">
        <f t="shared" si="32"/>
        <v>59595.112958719466</v>
      </c>
      <c r="BU40" s="204">
        <f t="shared" si="32"/>
        <v>59595.112958719466</v>
      </c>
      <c r="BV40" s="204">
        <f t="shared" si="32"/>
        <v>59595.112958719466</v>
      </c>
      <c r="BW40" s="204">
        <f t="shared" si="32"/>
        <v>59595.112958719466</v>
      </c>
      <c r="BX40" s="204">
        <f t="shared" si="32"/>
        <v>59595.112958719466</v>
      </c>
      <c r="BY40" s="204">
        <f t="shared" si="32"/>
        <v>59595.112958719466</v>
      </c>
      <c r="BZ40" s="204">
        <f t="shared" si="32"/>
        <v>59595.112958719466</v>
      </c>
      <c r="CA40" s="204">
        <f t="shared" si="32"/>
        <v>59595.112958719466</v>
      </c>
      <c r="CB40" s="204">
        <f t="shared" si="32"/>
        <v>59595.112958719466</v>
      </c>
      <c r="CC40" s="204">
        <f t="shared" si="32"/>
        <v>59595.112958719466</v>
      </c>
      <c r="CD40" s="204">
        <f t="shared" si="32"/>
        <v>59595.112958719466</v>
      </c>
      <c r="CE40" s="204">
        <f t="shared" si="33"/>
        <v>59595.112958719466</v>
      </c>
      <c r="CF40" s="204">
        <f t="shared" si="33"/>
        <v>59595.112958719466</v>
      </c>
      <c r="CG40" s="204">
        <f t="shared" si="33"/>
        <v>59595.112958719466</v>
      </c>
      <c r="CH40" s="204">
        <f t="shared" si="33"/>
        <v>59595.112958719466</v>
      </c>
      <c r="CI40" s="204">
        <f t="shared" si="33"/>
        <v>59595.112958719466</v>
      </c>
      <c r="CJ40" s="204">
        <f t="shared" si="33"/>
        <v>59595.112958719466</v>
      </c>
      <c r="CK40" s="204">
        <f t="shared" si="33"/>
        <v>59595.112958719466</v>
      </c>
      <c r="CL40" s="204">
        <f t="shared" si="33"/>
        <v>59595.112958719466</v>
      </c>
      <c r="CM40" s="204">
        <f t="shared" si="33"/>
        <v>59595.112958719466</v>
      </c>
      <c r="CN40" s="204">
        <f t="shared" si="33"/>
        <v>59595.112958719466</v>
      </c>
      <c r="CO40" s="204">
        <f t="shared" si="33"/>
        <v>59595.112958719466</v>
      </c>
      <c r="CP40" s="204">
        <f t="shared" si="33"/>
        <v>59595.112958719466</v>
      </c>
      <c r="CQ40" s="204">
        <f t="shared" si="33"/>
        <v>59595.112958719466</v>
      </c>
      <c r="CR40" s="204">
        <f t="shared" si="33"/>
        <v>59595.112958719466</v>
      </c>
      <c r="CS40" s="204">
        <f t="shared" si="34"/>
        <v>59595.112958719466</v>
      </c>
      <c r="CT40" s="204">
        <f t="shared" si="34"/>
        <v>59595.112958719466</v>
      </c>
      <c r="CU40" s="204">
        <f t="shared" si="34"/>
        <v>59595.112958719466</v>
      </c>
      <c r="CV40" s="204">
        <f t="shared" si="34"/>
        <v>59595.112958719466</v>
      </c>
      <c r="CW40" s="204">
        <f t="shared" si="34"/>
        <v>59595.112958719466</v>
      </c>
      <c r="CX40" s="204">
        <f t="shared" si="34"/>
        <v>59595.112958719466</v>
      </c>
      <c r="CY40" s="204">
        <f t="shared" si="34"/>
        <v>59595.112958719466</v>
      </c>
      <c r="CZ40" s="204">
        <f t="shared" si="34"/>
        <v>59595.112958719466</v>
      </c>
      <c r="DA40" s="204">
        <f t="shared" si="34"/>
        <v>59595.112958719466</v>
      </c>
    </row>
    <row r="42" spans="1:105">
      <c r="A42" s="201" t="str">
        <f>Income!A72</f>
        <v>Own crops Consumed</v>
      </c>
      <c r="F42" s="210">
        <f t="shared" ref="F42:AK42" si="36">IF(F$22&lt;=$E$24,IF(F$22&lt;=$D$24,IF(F$22&lt;=$C$24,IF(F$22&lt;=$B$24,$B108,($C25-$B25)/($C$24-$B$24)),($D25-$C25)/($D$24-$C$24)),($E25-$D25)/($E$24-$D$24)),$F108)</f>
        <v>0</v>
      </c>
      <c r="G42" s="210">
        <f t="shared" si="36"/>
        <v>0</v>
      </c>
      <c r="H42" s="210">
        <f t="shared" si="36"/>
        <v>0</v>
      </c>
      <c r="I42" s="210">
        <f t="shared" si="36"/>
        <v>0</v>
      </c>
      <c r="J42" s="210">
        <f t="shared" si="36"/>
        <v>0</v>
      </c>
      <c r="K42" s="210">
        <f t="shared" si="36"/>
        <v>0</v>
      </c>
      <c r="L42" s="210">
        <f t="shared" si="36"/>
        <v>0</v>
      </c>
      <c r="M42" s="210">
        <f t="shared" si="36"/>
        <v>0</v>
      </c>
      <c r="N42" s="210">
        <f t="shared" si="36"/>
        <v>0</v>
      </c>
      <c r="O42" s="210">
        <f t="shared" si="36"/>
        <v>0</v>
      </c>
      <c r="P42" s="210">
        <f t="shared" si="36"/>
        <v>0</v>
      </c>
      <c r="Q42" s="210">
        <f t="shared" si="36"/>
        <v>0</v>
      </c>
      <c r="R42" s="210">
        <f t="shared" si="36"/>
        <v>0</v>
      </c>
      <c r="S42" s="210">
        <f t="shared" si="36"/>
        <v>0</v>
      </c>
      <c r="T42" s="210">
        <f t="shared" si="36"/>
        <v>0</v>
      </c>
      <c r="U42" s="210">
        <f t="shared" si="36"/>
        <v>0</v>
      </c>
      <c r="V42" s="210">
        <f t="shared" si="36"/>
        <v>0</v>
      </c>
      <c r="W42" s="210">
        <f t="shared" si="36"/>
        <v>0</v>
      </c>
      <c r="X42" s="210">
        <f t="shared" si="36"/>
        <v>0</v>
      </c>
      <c r="Y42" s="210">
        <f t="shared" si="36"/>
        <v>0</v>
      </c>
      <c r="Z42" s="210">
        <f t="shared" si="36"/>
        <v>0</v>
      </c>
      <c r="AA42" s="210">
        <f t="shared" si="36"/>
        <v>0</v>
      </c>
      <c r="AB42" s="210">
        <f t="shared" si="36"/>
        <v>0</v>
      </c>
      <c r="AC42" s="210">
        <f t="shared" si="36"/>
        <v>0</v>
      </c>
      <c r="AD42" s="210">
        <f t="shared" si="36"/>
        <v>67.287459173329708</v>
      </c>
      <c r="AE42" s="210">
        <f t="shared" si="36"/>
        <v>67.287459173329708</v>
      </c>
      <c r="AF42" s="210">
        <f t="shared" si="36"/>
        <v>67.287459173329708</v>
      </c>
      <c r="AG42" s="210">
        <f t="shared" si="36"/>
        <v>67.287459173329708</v>
      </c>
      <c r="AH42" s="210">
        <f t="shared" si="36"/>
        <v>67.287459173329708</v>
      </c>
      <c r="AI42" s="210">
        <f t="shared" si="36"/>
        <v>67.287459173329708</v>
      </c>
      <c r="AJ42" s="210">
        <f t="shared" si="36"/>
        <v>67.287459173329708</v>
      </c>
      <c r="AK42" s="210">
        <f t="shared" si="36"/>
        <v>67.287459173329708</v>
      </c>
      <c r="AL42" s="210">
        <f t="shared" ref="AL42:BQ42" si="37">IF(AL$22&lt;=$E$24,IF(AL$22&lt;=$D$24,IF(AL$22&lt;=$C$24,IF(AL$22&lt;=$B$24,$B108,($C25-$B25)/($C$24-$B$24)),($D25-$C25)/($D$24-$C$24)),($E25-$D25)/($E$24-$D$24)),$F108)</f>
        <v>67.287459173329708</v>
      </c>
      <c r="AM42" s="210">
        <f t="shared" si="37"/>
        <v>67.287459173329708</v>
      </c>
      <c r="AN42" s="210">
        <f t="shared" si="37"/>
        <v>67.287459173329708</v>
      </c>
      <c r="AO42" s="210">
        <f t="shared" si="37"/>
        <v>67.287459173329708</v>
      </c>
      <c r="AP42" s="210">
        <f t="shared" si="37"/>
        <v>67.287459173329708</v>
      </c>
      <c r="AQ42" s="210">
        <f t="shared" si="37"/>
        <v>67.287459173329708</v>
      </c>
      <c r="AR42" s="210">
        <f t="shared" si="37"/>
        <v>67.287459173329708</v>
      </c>
      <c r="AS42" s="210">
        <f t="shared" si="37"/>
        <v>67.287459173329708</v>
      </c>
      <c r="AT42" s="210">
        <f t="shared" si="37"/>
        <v>67.287459173329708</v>
      </c>
      <c r="AU42" s="210">
        <f t="shared" si="37"/>
        <v>67.287459173329708</v>
      </c>
      <c r="AV42" s="210">
        <f t="shared" si="37"/>
        <v>67.287459173329708</v>
      </c>
      <c r="AW42" s="210">
        <f t="shared" si="37"/>
        <v>67.287459173329708</v>
      </c>
      <c r="AX42" s="210">
        <f t="shared" si="37"/>
        <v>67.287459173329708</v>
      </c>
      <c r="AY42" s="210">
        <f t="shared" si="37"/>
        <v>67.287459173329708</v>
      </c>
      <c r="AZ42" s="210">
        <f t="shared" si="37"/>
        <v>67.287459173329708</v>
      </c>
      <c r="BA42" s="210">
        <f t="shared" si="37"/>
        <v>67.287459173329708</v>
      </c>
      <c r="BB42" s="210">
        <f t="shared" si="37"/>
        <v>67.287459173329708</v>
      </c>
      <c r="BC42" s="210">
        <f t="shared" si="37"/>
        <v>67.287459173329708</v>
      </c>
      <c r="BD42" s="210">
        <f t="shared" si="37"/>
        <v>67.287459173329708</v>
      </c>
      <c r="BE42" s="210">
        <f t="shared" si="37"/>
        <v>67.287459173329708</v>
      </c>
      <c r="BF42" s="210">
        <f t="shared" si="37"/>
        <v>67.287459173329708</v>
      </c>
      <c r="BG42" s="210">
        <f t="shared" si="37"/>
        <v>67.287459173329708</v>
      </c>
      <c r="BH42" s="210">
        <f t="shared" si="37"/>
        <v>67.287459173329708</v>
      </c>
      <c r="BI42" s="210">
        <f t="shared" si="37"/>
        <v>67.287459173329708</v>
      </c>
      <c r="BJ42" s="210">
        <f t="shared" si="37"/>
        <v>67.287459173329708</v>
      </c>
      <c r="BK42" s="210">
        <f t="shared" si="37"/>
        <v>67.287459173329708</v>
      </c>
      <c r="BL42" s="210">
        <f t="shared" si="37"/>
        <v>67.287459173329708</v>
      </c>
      <c r="BM42" s="210">
        <f t="shared" si="37"/>
        <v>67.287459173329708</v>
      </c>
      <c r="BN42" s="210">
        <f t="shared" si="37"/>
        <v>37.137141772561357</v>
      </c>
      <c r="BO42" s="210">
        <f t="shared" si="37"/>
        <v>37.137141772561357</v>
      </c>
      <c r="BP42" s="210">
        <f t="shared" si="37"/>
        <v>37.137141772561357</v>
      </c>
      <c r="BQ42" s="210">
        <f t="shared" si="37"/>
        <v>37.137141772561357</v>
      </c>
      <c r="BR42" s="210">
        <f t="shared" ref="BR42:DA42" si="38">IF(BR$22&lt;=$E$24,IF(BR$22&lt;=$D$24,IF(BR$22&lt;=$C$24,IF(BR$22&lt;=$B$24,$B108,($C25-$B25)/($C$24-$B$24)),($D25-$C25)/($D$24-$C$24)),($E25-$D25)/($E$24-$D$24)),$F108)</f>
        <v>37.137141772561357</v>
      </c>
      <c r="BS42" s="210">
        <f t="shared" si="38"/>
        <v>37.137141772561357</v>
      </c>
      <c r="BT42" s="210">
        <f t="shared" si="38"/>
        <v>37.137141772561357</v>
      </c>
      <c r="BU42" s="210">
        <f t="shared" si="38"/>
        <v>37.137141772561357</v>
      </c>
      <c r="BV42" s="210">
        <f t="shared" si="38"/>
        <v>37.137141772561357</v>
      </c>
      <c r="BW42" s="210">
        <f t="shared" si="38"/>
        <v>37.137141772561357</v>
      </c>
      <c r="BX42" s="210">
        <f t="shared" si="38"/>
        <v>37.137141772561357</v>
      </c>
      <c r="BY42" s="210">
        <f t="shared" si="38"/>
        <v>37.137141772561357</v>
      </c>
      <c r="BZ42" s="210">
        <f t="shared" si="38"/>
        <v>37.137141772561357</v>
      </c>
      <c r="CA42" s="210">
        <f t="shared" si="38"/>
        <v>37.137141772561357</v>
      </c>
      <c r="CB42" s="210">
        <f t="shared" si="38"/>
        <v>37.137141772561357</v>
      </c>
      <c r="CC42" s="210">
        <f t="shared" si="38"/>
        <v>37.137141772561357</v>
      </c>
      <c r="CD42" s="210">
        <f t="shared" si="38"/>
        <v>37.137141772561357</v>
      </c>
      <c r="CE42" s="210">
        <f t="shared" si="38"/>
        <v>37.137141772561357</v>
      </c>
      <c r="CF42" s="210">
        <f t="shared" si="38"/>
        <v>37.137141772561357</v>
      </c>
      <c r="CG42" s="210">
        <f t="shared" si="38"/>
        <v>37.137141772561357</v>
      </c>
      <c r="CH42" s="210">
        <f t="shared" si="38"/>
        <v>37.137141772561357</v>
      </c>
      <c r="CI42" s="210">
        <f t="shared" si="38"/>
        <v>37.137141772561357</v>
      </c>
      <c r="CJ42" s="210">
        <f t="shared" si="38"/>
        <v>-136.07915108785105</v>
      </c>
      <c r="CK42" s="210">
        <f t="shared" si="38"/>
        <v>-136.07915108785105</v>
      </c>
      <c r="CL42" s="210">
        <f t="shared" si="38"/>
        <v>-136.07915108785105</v>
      </c>
      <c r="CM42" s="210">
        <f t="shared" si="38"/>
        <v>-136.07915108785105</v>
      </c>
      <c r="CN42" s="210">
        <f t="shared" si="38"/>
        <v>-136.07915108785105</v>
      </c>
      <c r="CO42" s="210">
        <f t="shared" si="38"/>
        <v>-136.07915108785105</v>
      </c>
      <c r="CP42" s="210">
        <f t="shared" si="38"/>
        <v>-136.07915108785105</v>
      </c>
      <c r="CQ42" s="210">
        <f t="shared" si="38"/>
        <v>-136.07915108785105</v>
      </c>
      <c r="CR42" s="210">
        <f t="shared" si="38"/>
        <v>-136.07915108785105</v>
      </c>
      <c r="CS42" s="210">
        <f t="shared" si="38"/>
        <v>-136.07915108785105</v>
      </c>
      <c r="CT42" s="210">
        <f t="shared" si="38"/>
        <v>-136.07915108785105</v>
      </c>
      <c r="CU42" s="210">
        <f t="shared" si="38"/>
        <v>-136.07915108785105</v>
      </c>
      <c r="CV42" s="210">
        <f t="shared" si="38"/>
        <v>-136.07915108785105</v>
      </c>
      <c r="CW42" s="210">
        <f t="shared" si="38"/>
        <v>-136.07915108785105</v>
      </c>
      <c r="CX42" s="210">
        <f t="shared" si="38"/>
        <v>106.36000000000007</v>
      </c>
      <c r="CY42" s="210">
        <f t="shared" si="38"/>
        <v>106.36000000000007</v>
      </c>
      <c r="CZ42" s="210">
        <f t="shared" si="38"/>
        <v>106.36000000000007</v>
      </c>
      <c r="DA42" s="210">
        <f t="shared" si="38"/>
        <v>106.36000000000007</v>
      </c>
    </row>
    <row r="43" spans="1:105">
      <c r="A43" s="201" t="str">
        <f>Income!A73</f>
        <v>Own crops sold</v>
      </c>
      <c r="F43" s="210">
        <f t="shared" ref="F43:AK43" si="39">IF(F$22&lt;=$E$24,IF(F$22&lt;=$D$24,IF(F$22&lt;=$C$24,IF(F$22&lt;=$B$24,$B109,($C26-$B26)/($C$24-$B$24)),($D26-$C26)/($D$24-$C$24)),($E26-$D26)/($E$24-$D$24)),$F109)</f>
        <v>340.26</v>
      </c>
      <c r="G43" s="210">
        <f t="shared" si="39"/>
        <v>340.26</v>
      </c>
      <c r="H43" s="210">
        <f t="shared" si="39"/>
        <v>340.26</v>
      </c>
      <c r="I43" s="210">
        <f t="shared" si="39"/>
        <v>340.26</v>
      </c>
      <c r="J43" s="210">
        <f t="shared" si="39"/>
        <v>340.26</v>
      </c>
      <c r="K43" s="210">
        <f t="shared" si="39"/>
        <v>340.26</v>
      </c>
      <c r="L43" s="210">
        <f>IF(L$22&lt;=$E$24,IF(L$22&lt;=$D$24,IF(L$22&lt;=$C$24,IF(L$22&lt;=$B$24,$B109,($C26-$B26)/($C$24-$B$24)),($D26-$C26)/($D$24-$C$24)),($E26-$D26)/($E$24-$D$24)),$F109)</f>
        <v>340.26</v>
      </c>
      <c r="M43" s="210">
        <f t="shared" si="39"/>
        <v>340.26</v>
      </c>
      <c r="N43" s="210">
        <f t="shared" si="39"/>
        <v>340.26</v>
      </c>
      <c r="O43" s="210">
        <f t="shared" si="39"/>
        <v>340.26</v>
      </c>
      <c r="P43" s="210">
        <f t="shared" si="39"/>
        <v>340.26</v>
      </c>
      <c r="Q43" s="210">
        <f t="shared" si="39"/>
        <v>340.26</v>
      </c>
      <c r="R43" s="210">
        <f t="shared" si="39"/>
        <v>340.26</v>
      </c>
      <c r="S43" s="210">
        <f t="shared" si="39"/>
        <v>340.26</v>
      </c>
      <c r="T43" s="210">
        <f t="shared" si="39"/>
        <v>340.26</v>
      </c>
      <c r="U43" s="210">
        <f t="shared" si="39"/>
        <v>340.26</v>
      </c>
      <c r="V43" s="210">
        <f t="shared" si="39"/>
        <v>340.26</v>
      </c>
      <c r="W43" s="210">
        <f t="shared" si="39"/>
        <v>340.26</v>
      </c>
      <c r="X43" s="210">
        <f t="shared" si="39"/>
        <v>340.26</v>
      </c>
      <c r="Y43" s="210">
        <f t="shared" si="39"/>
        <v>340.26</v>
      </c>
      <c r="Z43" s="210">
        <f t="shared" si="39"/>
        <v>340.26</v>
      </c>
      <c r="AA43" s="210">
        <f t="shared" si="39"/>
        <v>340.26</v>
      </c>
      <c r="AB43" s="210">
        <f t="shared" si="39"/>
        <v>340.26</v>
      </c>
      <c r="AC43" s="210">
        <f t="shared" si="39"/>
        <v>340.26</v>
      </c>
      <c r="AD43" s="210">
        <f t="shared" si="39"/>
        <v>62.149078949348485</v>
      </c>
      <c r="AE43" s="210">
        <f t="shared" si="39"/>
        <v>62.149078949348485</v>
      </c>
      <c r="AF43" s="210">
        <f t="shared" si="39"/>
        <v>62.149078949348485</v>
      </c>
      <c r="AG43" s="210">
        <f t="shared" si="39"/>
        <v>62.149078949348485</v>
      </c>
      <c r="AH43" s="210">
        <f t="shared" si="39"/>
        <v>62.149078949348485</v>
      </c>
      <c r="AI43" s="210">
        <f t="shared" si="39"/>
        <v>62.149078949348485</v>
      </c>
      <c r="AJ43" s="210">
        <f t="shared" si="39"/>
        <v>62.149078949348485</v>
      </c>
      <c r="AK43" s="210">
        <f t="shared" si="39"/>
        <v>62.149078949348485</v>
      </c>
      <c r="AL43" s="210">
        <f t="shared" ref="AL43:BQ43" si="40">IF(AL$22&lt;=$E$24,IF(AL$22&lt;=$D$24,IF(AL$22&lt;=$C$24,IF(AL$22&lt;=$B$24,$B109,($C26-$B26)/($C$24-$B$24)),($D26-$C26)/($D$24-$C$24)),($E26-$D26)/($E$24-$D$24)),$F109)</f>
        <v>62.149078949348485</v>
      </c>
      <c r="AM43" s="210">
        <f t="shared" si="40"/>
        <v>62.149078949348485</v>
      </c>
      <c r="AN43" s="210">
        <f t="shared" si="40"/>
        <v>62.149078949348485</v>
      </c>
      <c r="AO43" s="210">
        <f t="shared" si="40"/>
        <v>62.149078949348485</v>
      </c>
      <c r="AP43" s="210">
        <f t="shared" si="40"/>
        <v>62.149078949348485</v>
      </c>
      <c r="AQ43" s="210">
        <f t="shared" si="40"/>
        <v>62.149078949348485</v>
      </c>
      <c r="AR43" s="210">
        <f t="shared" si="40"/>
        <v>62.149078949348485</v>
      </c>
      <c r="AS43" s="210">
        <f t="shared" si="40"/>
        <v>62.149078949348485</v>
      </c>
      <c r="AT43" s="210">
        <f t="shared" si="40"/>
        <v>62.149078949348485</v>
      </c>
      <c r="AU43" s="210">
        <f t="shared" si="40"/>
        <v>62.149078949348485</v>
      </c>
      <c r="AV43" s="210">
        <f t="shared" si="40"/>
        <v>62.149078949348485</v>
      </c>
      <c r="AW43" s="210">
        <f t="shared" si="40"/>
        <v>62.149078949348485</v>
      </c>
      <c r="AX43" s="210">
        <f t="shared" si="40"/>
        <v>62.149078949348485</v>
      </c>
      <c r="AY43" s="210">
        <f t="shared" si="40"/>
        <v>62.149078949348485</v>
      </c>
      <c r="AZ43" s="210">
        <f t="shared" si="40"/>
        <v>62.149078949348485</v>
      </c>
      <c r="BA43" s="210">
        <f t="shared" si="40"/>
        <v>62.149078949348485</v>
      </c>
      <c r="BB43" s="210">
        <f t="shared" si="40"/>
        <v>62.149078949348485</v>
      </c>
      <c r="BC43" s="210">
        <f t="shared" si="40"/>
        <v>62.149078949348485</v>
      </c>
      <c r="BD43" s="210">
        <f t="shared" si="40"/>
        <v>62.149078949348485</v>
      </c>
      <c r="BE43" s="210">
        <f t="shared" si="40"/>
        <v>62.149078949348485</v>
      </c>
      <c r="BF43" s="210">
        <f t="shared" si="40"/>
        <v>62.149078949348485</v>
      </c>
      <c r="BG43" s="210">
        <f t="shared" si="40"/>
        <v>62.149078949348485</v>
      </c>
      <c r="BH43" s="210">
        <f t="shared" si="40"/>
        <v>62.149078949348485</v>
      </c>
      <c r="BI43" s="210">
        <f t="shared" si="40"/>
        <v>62.149078949348485</v>
      </c>
      <c r="BJ43" s="210">
        <f t="shared" si="40"/>
        <v>62.149078949348485</v>
      </c>
      <c r="BK43" s="210">
        <f t="shared" si="40"/>
        <v>62.149078949348485</v>
      </c>
      <c r="BL43" s="210">
        <f t="shared" si="40"/>
        <v>62.149078949348485</v>
      </c>
      <c r="BM43" s="210">
        <f t="shared" si="40"/>
        <v>62.149078949348485</v>
      </c>
      <c r="BN43" s="210">
        <f t="shared" si="40"/>
        <v>182.80523744160831</v>
      </c>
      <c r="BO43" s="210">
        <f t="shared" si="40"/>
        <v>182.80523744160831</v>
      </c>
      <c r="BP43" s="210">
        <f t="shared" si="40"/>
        <v>182.80523744160831</v>
      </c>
      <c r="BQ43" s="210">
        <f t="shared" si="40"/>
        <v>182.80523744160831</v>
      </c>
      <c r="BR43" s="210">
        <f t="shared" ref="BR43:DA43" si="41">IF(BR$22&lt;=$E$24,IF(BR$22&lt;=$D$24,IF(BR$22&lt;=$C$24,IF(BR$22&lt;=$B$24,$B109,($C26-$B26)/($C$24-$B$24)),($D26-$C26)/($D$24-$C$24)),($E26-$D26)/($E$24-$D$24)),$F109)</f>
        <v>182.80523744160831</v>
      </c>
      <c r="BS43" s="210">
        <f t="shared" si="41"/>
        <v>182.80523744160831</v>
      </c>
      <c r="BT43" s="210">
        <f t="shared" si="41"/>
        <v>182.80523744160831</v>
      </c>
      <c r="BU43" s="210">
        <f t="shared" si="41"/>
        <v>182.80523744160831</v>
      </c>
      <c r="BV43" s="210">
        <f t="shared" si="41"/>
        <v>182.80523744160831</v>
      </c>
      <c r="BW43" s="210">
        <f t="shared" si="41"/>
        <v>182.80523744160831</v>
      </c>
      <c r="BX43" s="210">
        <f t="shared" si="41"/>
        <v>182.80523744160831</v>
      </c>
      <c r="BY43" s="210">
        <f t="shared" si="41"/>
        <v>182.80523744160831</v>
      </c>
      <c r="BZ43" s="210">
        <f t="shared" si="41"/>
        <v>182.80523744160831</v>
      </c>
      <c r="CA43" s="210">
        <f t="shared" si="41"/>
        <v>182.80523744160831</v>
      </c>
      <c r="CB43" s="210">
        <f t="shared" si="41"/>
        <v>182.80523744160831</v>
      </c>
      <c r="CC43" s="210">
        <f t="shared" si="41"/>
        <v>182.80523744160831</v>
      </c>
      <c r="CD43" s="210">
        <f t="shared" si="41"/>
        <v>182.80523744160831</v>
      </c>
      <c r="CE43" s="210">
        <f t="shared" si="41"/>
        <v>182.80523744160831</v>
      </c>
      <c r="CF43" s="210">
        <f t="shared" si="41"/>
        <v>182.80523744160831</v>
      </c>
      <c r="CG43" s="210">
        <f t="shared" si="41"/>
        <v>182.80523744160831</v>
      </c>
      <c r="CH43" s="210">
        <f t="shared" si="41"/>
        <v>182.80523744160831</v>
      </c>
      <c r="CI43" s="210">
        <f t="shared" si="41"/>
        <v>182.80523744160831</v>
      </c>
      <c r="CJ43" s="210">
        <f t="shared" si="41"/>
        <v>852.23615159321253</v>
      </c>
      <c r="CK43" s="210">
        <f t="shared" si="41"/>
        <v>852.23615159321253</v>
      </c>
      <c r="CL43" s="210">
        <f t="shared" si="41"/>
        <v>852.23615159321253</v>
      </c>
      <c r="CM43" s="210">
        <f t="shared" si="41"/>
        <v>852.23615159321253</v>
      </c>
      <c r="CN43" s="210">
        <f t="shared" si="41"/>
        <v>852.23615159321253</v>
      </c>
      <c r="CO43" s="210">
        <f t="shared" si="41"/>
        <v>852.23615159321253</v>
      </c>
      <c r="CP43" s="210">
        <f t="shared" si="41"/>
        <v>852.23615159321253</v>
      </c>
      <c r="CQ43" s="210">
        <f t="shared" si="41"/>
        <v>852.23615159321253</v>
      </c>
      <c r="CR43" s="210">
        <f t="shared" si="41"/>
        <v>852.23615159321253</v>
      </c>
      <c r="CS43" s="210">
        <f t="shared" si="41"/>
        <v>852.23615159321253</v>
      </c>
      <c r="CT43" s="210">
        <f t="shared" si="41"/>
        <v>852.23615159321253</v>
      </c>
      <c r="CU43" s="210">
        <f t="shared" si="41"/>
        <v>852.23615159321253</v>
      </c>
      <c r="CV43" s="210">
        <f t="shared" si="41"/>
        <v>852.23615159321253</v>
      </c>
      <c r="CW43" s="210">
        <f t="shared" si="41"/>
        <v>852.23615159321253</v>
      </c>
      <c r="CX43" s="210">
        <f t="shared" si="41"/>
        <v>724.86000000000013</v>
      </c>
      <c r="CY43" s="210">
        <f t="shared" si="41"/>
        <v>724.86000000000013</v>
      </c>
      <c r="CZ43" s="210">
        <f t="shared" si="41"/>
        <v>724.86000000000013</v>
      </c>
      <c r="DA43" s="210">
        <f t="shared" si="41"/>
        <v>724.86000000000013</v>
      </c>
    </row>
    <row r="44" spans="1:105">
      <c r="A44" s="201" t="str">
        <f>Income!A74</f>
        <v>Animal products consumed</v>
      </c>
      <c r="F44" s="210">
        <f t="shared" ref="F44:AK44" si="42">IF(F$22&lt;=$E$24,IF(F$22&lt;=$D$24,IF(F$22&lt;=$C$24,IF(F$22&lt;=$B$24,$B110,($C27-$B27)/($C$24-$B$24)),($D27-$C27)/($D$24-$C$24)),($E27-$D27)/($E$24-$D$24)),$F110)</f>
        <v>0</v>
      </c>
      <c r="G44" s="210">
        <f t="shared" si="42"/>
        <v>0</v>
      </c>
      <c r="H44" s="210">
        <f t="shared" si="42"/>
        <v>0</v>
      </c>
      <c r="I44" s="210">
        <f t="shared" si="42"/>
        <v>0</v>
      </c>
      <c r="J44" s="210">
        <f t="shared" si="42"/>
        <v>0</v>
      </c>
      <c r="K44" s="210">
        <f t="shared" si="42"/>
        <v>0</v>
      </c>
      <c r="L44" s="210">
        <f t="shared" si="42"/>
        <v>0</v>
      </c>
      <c r="M44" s="210">
        <f t="shared" si="42"/>
        <v>0</v>
      </c>
      <c r="N44" s="210">
        <f t="shared" si="42"/>
        <v>0</v>
      </c>
      <c r="O44" s="210">
        <f t="shared" si="42"/>
        <v>0</v>
      </c>
      <c r="P44" s="210">
        <f t="shared" si="42"/>
        <v>0</v>
      </c>
      <c r="Q44" s="210">
        <f t="shared" si="42"/>
        <v>0</v>
      </c>
      <c r="R44" s="210">
        <f t="shared" si="42"/>
        <v>0</v>
      </c>
      <c r="S44" s="210">
        <f t="shared" si="42"/>
        <v>0</v>
      </c>
      <c r="T44" s="210">
        <f t="shared" si="42"/>
        <v>0</v>
      </c>
      <c r="U44" s="210">
        <f t="shared" si="42"/>
        <v>0</v>
      </c>
      <c r="V44" s="210">
        <f t="shared" si="42"/>
        <v>0</v>
      </c>
      <c r="W44" s="210">
        <f t="shared" si="42"/>
        <v>0</v>
      </c>
      <c r="X44" s="210">
        <f t="shared" si="42"/>
        <v>0</v>
      </c>
      <c r="Y44" s="210">
        <f t="shared" si="42"/>
        <v>0</v>
      </c>
      <c r="Z44" s="210">
        <f t="shared" si="42"/>
        <v>0</v>
      </c>
      <c r="AA44" s="210">
        <f t="shared" si="42"/>
        <v>0</v>
      </c>
      <c r="AB44" s="210">
        <f t="shared" si="42"/>
        <v>0</v>
      </c>
      <c r="AC44" s="210">
        <f t="shared" si="42"/>
        <v>0</v>
      </c>
      <c r="AD44" s="210">
        <f t="shared" si="42"/>
        <v>7.3607821004785388</v>
      </c>
      <c r="AE44" s="210">
        <f t="shared" si="42"/>
        <v>7.3607821004785388</v>
      </c>
      <c r="AF44" s="210">
        <f t="shared" si="42"/>
        <v>7.3607821004785388</v>
      </c>
      <c r="AG44" s="210">
        <f t="shared" si="42"/>
        <v>7.3607821004785388</v>
      </c>
      <c r="AH44" s="210">
        <f t="shared" si="42"/>
        <v>7.3607821004785388</v>
      </c>
      <c r="AI44" s="210">
        <f t="shared" si="42"/>
        <v>7.3607821004785388</v>
      </c>
      <c r="AJ44" s="210">
        <f t="shared" si="42"/>
        <v>7.3607821004785388</v>
      </c>
      <c r="AK44" s="210">
        <f t="shared" si="42"/>
        <v>7.3607821004785388</v>
      </c>
      <c r="AL44" s="210">
        <f t="shared" ref="AL44:BQ44" si="43">IF(AL$22&lt;=$E$24,IF(AL$22&lt;=$D$24,IF(AL$22&lt;=$C$24,IF(AL$22&lt;=$B$24,$B110,($C27-$B27)/($C$24-$B$24)),($D27-$C27)/($D$24-$C$24)),($E27-$D27)/($E$24-$D$24)),$F110)</f>
        <v>7.3607821004785388</v>
      </c>
      <c r="AM44" s="210">
        <f t="shared" si="43"/>
        <v>7.3607821004785388</v>
      </c>
      <c r="AN44" s="210">
        <f t="shared" si="43"/>
        <v>7.3607821004785388</v>
      </c>
      <c r="AO44" s="210">
        <f t="shared" si="43"/>
        <v>7.3607821004785388</v>
      </c>
      <c r="AP44" s="210">
        <f t="shared" si="43"/>
        <v>7.3607821004785388</v>
      </c>
      <c r="AQ44" s="210">
        <f t="shared" si="43"/>
        <v>7.3607821004785388</v>
      </c>
      <c r="AR44" s="210">
        <f t="shared" si="43"/>
        <v>7.3607821004785388</v>
      </c>
      <c r="AS44" s="210">
        <f t="shared" si="43"/>
        <v>7.3607821004785388</v>
      </c>
      <c r="AT44" s="210">
        <f t="shared" si="43"/>
        <v>7.3607821004785388</v>
      </c>
      <c r="AU44" s="210">
        <f t="shared" si="43"/>
        <v>7.3607821004785388</v>
      </c>
      <c r="AV44" s="210">
        <f t="shared" si="43"/>
        <v>7.3607821004785388</v>
      </c>
      <c r="AW44" s="210">
        <f t="shared" si="43"/>
        <v>7.3607821004785388</v>
      </c>
      <c r="AX44" s="210">
        <f t="shared" si="43"/>
        <v>7.3607821004785388</v>
      </c>
      <c r="AY44" s="210">
        <f t="shared" si="43"/>
        <v>7.3607821004785388</v>
      </c>
      <c r="AZ44" s="210">
        <f t="shared" si="43"/>
        <v>7.3607821004785388</v>
      </c>
      <c r="BA44" s="210">
        <f t="shared" si="43"/>
        <v>7.3607821004785388</v>
      </c>
      <c r="BB44" s="210">
        <f t="shared" si="43"/>
        <v>7.3607821004785388</v>
      </c>
      <c r="BC44" s="210">
        <f t="shared" si="43"/>
        <v>7.3607821004785388</v>
      </c>
      <c r="BD44" s="210">
        <f t="shared" si="43"/>
        <v>7.3607821004785388</v>
      </c>
      <c r="BE44" s="210">
        <f t="shared" si="43"/>
        <v>7.3607821004785388</v>
      </c>
      <c r="BF44" s="210">
        <f t="shared" si="43"/>
        <v>7.3607821004785388</v>
      </c>
      <c r="BG44" s="210">
        <f t="shared" si="43"/>
        <v>7.3607821004785388</v>
      </c>
      <c r="BH44" s="210">
        <f t="shared" si="43"/>
        <v>7.3607821004785388</v>
      </c>
      <c r="BI44" s="210">
        <f t="shared" si="43"/>
        <v>7.3607821004785388</v>
      </c>
      <c r="BJ44" s="210">
        <f t="shared" si="43"/>
        <v>7.3607821004785388</v>
      </c>
      <c r="BK44" s="210">
        <f t="shared" si="43"/>
        <v>7.3607821004785388</v>
      </c>
      <c r="BL44" s="210">
        <f t="shared" si="43"/>
        <v>7.3607821004785388</v>
      </c>
      <c r="BM44" s="210">
        <f t="shared" si="43"/>
        <v>7.3607821004785388</v>
      </c>
      <c r="BN44" s="210">
        <f t="shared" si="43"/>
        <v>15.427685739665778</v>
      </c>
      <c r="BO44" s="210">
        <f t="shared" si="43"/>
        <v>15.427685739665778</v>
      </c>
      <c r="BP44" s="210">
        <f t="shared" si="43"/>
        <v>15.427685739665778</v>
      </c>
      <c r="BQ44" s="210">
        <f t="shared" si="43"/>
        <v>15.427685739665778</v>
      </c>
      <c r="BR44" s="210">
        <f t="shared" ref="BR44:DA44" si="44">IF(BR$22&lt;=$E$24,IF(BR$22&lt;=$D$24,IF(BR$22&lt;=$C$24,IF(BR$22&lt;=$B$24,$B110,($C27-$B27)/($C$24-$B$24)),($D27-$C27)/($D$24-$C$24)),($E27-$D27)/($E$24-$D$24)),$F110)</f>
        <v>15.427685739665778</v>
      </c>
      <c r="BS44" s="210">
        <f t="shared" si="44"/>
        <v>15.427685739665778</v>
      </c>
      <c r="BT44" s="210">
        <f t="shared" si="44"/>
        <v>15.427685739665778</v>
      </c>
      <c r="BU44" s="210">
        <f t="shared" si="44"/>
        <v>15.427685739665778</v>
      </c>
      <c r="BV44" s="210">
        <f t="shared" si="44"/>
        <v>15.427685739665778</v>
      </c>
      <c r="BW44" s="210">
        <f t="shared" si="44"/>
        <v>15.427685739665778</v>
      </c>
      <c r="BX44" s="210">
        <f t="shared" si="44"/>
        <v>15.427685739665778</v>
      </c>
      <c r="BY44" s="210">
        <f t="shared" si="44"/>
        <v>15.427685739665778</v>
      </c>
      <c r="BZ44" s="210">
        <f t="shared" si="44"/>
        <v>15.427685739665778</v>
      </c>
      <c r="CA44" s="210">
        <f t="shared" si="44"/>
        <v>15.427685739665778</v>
      </c>
      <c r="CB44" s="210">
        <f t="shared" si="44"/>
        <v>15.427685739665778</v>
      </c>
      <c r="CC44" s="210">
        <f t="shared" si="44"/>
        <v>15.427685739665778</v>
      </c>
      <c r="CD44" s="210">
        <f t="shared" si="44"/>
        <v>15.427685739665778</v>
      </c>
      <c r="CE44" s="210">
        <f t="shared" si="44"/>
        <v>15.427685739665778</v>
      </c>
      <c r="CF44" s="210">
        <f t="shared" si="44"/>
        <v>15.427685739665778</v>
      </c>
      <c r="CG44" s="210">
        <f t="shared" si="44"/>
        <v>15.427685739665778</v>
      </c>
      <c r="CH44" s="210">
        <f t="shared" si="44"/>
        <v>15.427685739665778</v>
      </c>
      <c r="CI44" s="210">
        <f t="shared" si="44"/>
        <v>15.427685739665778</v>
      </c>
      <c r="CJ44" s="210">
        <f t="shared" si="44"/>
        <v>133.36253743143803</v>
      </c>
      <c r="CK44" s="210">
        <f t="shared" si="44"/>
        <v>133.36253743143803</v>
      </c>
      <c r="CL44" s="210">
        <f t="shared" si="44"/>
        <v>133.36253743143803</v>
      </c>
      <c r="CM44" s="210">
        <f t="shared" si="44"/>
        <v>133.36253743143803</v>
      </c>
      <c r="CN44" s="210">
        <f t="shared" si="44"/>
        <v>133.36253743143803</v>
      </c>
      <c r="CO44" s="210">
        <f t="shared" si="44"/>
        <v>133.36253743143803</v>
      </c>
      <c r="CP44" s="210">
        <f t="shared" si="44"/>
        <v>133.36253743143803</v>
      </c>
      <c r="CQ44" s="210">
        <f t="shared" si="44"/>
        <v>133.36253743143803</v>
      </c>
      <c r="CR44" s="210">
        <f t="shared" si="44"/>
        <v>133.36253743143803</v>
      </c>
      <c r="CS44" s="210">
        <f t="shared" si="44"/>
        <v>133.36253743143803</v>
      </c>
      <c r="CT44" s="210">
        <f t="shared" si="44"/>
        <v>133.36253743143803</v>
      </c>
      <c r="CU44" s="210">
        <f t="shared" si="44"/>
        <v>133.36253743143803</v>
      </c>
      <c r="CV44" s="210">
        <f t="shared" si="44"/>
        <v>133.36253743143803</v>
      </c>
      <c r="CW44" s="210">
        <f t="shared" si="44"/>
        <v>133.36253743143803</v>
      </c>
      <c r="CX44" s="210">
        <f t="shared" si="44"/>
        <v>8.4310000000000009</v>
      </c>
      <c r="CY44" s="210">
        <f t="shared" si="44"/>
        <v>8.4310000000000009</v>
      </c>
      <c r="CZ44" s="210">
        <f t="shared" si="44"/>
        <v>8.4310000000000009</v>
      </c>
      <c r="DA44" s="210">
        <f t="shared" si="44"/>
        <v>8.4310000000000009</v>
      </c>
    </row>
    <row r="45" spans="1:105">
      <c r="A45" s="201" t="str">
        <f>Income!A75</f>
        <v>Animal products sold</v>
      </c>
      <c r="F45" s="210">
        <f t="shared" ref="F45:AK45" si="45">IF(F$22&lt;=$E$24,IF(F$22&lt;=$D$24,IF(F$22&lt;=$C$24,IF(F$22&lt;=$B$24,$B111,($C28-$B28)/($C$24-$B$24)),($D28-$C28)/($D$24-$C$24)),($E28-$D28)/($E$24-$D$24)),$F111)</f>
        <v>0</v>
      </c>
      <c r="G45" s="210">
        <f t="shared" si="45"/>
        <v>0</v>
      </c>
      <c r="H45" s="210">
        <f t="shared" si="45"/>
        <v>0</v>
      </c>
      <c r="I45" s="210">
        <f t="shared" si="45"/>
        <v>0</v>
      </c>
      <c r="J45" s="210">
        <f t="shared" si="45"/>
        <v>0</v>
      </c>
      <c r="K45" s="210">
        <f t="shared" si="45"/>
        <v>0</v>
      </c>
      <c r="L45" s="210">
        <f t="shared" si="45"/>
        <v>0</v>
      </c>
      <c r="M45" s="210">
        <f t="shared" si="45"/>
        <v>0</v>
      </c>
      <c r="N45" s="210">
        <f t="shared" si="45"/>
        <v>0</v>
      </c>
      <c r="O45" s="210">
        <f t="shared" si="45"/>
        <v>0</v>
      </c>
      <c r="P45" s="210">
        <f t="shared" si="45"/>
        <v>0</v>
      </c>
      <c r="Q45" s="210">
        <f t="shared" si="45"/>
        <v>0</v>
      </c>
      <c r="R45" s="210">
        <f t="shared" si="45"/>
        <v>0</v>
      </c>
      <c r="S45" s="210">
        <f t="shared" si="45"/>
        <v>0</v>
      </c>
      <c r="T45" s="210">
        <f t="shared" si="45"/>
        <v>0</v>
      </c>
      <c r="U45" s="210">
        <f t="shared" si="45"/>
        <v>0</v>
      </c>
      <c r="V45" s="210">
        <f t="shared" si="45"/>
        <v>0</v>
      </c>
      <c r="W45" s="210">
        <f t="shared" si="45"/>
        <v>0</v>
      </c>
      <c r="X45" s="210">
        <f t="shared" si="45"/>
        <v>0</v>
      </c>
      <c r="Y45" s="210">
        <f t="shared" si="45"/>
        <v>0</v>
      </c>
      <c r="Z45" s="210">
        <f t="shared" si="45"/>
        <v>0</v>
      </c>
      <c r="AA45" s="210">
        <f t="shared" si="45"/>
        <v>0</v>
      </c>
      <c r="AB45" s="210">
        <f t="shared" si="45"/>
        <v>0</v>
      </c>
      <c r="AC45" s="210">
        <f t="shared" si="45"/>
        <v>0</v>
      </c>
      <c r="AD45" s="210">
        <f t="shared" si="45"/>
        <v>0</v>
      </c>
      <c r="AE45" s="210">
        <f t="shared" si="45"/>
        <v>0</v>
      </c>
      <c r="AF45" s="210">
        <f t="shared" si="45"/>
        <v>0</v>
      </c>
      <c r="AG45" s="210">
        <f t="shared" si="45"/>
        <v>0</v>
      </c>
      <c r="AH45" s="210">
        <f t="shared" si="45"/>
        <v>0</v>
      </c>
      <c r="AI45" s="210">
        <f t="shared" si="45"/>
        <v>0</v>
      </c>
      <c r="AJ45" s="210">
        <f t="shared" si="45"/>
        <v>0</v>
      </c>
      <c r="AK45" s="210">
        <f t="shared" si="45"/>
        <v>0</v>
      </c>
      <c r="AL45" s="210">
        <f t="shared" ref="AL45:BQ45" si="46">IF(AL$22&lt;=$E$24,IF(AL$22&lt;=$D$24,IF(AL$22&lt;=$C$24,IF(AL$22&lt;=$B$24,$B111,($C28-$B28)/($C$24-$B$24)),($D28-$C28)/($D$24-$C$24)),($E28-$D28)/($E$24-$D$24)),$F111)</f>
        <v>0</v>
      </c>
      <c r="AM45" s="210">
        <f t="shared" si="46"/>
        <v>0</v>
      </c>
      <c r="AN45" s="210">
        <f t="shared" si="46"/>
        <v>0</v>
      </c>
      <c r="AO45" s="210">
        <f t="shared" si="46"/>
        <v>0</v>
      </c>
      <c r="AP45" s="210">
        <f t="shared" si="46"/>
        <v>0</v>
      </c>
      <c r="AQ45" s="210">
        <f t="shared" si="46"/>
        <v>0</v>
      </c>
      <c r="AR45" s="210">
        <f t="shared" si="46"/>
        <v>0</v>
      </c>
      <c r="AS45" s="210">
        <f t="shared" si="46"/>
        <v>0</v>
      </c>
      <c r="AT45" s="210">
        <f t="shared" si="46"/>
        <v>0</v>
      </c>
      <c r="AU45" s="210">
        <f t="shared" si="46"/>
        <v>0</v>
      </c>
      <c r="AV45" s="210">
        <f t="shared" si="46"/>
        <v>0</v>
      </c>
      <c r="AW45" s="210">
        <f t="shared" si="46"/>
        <v>0</v>
      </c>
      <c r="AX45" s="210">
        <f t="shared" si="46"/>
        <v>0</v>
      </c>
      <c r="AY45" s="210">
        <f t="shared" si="46"/>
        <v>0</v>
      </c>
      <c r="AZ45" s="210">
        <f t="shared" si="46"/>
        <v>0</v>
      </c>
      <c r="BA45" s="210">
        <f t="shared" si="46"/>
        <v>0</v>
      </c>
      <c r="BB45" s="210">
        <f t="shared" si="46"/>
        <v>0</v>
      </c>
      <c r="BC45" s="210">
        <f t="shared" si="46"/>
        <v>0</v>
      </c>
      <c r="BD45" s="210">
        <f t="shared" si="46"/>
        <v>0</v>
      </c>
      <c r="BE45" s="210">
        <f t="shared" si="46"/>
        <v>0</v>
      </c>
      <c r="BF45" s="210">
        <f t="shared" si="46"/>
        <v>0</v>
      </c>
      <c r="BG45" s="210">
        <f t="shared" si="46"/>
        <v>0</v>
      </c>
      <c r="BH45" s="210">
        <f t="shared" si="46"/>
        <v>0</v>
      </c>
      <c r="BI45" s="210">
        <f t="shared" si="46"/>
        <v>0</v>
      </c>
      <c r="BJ45" s="210">
        <f t="shared" si="46"/>
        <v>0</v>
      </c>
      <c r="BK45" s="210">
        <f t="shared" si="46"/>
        <v>0</v>
      </c>
      <c r="BL45" s="210">
        <f t="shared" si="46"/>
        <v>0</v>
      </c>
      <c r="BM45" s="210">
        <f t="shared" si="46"/>
        <v>0</v>
      </c>
      <c r="BN45" s="210">
        <f t="shared" si="46"/>
        <v>0</v>
      </c>
      <c r="BO45" s="210">
        <f t="shared" si="46"/>
        <v>0</v>
      </c>
      <c r="BP45" s="210">
        <f t="shared" si="46"/>
        <v>0</v>
      </c>
      <c r="BQ45" s="210">
        <f t="shared" si="46"/>
        <v>0</v>
      </c>
      <c r="BR45" s="210">
        <f t="shared" ref="BR45:DA45" si="47">IF(BR$22&lt;=$E$24,IF(BR$22&lt;=$D$24,IF(BR$22&lt;=$C$24,IF(BR$22&lt;=$B$24,$B111,($C28-$B28)/($C$24-$B$24)),($D28-$C28)/($D$24-$C$24)),($E28-$D28)/($E$24-$D$24)),$F111)</f>
        <v>0</v>
      </c>
      <c r="BS45" s="210">
        <f t="shared" si="47"/>
        <v>0</v>
      </c>
      <c r="BT45" s="210">
        <f t="shared" si="47"/>
        <v>0</v>
      </c>
      <c r="BU45" s="210">
        <f t="shared" si="47"/>
        <v>0</v>
      </c>
      <c r="BV45" s="210">
        <f t="shared" si="47"/>
        <v>0</v>
      </c>
      <c r="BW45" s="210">
        <f t="shared" si="47"/>
        <v>0</v>
      </c>
      <c r="BX45" s="210">
        <f t="shared" si="47"/>
        <v>0</v>
      </c>
      <c r="BY45" s="210">
        <f t="shared" si="47"/>
        <v>0</v>
      </c>
      <c r="BZ45" s="210">
        <f t="shared" si="47"/>
        <v>0</v>
      </c>
      <c r="CA45" s="210">
        <f t="shared" si="47"/>
        <v>0</v>
      </c>
      <c r="CB45" s="210">
        <f t="shared" si="47"/>
        <v>0</v>
      </c>
      <c r="CC45" s="210">
        <f t="shared" si="47"/>
        <v>0</v>
      </c>
      <c r="CD45" s="210">
        <f t="shared" si="47"/>
        <v>0</v>
      </c>
      <c r="CE45" s="210">
        <f t="shared" si="47"/>
        <v>0</v>
      </c>
      <c r="CF45" s="210">
        <f t="shared" si="47"/>
        <v>0</v>
      </c>
      <c r="CG45" s="210">
        <f t="shared" si="47"/>
        <v>0</v>
      </c>
      <c r="CH45" s="210">
        <f t="shared" si="47"/>
        <v>0</v>
      </c>
      <c r="CI45" s="210">
        <f t="shared" si="47"/>
        <v>0</v>
      </c>
      <c r="CJ45" s="210">
        <f t="shared" si="47"/>
        <v>0</v>
      </c>
      <c r="CK45" s="210">
        <f t="shared" si="47"/>
        <v>0</v>
      </c>
      <c r="CL45" s="210">
        <f t="shared" si="47"/>
        <v>0</v>
      </c>
      <c r="CM45" s="210">
        <f t="shared" si="47"/>
        <v>0</v>
      </c>
      <c r="CN45" s="210">
        <f t="shared" si="47"/>
        <v>0</v>
      </c>
      <c r="CO45" s="210">
        <f t="shared" si="47"/>
        <v>0</v>
      </c>
      <c r="CP45" s="210">
        <f t="shared" si="47"/>
        <v>0</v>
      </c>
      <c r="CQ45" s="210">
        <f t="shared" si="47"/>
        <v>0</v>
      </c>
      <c r="CR45" s="210">
        <f t="shared" si="47"/>
        <v>0</v>
      </c>
      <c r="CS45" s="210">
        <f t="shared" si="47"/>
        <v>0</v>
      </c>
      <c r="CT45" s="210">
        <f t="shared" si="47"/>
        <v>0</v>
      </c>
      <c r="CU45" s="210">
        <f t="shared" si="47"/>
        <v>0</v>
      </c>
      <c r="CV45" s="210">
        <f t="shared" si="47"/>
        <v>0</v>
      </c>
      <c r="CW45" s="210">
        <f t="shared" si="47"/>
        <v>0</v>
      </c>
      <c r="CX45" s="210">
        <f t="shared" si="47"/>
        <v>0</v>
      </c>
      <c r="CY45" s="210">
        <f t="shared" si="47"/>
        <v>0</v>
      </c>
      <c r="CZ45" s="210">
        <f t="shared" si="47"/>
        <v>0</v>
      </c>
      <c r="DA45" s="210">
        <f t="shared" si="47"/>
        <v>0</v>
      </c>
    </row>
    <row r="46" spans="1:105">
      <c r="A46" s="201" t="str">
        <f>Income!A76</f>
        <v>Animals sold</v>
      </c>
      <c r="F46" s="210">
        <f t="shared" ref="F46:AK46" si="48">IF(F$22&lt;=$E$24,IF(F$22&lt;=$D$24,IF(F$22&lt;=$C$24,IF(F$22&lt;=$B$24,$B112,($C29-$B29)/($C$24-$B$24)),($D29-$C29)/($D$24-$C$24)),($E29-$D29)/($E$24-$D$24)),$F112)</f>
        <v>0</v>
      </c>
      <c r="G46" s="210">
        <f t="shared" si="48"/>
        <v>0</v>
      </c>
      <c r="H46" s="210">
        <f t="shared" si="48"/>
        <v>0</v>
      </c>
      <c r="I46" s="210">
        <f t="shared" si="48"/>
        <v>0</v>
      </c>
      <c r="J46" s="210">
        <f t="shared" si="48"/>
        <v>0</v>
      </c>
      <c r="K46" s="210">
        <f t="shared" si="48"/>
        <v>0</v>
      </c>
      <c r="L46" s="210">
        <f t="shared" si="48"/>
        <v>0</v>
      </c>
      <c r="M46" s="210">
        <f t="shared" si="48"/>
        <v>0</v>
      </c>
      <c r="N46" s="210">
        <f t="shared" si="48"/>
        <v>0</v>
      </c>
      <c r="O46" s="210">
        <f t="shared" si="48"/>
        <v>0</v>
      </c>
      <c r="P46" s="210">
        <f t="shared" si="48"/>
        <v>0</v>
      </c>
      <c r="Q46" s="210">
        <f t="shared" si="48"/>
        <v>0</v>
      </c>
      <c r="R46" s="210">
        <f t="shared" si="48"/>
        <v>0</v>
      </c>
      <c r="S46" s="210">
        <f t="shared" si="48"/>
        <v>0</v>
      </c>
      <c r="T46" s="210">
        <f t="shared" si="48"/>
        <v>0</v>
      </c>
      <c r="U46" s="210">
        <f t="shared" si="48"/>
        <v>0</v>
      </c>
      <c r="V46" s="210">
        <f t="shared" si="48"/>
        <v>0</v>
      </c>
      <c r="W46" s="210">
        <f t="shared" si="48"/>
        <v>0</v>
      </c>
      <c r="X46" s="210">
        <f t="shared" si="48"/>
        <v>0</v>
      </c>
      <c r="Y46" s="210">
        <f t="shared" si="48"/>
        <v>0</v>
      </c>
      <c r="Z46" s="210">
        <f t="shared" si="48"/>
        <v>0</v>
      </c>
      <c r="AA46" s="210">
        <f t="shared" si="48"/>
        <v>0</v>
      </c>
      <c r="AB46" s="210">
        <f t="shared" si="48"/>
        <v>0</v>
      </c>
      <c r="AC46" s="210">
        <f t="shared" si="48"/>
        <v>0</v>
      </c>
      <c r="AD46" s="210">
        <f t="shared" si="48"/>
        <v>80.870629732398783</v>
      </c>
      <c r="AE46" s="210">
        <f t="shared" si="48"/>
        <v>80.870629732398783</v>
      </c>
      <c r="AF46" s="210">
        <f t="shared" si="48"/>
        <v>80.870629732398783</v>
      </c>
      <c r="AG46" s="210">
        <f t="shared" si="48"/>
        <v>80.870629732398783</v>
      </c>
      <c r="AH46" s="210">
        <f t="shared" si="48"/>
        <v>80.870629732398783</v>
      </c>
      <c r="AI46" s="210">
        <f t="shared" si="48"/>
        <v>80.870629732398783</v>
      </c>
      <c r="AJ46" s="210">
        <f t="shared" si="48"/>
        <v>80.870629732398783</v>
      </c>
      <c r="AK46" s="210">
        <f t="shared" si="48"/>
        <v>80.870629732398783</v>
      </c>
      <c r="AL46" s="210">
        <f t="shared" ref="AL46:BQ46" si="49">IF(AL$22&lt;=$E$24,IF(AL$22&lt;=$D$24,IF(AL$22&lt;=$C$24,IF(AL$22&lt;=$B$24,$B112,($C29-$B29)/($C$24-$B$24)),($D29-$C29)/($D$24-$C$24)),($E29-$D29)/($E$24-$D$24)),$F112)</f>
        <v>80.870629732398783</v>
      </c>
      <c r="AM46" s="210">
        <f t="shared" si="49"/>
        <v>80.870629732398783</v>
      </c>
      <c r="AN46" s="210">
        <f t="shared" si="49"/>
        <v>80.870629732398783</v>
      </c>
      <c r="AO46" s="210">
        <f t="shared" si="49"/>
        <v>80.870629732398783</v>
      </c>
      <c r="AP46" s="210">
        <f t="shared" si="49"/>
        <v>80.870629732398783</v>
      </c>
      <c r="AQ46" s="210">
        <f t="shared" si="49"/>
        <v>80.870629732398783</v>
      </c>
      <c r="AR46" s="210">
        <f t="shared" si="49"/>
        <v>80.870629732398783</v>
      </c>
      <c r="AS46" s="210">
        <f t="shared" si="49"/>
        <v>80.870629732398783</v>
      </c>
      <c r="AT46" s="210">
        <f t="shared" si="49"/>
        <v>80.870629732398783</v>
      </c>
      <c r="AU46" s="210">
        <f t="shared" si="49"/>
        <v>80.870629732398783</v>
      </c>
      <c r="AV46" s="210">
        <f t="shared" si="49"/>
        <v>80.870629732398783</v>
      </c>
      <c r="AW46" s="210">
        <f t="shared" si="49"/>
        <v>80.870629732398783</v>
      </c>
      <c r="AX46" s="210">
        <f t="shared" si="49"/>
        <v>80.870629732398783</v>
      </c>
      <c r="AY46" s="210">
        <f t="shared" si="49"/>
        <v>80.870629732398783</v>
      </c>
      <c r="AZ46" s="210">
        <f t="shared" si="49"/>
        <v>80.870629732398783</v>
      </c>
      <c r="BA46" s="210">
        <f t="shared" si="49"/>
        <v>80.870629732398783</v>
      </c>
      <c r="BB46" s="210">
        <f t="shared" si="49"/>
        <v>80.870629732398783</v>
      </c>
      <c r="BC46" s="210">
        <f t="shared" si="49"/>
        <v>80.870629732398783</v>
      </c>
      <c r="BD46" s="210">
        <f t="shared" si="49"/>
        <v>80.870629732398783</v>
      </c>
      <c r="BE46" s="210">
        <f t="shared" si="49"/>
        <v>80.870629732398783</v>
      </c>
      <c r="BF46" s="210">
        <f t="shared" si="49"/>
        <v>80.870629732398783</v>
      </c>
      <c r="BG46" s="210">
        <f t="shared" si="49"/>
        <v>80.870629732398783</v>
      </c>
      <c r="BH46" s="210">
        <f t="shared" si="49"/>
        <v>80.870629732398783</v>
      </c>
      <c r="BI46" s="210">
        <f t="shared" si="49"/>
        <v>80.870629732398783</v>
      </c>
      <c r="BJ46" s="210">
        <f t="shared" si="49"/>
        <v>80.870629732398783</v>
      </c>
      <c r="BK46" s="210">
        <f t="shared" si="49"/>
        <v>80.870629732398783</v>
      </c>
      <c r="BL46" s="210">
        <f t="shared" si="49"/>
        <v>80.870629732398783</v>
      </c>
      <c r="BM46" s="210">
        <f t="shared" si="49"/>
        <v>80.870629732398783</v>
      </c>
      <c r="BN46" s="210">
        <f t="shared" si="49"/>
        <v>460.39837577886561</v>
      </c>
      <c r="BO46" s="210">
        <f t="shared" si="49"/>
        <v>460.39837577886561</v>
      </c>
      <c r="BP46" s="210">
        <f t="shared" si="49"/>
        <v>460.39837577886561</v>
      </c>
      <c r="BQ46" s="210">
        <f t="shared" si="49"/>
        <v>460.39837577886561</v>
      </c>
      <c r="BR46" s="210">
        <f t="shared" ref="BR46:DA46" si="50">IF(BR$22&lt;=$E$24,IF(BR$22&lt;=$D$24,IF(BR$22&lt;=$C$24,IF(BR$22&lt;=$B$24,$B112,($C29-$B29)/($C$24-$B$24)),($D29-$C29)/($D$24-$C$24)),($E29-$D29)/($E$24-$D$24)),$F112)</f>
        <v>460.39837577886561</v>
      </c>
      <c r="BS46" s="210">
        <f t="shared" si="50"/>
        <v>460.39837577886561</v>
      </c>
      <c r="BT46" s="210">
        <f t="shared" si="50"/>
        <v>460.39837577886561</v>
      </c>
      <c r="BU46" s="210">
        <f t="shared" si="50"/>
        <v>460.39837577886561</v>
      </c>
      <c r="BV46" s="210">
        <f t="shared" si="50"/>
        <v>460.39837577886561</v>
      </c>
      <c r="BW46" s="210">
        <f t="shared" si="50"/>
        <v>460.39837577886561</v>
      </c>
      <c r="BX46" s="210">
        <f t="shared" si="50"/>
        <v>460.39837577886561</v>
      </c>
      <c r="BY46" s="210">
        <f t="shared" si="50"/>
        <v>460.39837577886561</v>
      </c>
      <c r="BZ46" s="210">
        <f t="shared" si="50"/>
        <v>460.39837577886561</v>
      </c>
      <c r="CA46" s="210">
        <f t="shared" si="50"/>
        <v>460.39837577886561</v>
      </c>
      <c r="CB46" s="210">
        <f t="shared" si="50"/>
        <v>460.39837577886561</v>
      </c>
      <c r="CC46" s="210">
        <f t="shared" si="50"/>
        <v>460.39837577886561</v>
      </c>
      <c r="CD46" s="210">
        <f t="shared" si="50"/>
        <v>460.39837577886561</v>
      </c>
      <c r="CE46" s="210">
        <f t="shared" si="50"/>
        <v>460.39837577886561</v>
      </c>
      <c r="CF46" s="210">
        <f t="shared" si="50"/>
        <v>460.39837577886561</v>
      </c>
      <c r="CG46" s="210">
        <f t="shared" si="50"/>
        <v>460.39837577886561</v>
      </c>
      <c r="CH46" s="210">
        <f t="shared" si="50"/>
        <v>460.39837577886561</v>
      </c>
      <c r="CI46" s="210">
        <f t="shared" si="50"/>
        <v>460.39837577886561</v>
      </c>
      <c r="CJ46" s="210">
        <f t="shared" si="50"/>
        <v>2073.5889631793029</v>
      </c>
      <c r="CK46" s="210">
        <f t="shared" si="50"/>
        <v>2073.5889631793029</v>
      </c>
      <c r="CL46" s="210">
        <f t="shared" si="50"/>
        <v>2073.5889631793029</v>
      </c>
      <c r="CM46" s="210">
        <f t="shared" si="50"/>
        <v>2073.5889631793029</v>
      </c>
      <c r="CN46" s="210">
        <f t="shared" si="50"/>
        <v>2073.5889631793029</v>
      </c>
      <c r="CO46" s="210">
        <f t="shared" si="50"/>
        <v>2073.5889631793029</v>
      </c>
      <c r="CP46" s="210">
        <f t="shared" si="50"/>
        <v>2073.5889631793029</v>
      </c>
      <c r="CQ46" s="210">
        <f t="shared" si="50"/>
        <v>2073.5889631793029</v>
      </c>
      <c r="CR46" s="210">
        <f t="shared" si="50"/>
        <v>2073.5889631793029</v>
      </c>
      <c r="CS46" s="210">
        <f t="shared" si="50"/>
        <v>2073.5889631793029</v>
      </c>
      <c r="CT46" s="210">
        <f t="shared" si="50"/>
        <v>2073.5889631793029</v>
      </c>
      <c r="CU46" s="210">
        <f t="shared" si="50"/>
        <v>2073.5889631793029</v>
      </c>
      <c r="CV46" s="210">
        <f t="shared" si="50"/>
        <v>2073.5889631793029</v>
      </c>
      <c r="CW46" s="210">
        <f t="shared" si="50"/>
        <v>2073.5889631793029</v>
      </c>
      <c r="CX46" s="210">
        <f t="shared" si="50"/>
        <v>0</v>
      </c>
      <c r="CY46" s="210">
        <f t="shared" si="50"/>
        <v>0</v>
      </c>
      <c r="CZ46" s="210">
        <f t="shared" si="50"/>
        <v>0</v>
      </c>
      <c r="DA46" s="210">
        <f t="shared" si="50"/>
        <v>0</v>
      </c>
    </row>
    <row r="47" spans="1:105">
      <c r="A47" s="201" t="str">
        <f>Income!A77</f>
        <v>Wild foods consumed and sold</v>
      </c>
      <c r="F47" s="210">
        <f t="shared" ref="F47:AK47" si="51">IF(F$22&lt;=$E$24,IF(F$22&lt;=$D$24,IF(F$22&lt;=$C$24,IF(F$22&lt;=$B$24,$B113,($C30-$B30)/($C$24-$B$24)),($D30-$C30)/($D$24-$C$24)),($E30-$D30)/($E$24-$D$24)),$F113)</f>
        <v>0</v>
      </c>
      <c r="G47" s="210">
        <f t="shared" si="51"/>
        <v>0</v>
      </c>
      <c r="H47" s="210">
        <f t="shared" si="51"/>
        <v>0</v>
      </c>
      <c r="I47" s="210">
        <f t="shared" si="51"/>
        <v>0</v>
      </c>
      <c r="J47" s="210">
        <f t="shared" si="51"/>
        <v>0</v>
      </c>
      <c r="K47" s="210">
        <f t="shared" si="51"/>
        <v>0</v>
      </c>
      <c r="L47" s="210">
        <f t="shared" si="51"/>
        <v>0</v>
      </c>
      <c r="M47" s="210">
        <f t="shared" si="51"/>
        <v>0</v>
      </c>
      <c r="N47" s="210">
        <f t="shared" si="51"/>
        <v>0</v>
      </c>
      <c r="O47" s="210">
        <f t="shared" si="51"/>
        <v>0</v>
      </c>
      <c r="P47" s="210">
        <f t="shared" si="51"/>
        <v>0</v>
      </c>
      <c r="Q47" s="210">
        <f t="shared" si="51"/>
        <v>0</v>
      </c>
      <c r="R47" s="210">
        <f t="shared" si="51"/>
        <v>0</v>
      </c>
      <c r="S47" s="210">
        <f t="shared" si="51"/>
        <v>0</v>
      </c>
      <c r="T47" s="210">
        <f t="shared" si="51"/>
        <v>0</v>
      </c>
      <c r="U47" s="210">
        <f t="shared" si="51"/>
        <v>0</v>
      </c>
      <c r="V47" s="210">
        <f t="shared" si="51"/>
        <v>0</v>
      </c>
      <c r="W47" s="210">
        <f t="shared" si="51"/>
        <v>0</v>
      </c>
      <c r="X47" s="210">
        <f t="shared" si="51"/>
        <v>0</v>
      </c>
      <c r="Y47" s="210">
        <f t="shared" si="51"/>
        <v>0</v>
      </c>
      <c r="Z47" s="210">
        <f t="shared" si="51"/>
        <v>0</v>
      </c>
      <c r="AA47" s="210">
        <f t="shared" si="51"/>
        <v>0</v>
      </c>
      <c r="AB47" s="210">
        <f t="shared" si="51"/>
        <v>0</v>
      </c>
      <c r="AC47" s="210">
        <f t="shared" si="51"/>
        <v>0</v>
      </c>
      <c r="AD47" s="210">
        <f t="shared" si="51"/>
        <v>36.394029739668525</v>
      </c>
      <c r="AE47" s="210">
        <f t="shared" si="51"/>
        <v>36.394029739668525</v>
      </c>
      <c r="AF47" s="210">
        <f t="shared" si="51"/>
        <v>36.394029739668525</v>
      </c>
      <c r="AG47" s="210">
        <f t="shared" si="51"/>
        <v>36.394029739668525</v>
      </c>
      <c r="AH47" s="210">
        <f t="shared" si="51"/>
        <v>36.394029739668525</v>
      </c>
      <c r="AI47" s="210">
        <f t="shared" si="51"/>
        <v>36.394029739668525</v>
      </c>
      <c r="AJ47" s="210">
        <f t="shared" si="51"/>
        <v>36.394029739668525</v>
      </c>
      <c r="AK47" s="210">
        <f t="shared" si="51"/>
        <v>36.394029739668525</v>
      </c>
      <c r="AL47" s="210">
        <f t="shared" ref="AL47:BQ47" si="52">IF(AL$22&lt;=$E$24,IF(AL$22&lt;=$D$24,IF(AL$22&lt;=$C$24,IF(AL$22&lt;=$B$24,$B113,($C30-$B30)/($C$24-$B$24)),($D30-$C30)/($D$24-$C$24)),($E30-$D30)/($E$24-$D$24)),$F113)</f>
        <v>36.394029739668525</v>
      </c>
      <c r="AM47" s="210">
        <f t="shared" si="52"/>
        <v>36.394029739668525</v>
      </c>
      <c r="AN47" s="210">
        <f t="shared" si="52"/>
        <v>36.394029739668525</v>
      </c>
      <c r="AO47" s="210">
        <f t="shared" si="52"/>
        <v>36.394029739668525</v>
      </c>
      <c r="AP47" s="210">
        <f t="shared" si="52"/>
        <v>36.394029739668525</v>
      </c>
      <c r="AQ47" s="210">
        <f t="shared" si="52"/>
        <v>36.394029739668525</v>
      </c>
      <c r="AR47" s="210">
        <f t="shared" si="52"/>
        <v>36.394029739668525</v>
      </c>
      <c r="AS47" s="210">
        <f t="shared" si="52"/>
        <v>36.394029739668525</v>
      </c>
      <c r="AT47" s="210">
        <f t="shared" si="52"/>
        <v>36.394029739668525</v>
      </c>
      <c r="AU47" s="210">
        <f t="shared" si="52"/>
        <v>36.394029739668525</v>
      </c>
      <c r="AV47" s="210">
        <f t="shared" si="52"/>
        <v>36.394029739668525</v>
      </c>
      <c r="AW47" s="210">
        <f t="shared" si="52"/>
        <v>36.394029739668525</v>
      </c>
      <c r="AX47" s="210">
        <f t="shared" si="52"/>
        <v>36.394029739668525</v>
      </c>
      <c r="AY47" s="210">
        <f t="shared" si="52"/>
        <v>36.394029739668525</v>
      </c>
      <c r="AZ47" s="210">
        <f t="shared" si="52"/>
        <v>36.394029739668525</v>
      </c>
      <c r="BA47" s="210">
        <f t="shared" si="52"/>
        <v>36.394029739668525</v>
      </c>
      <c r="BB47" s="210">
        <f t="shared" si="52"/>
        <v>36.394029739668525</v>
      </c>
      <c r="BC47" s="210">
        <f t="shared" si="52"/>
        <v>36.394029739668525</v>
      </c>
      <c r="BD47" s="210">
        <f t="shared" si="52"/>
        <v>36.394029739668525</v>
      </c>
      <c r="BE47" s="210">
        <f t="shared" si="52"/>
        <v>36.394029739668525</v>
      </c>
      <c r="BF47" s="210">
        <f t="shared" si="52"/>
        <v>36.394029739668525</v>
      </c>
      <c r="BG47" s="210">
        <f t="shared" si="52"/>
        <v>36.394029739668525</v>
      </c>
      <c r="BH47" s="210">
        <f t="shared" si="52"/>
        <v>36.394029739668525</v>
      </c>
      <c r="BI47" s="210">
        <f t="shared" si="52"/>
        <v>36.394029739668525</v>
      </c>
      <c r="BJ47" s="210">
        <f t="shared" si="52"/>
        <v>36.394029739668525</v>
      </c>
      <c r="BK47" s="210">
        <f t="shared" si="52"/>
        <v>36.394029739668525</v>
      </c>
      <c r="BL47" s="210">
        <f t="shared" si="52"/>
        <v>36.394029739668525</v>
      </c>
      <c r="BM47" s="210">
        <f t="shared" si="52"/>
        <v>36.394029739668525</v>
      </c>
      <c r="BN47" s="210">
        <f t="shared" si="52"/>
        <v>-157.75414934775836</v>
      </c>
      <c r="BO47" s="210">
        <f t="shared" si="52"/>
        <v>-157.75414934775836</v>
      </c>
      <c r="BP47" s="210">
        <f t="shared" si="52"/>
        <v>-157.75414934775836</v>
      </c>
      <c r="BQ47" s="210">
        <f t="shared" si="52"/>
        <v>-157.75414934775836</v>
      </c>
      <c r="BR47" s="210">
        <f t="shared" ref="BR47:DA47" si="53">IF(BR$22&lt;=$E$24,IF(BR$22&lt;=$D$24,IF(BR$22&lt;=$C$24,IF(BR$22&lt;=$B$24,$B113,($C30-$B30)/($C$24-$B$24)),($D30-$C30)/($D$24-$C$24)),($E30-$D30)/($E$24-$D$24)),$F113)</f>
        <v>-157.75414934775836</v>
      </c>
      <c r="BS47" s="210">
        <f t="shared" si="53"/>
        <v>-157.75414934775836</v>
      </c>
      <c r="BT47" s="210">
        <f t="shared" si="53"/>
        <v>-157.75414934775836</v>
      </c>
      <c r="BU47" s="210">
        <f t="shared" si="53"/>
        <v>-157.75414934775836</v>
      </c>
      <c r="BV47" s="210">
        <f t="shared" si="53"/>
        <v>-157.75414934775836</v>
      </c>
      <c r="BW47" s="210">
        <f t="shared" si="53"/>
        <v>-157.75414934775836</v>
      </c>
      <c r="BX47" s="210">
        <f t="shared" si="53"/>
        <v>-157.75414934775836</v>
      </c>
      <c r="BY47" s="210">
        <f t="shared" si="53"/>
        <v>-157.75414934775836</v>
      </c>
      <c r="BZ47" s="210">
        <f t="shared" si="53"/>
        <v>-157.75414934775836</v>
      </c>
      <c r="CA47" s="210">
        <f t="shared" si="53"/>
        <v>-157.75414934775836</v>
      </c>
      <c r="CB47" s="210">
        <f t="shared" si="53"/>
        <v>-157.75414934775836</v>
      </c>
      <c r="CC47" s="210">
        <f t="shared" si="53"/>
        <v>-157.75414934775836</v>
      </c>
      <c r="CD47" s="210">
        <f t="shared" si="53"/>
        <v>-157.75414934775836</v>
      </c>
      <c r="CE47" s="210">
        <f t="shared" si="53"/>
        <v>-157.75414934775836</v>
      </c>
      <c r="CF47" s="210">
        <f t="shared" si="53"/>
        <v>-157.75414934775836</v>
      </c>
      <c r="CG47" s="210">
        <f t="shared" si="53"/>
        <v>-157.75414934775836</v>
      </c>
      <c r="CH47" s="210">
        <f t="shared" si="53"/>
        <v>-157.75414934775836</v>
      </c>
      <c r="CI47" s="210">
        <f t="shared" si="53"/>
        <v>-157.75414934775836</v>
      </c>
      <c r="CJ47" s="210">
        <f t="shared" si="53"/>
        <v>0</v>
      </c>
      <c r="CK47" s="210">
        <f t="shared" si="53"/>
        <v>0</v>
      </c>
      <c r="CL47" s="210">
        <f t="shared" si="53"/>
        <v>0</v>
      </c>
      <c r="CM47" s="210">
        <f t="shared" si="53"/>
        <v>0</v>
      </c>
      <c r="CN47" s="210">
        <f t="shared" si="53"/>
        <v>0</v>
      </c>
      <c r="CO47" s="210">
        <f t="shared" si="53"/>
        <v>0</v>
      </c>
      <c r="CP47" s="210">
        <f t="shared" si="53"/>
        <v>0</v>
      </c>
      <c r="CQ47" s="210">
        <f t="shared" si="53"/>
        <v>0</v>
      </c>
      <c r="CR47" s="210">
        <f t="shared" si="53"/>
        <v>0</v>
      </c>
      <c r="CS47" s="210">
        <f t="shared" si="53"/>
        <v>0</v>
      </c>
      <c r="CT47" s="210">
        <f t="shared" si="53"/>
        <v>0</v>
      </c>
      <c r="CU47" s="210">
        <f t="shared" si="53"/>
        <v>0</v>
      </c>
      <c r="CV47" s="210">
        <f t="shared" si="53"/>
        <v>0</v>
      </c>
      <c r="CW47" s="210">
        <f t="shared" si="53"/>
        <v>0</v>
      </c>
      <c r="CX47" s="210">
        <f t="shared" si="53"/>
        <v>52.189999999999884</v>
      </c>
      <c r="CY47" s="210">
        <f t="shared" si="53"/>
        <v>52.189999999999884</v>
      </c>
      <c r="CZ47" s="210">
        <f t="shared" si="53"/>
        <v>52.189999999999884</v>
      </c>
      <c r="DA47" s="210">
        <f t="shared" si="53"/>
        <v>52.189999999999884</v>
      </c>
    </row>
    <row r="48" spans="1:105">
      <c r="A48" s="201" t="str">
        <f>Income!A78</f>
        <v>Labour - casual</v>
      </c>
      <c r="F48" s="210">
        <f t="shared" ref="F48:AK48" si="54">IF(F$22&lt;=$E$24,IF(F$22&lt;=$D$24,IF(F$22&lt;=$C$24,IF(F$22&lt;=$B$24,$B114,($C31-$B31)/($C$24-$B$24)),($D31-$C31)/($D$24-$C$24)),($E31-$D31)/($E$24-$D$24)),$F114)</f>
        <v>0</v>
      </c>
      <c r="G48" s="210">
        <f t="shared" si="54"/>
        <v>0</v>
      </c>
      <c r="H48" s="210">
        <f t="shared" si="54"/>
        <v>0</v>
      </c>
      <c r="I48" s="210">
        <f t="shared" si="54"/>
        <v>0</v>
      </c>
      <c r="J48" s="210">
        <f t="shared" si="54"/>
        <v>0</v>
      </c>
      <c r="K48" s="210">
        <f t="shared" si="54"/>
        <v>0</v>
      </c>
      <c r="L48" s="210">
        <f t="shared" si="54"/>
        <v>0</v>
      </c>
      <c r="M48" s="210">
        <f t="shared" si="54"/>
        <v>0</v>
      </c>
      <c r="N48" s="210">
        <f t="shared" si="54"/>
        <v>0</v>
      </c>
      <c r="O48" s="210">
        <f t="shared" si="54"/>
        <v>0</v>
      </c>
      <c r="P48" s="210">
        <f t="shared" si="54"/>
        <v>0</v>
      </c>
      <c r="Q48" s="210">
        <f t="shared" si="54"/>
        <v>0</v>
      </c>
      <c r="R48" s="210">
        <f t="shared" si="54"/>
        <v>0</v>
      </c>
      <c r="S48" s="210">
        <f t="shared" si="54"/>
        <v>0</v>
      </c>
      <c r="T48" s="210">
        <f t="shared" si="54"/>
        <v>0</v>
      </c>
      <c r="U48" s="210">
        <f t="shared" si="54"/>
        <v>0</v>
      </c>
      <c r="V48" s="210">
        <f t="shared" si="54"/>
        <v>0</v>
      </c>
      <c r="W48" s="210">
        <f t="shared" si="54"/>
        <v>0</v>
      </c>
      <c r="X48" s="210">
        <f t="shared" si="54"/>
        <v>0</v>
      </c>
      <c r="Y48" s="210">
        <f t="shared" si="54"/>
        <v>0</v>
      </c>
      <c r="Z48" s="210">
        <f t="shared" si="54"/>
        <v>0</v>
      </c>
      <c r="AA48" s="210">
        <f t="shared" si="54"/>
        <v>0</v>
      </c>
      <c r="AB48" s="210">
        <f t="shared" si="54"/>
        <v>0</v>
      </c>
      <c r="AC48" s="210">
        <f t="shared" si="54"/>
        <v>0</v>
      </c>
      <c r="AD48" s="210">
        <f t="shared" si="54"/>
        <v>257.62913064789268</v>
      </c>
      <c r="AE48" s="210">
        <f t="shared" si="54"/>
        <v>257.62913064789268</v>
      </c>
      <c r="AF48" s="210">
        <f t="shared" si="54"/>
        <v>257.62913064789268</v>
      </c>
      <c r="AG48" s="210">
        <f t="shared" si="54"/>
        <v>257.62913064789268</v>
      </c>
      <c r="AH48" s="210">
        <f t="shared" si="54"/>
        <v>257.62913064789268</v>
      </c>
      <c r="AI48" s="210">
        <f t="shared" si="54"/>
        <v>257.62913064789268</v>
      </c>
      <c r="AJ48" s="210">
        <f t="shared" si="54"/>
        <v>257.62913064789268</v>
      </c>
      <c r="AK48" s="210">
        <f t="shared" si="54"/>
        <v>257.62913064789268</v>
      </c>
      <c r="AL48" s="210">
        <f t="shared" ref="AL48:BQ48" si="55">IF(AL$22&lt;=$E$24,IF(AL$22&lt;=$D$24,IF(AL$22&lt;=$C$24,IF(AL$22&lt;=$B$24,$B114,($C31-$B31)/($C$24-$B$24)),($D31-$C31)/($D$24-$C$24)),($E31-$D31)/($E$24-$D$24)),$F114)</f>
        <v>257.62913064789268</v>
      </c>
      <c r="AM48" s="210">
        <f t="shared" si="55"/>
        <v>257.62913064789268</v>
      </c>
      <c r="AN48" s="210">
        <f t="shared" si="55"/>
        <v>257.62913064789268</v>
      </c>
      <c r="AO48" s="210">
        <f t="shared" si="55"/>
        <v>257.62913064789268</v>
      </c>
      <c r="AP48" s="210">
        <f t="shared" si="55"/>
        <v>257.62913064789268</v>
      </c>
      <c r="AQ48" s="210">
        <f t="shared" si="55"/>
        <v>257.62913064789268</v>
      </c>
      <c r="AR48" s="210">
        <f t="shared" si="55"/>
        <v>257.62913064789268</v>
      </c>
      <c r="AS48" s="210">
        <f t="shared" si="55"/>
        <v>257.62913064789268</v>
      </c>
      <c r="AT48" s="210">
        <f t="shared" si="55"/>
        <v>257.62913064789268</v>
      </c>
      <c r="AU48" s="210">
        <f t="shared" si="55"/>
        <v>257.62913064789268</v>
      </c>
      <c r="AV48" s="210">
        <f t="shared" si="55"/>
        <v>257.62913064789268</v>
      </c>
      <c r="AW48" s="210">
        <f t="shared" si="55"/>
        <v>257.62913064789268</v>
      </c>
      <c r="AX48" s="210">
        <f t="shared" si="55"/>
        <v>257.62913064789268</v>
      </c>
      <c r="AY48" s="210">
        <f t="shared" si="55"/>
        <v>257.62913064789268</v>
      </c>
      <c r="AZ48" s="210">
        <f t="shared" si="55"/>
        <v>257.62913064789268</v>
      </c>
      <c r="BA48" s="210">
        <f t="shared" si="55"/>
        <v>257.62913064789268</v>
      </c>
      <c r="BB48" s="210">
        <f t="shared" si="55"/>
        <v>257.62913064789268</v>
      </c>
      <c r="BC48" s="210">
        <f t="shared" si="55"/>
        <v>257.62913064789268</v>
      </c>
      <c r="BD48" s="210">
        <f t="shared" si="55"/>
        <v>257.62913064789268</v>
      </c>
      <c r="BE48" s="210">
        <f t="shared" si="55"/>
        <v>257.62913064789268</v>
      </c>
      <c r="BF48" s="210">
        <f t="shared" si="55"/>
        <v>257.62913064789268</v>
      </c>
      <c r="BG48" s="210">
        <f t="shared" si="55"/>
        <v>257.62913064789268</v>
      </c>
      <c r="BH48" s="210">
        <f t="shared" si="55"/>
        <v>257.62913064789268</v>
      </c>
      <c r="BI48" s="210">
        <f t="shared" si="55"/>
        <v>257.62913064789268</v>
      </c>
      <c r="BJ48" s="210">
        <f t="shared" si="55"/>
        <v>257.62913064789268</v>
      </c>
      <c r="BK48" s="210">
        <f t="shared" si="55"/>
        <v>257.62913064789268</v>
      </c>
      <c r="BL48" s="210">
        <f t="shared" si="55"/>
        <v>257.62913064789268</v>
      </c>
      <c r="BM48" s="210">
        <f t="shared" si="55"/>
        <v>257.62913064789268</v>
      </c>
      <c r="BN48" s="210">
        <f t="shared" si="55"/>
        <v>-995.57760805302053</v>
      </c>
      <c r="BO48" s="210">
        <f t="shared" si="55"/>
        <v>-995.57760805302053</v>
      </c>
      <c r="BP48" s="210">
        <f t="shared" si="55"/>
        <v>-995.57760805302053</v>
      </c>
      <c r="BQ48" s="210">
        <f t="shared" si="55"/>
        <v>-995.57760805302053</v>
      </c>
      <c r="BR48" s="210">
        <f t="shared" ref="BR48:DA48" si="56">IF(BR$22&lt;=$E$24,IF(BR$22&lt;=$D$24,IF(BR$22&lt;=$C$24,IF(BR$22&lt;=$B$24,$B114,($C31-$B31)/($C$24-$B$24)),($D31-$C31)/($D$24-$C$24)),($E31-$D31)/($E$24-$D$24)),$F114)</f>
        <v>-995.57760805302053</v>
      </c>
      <c r="BS48" s="210">
        <f t="shared" si="56"/>
        <v>-995.57760805302053</v>
      </c>
      <c r="BT48" s="210">
        <f t="shared" si="56"/>
        <v>-995.57760805302053</v>
      </c>
      <c r="BU48" s="210">
        <f t="shared" si="56"/>
        <v>-995.57760805302053</v>
      </c>
      <c r="BV48" s="210">
        <f t="shared" si="56"/>
        <v>-995.57760805302053</v>
      </c>
      <c r="BW48" s="210">
        <f t="shared" si="56"/>
        <v>-995.57760805302053</v>
      </c>
      <c r="BX48" s="210">
        <f t="shared" si="56"/>
        <v>-995.57760805302053</v>
      </c>
      <c r="BY48" s="210">
        <f t="shared" si="56"/>
        <v>-995.57760805302053</v>
      </c>
      <c r="BZ48" s="210">
        <f t="shared" si="56"/>
        <v>-995.57760805302053</v>
      </c>
      <c r="CA48" s="210">
        <f t="shared" si="56"/>
        <v>-995.57760805302053</v>
      </c>
      <c r="CB48" s="210">
        <f t="shared" si="56"/>
        <v>-995.57760805302053</v>
      </c>
      <c r="CC48" s="210">
        <f t="shared" si="56"/>
        <v>-995.57760805302053</v>
      </c>
      <c r="CD48" s="210">
        <f t="shared" si="56"/>
        <v>-995.57760805302053</v>
      </c>
      <c r="CE48" s="210">
        <f t="shared" si="56"/>
        <v>-995.57760805302053</v>
      </c>
      <c r="CF48" s="210">
        <f t="shared" si="56"/>
        <v>-995.57760805302053</v>
      </c>
      <c r="CG48" s="210">
        <f t="shared" si="56"/>
        <v>-995.57760805302053</v>
      </c>
      <c r="CH48" s="210">
        <f t="shared" si="56"/>
        <v>-995.57760805302053</v>
      </c>
      <c r="CI48" s="210">
        <f t="shared" si="56"/>
        <v>-995.57760805302053</v>
      </c>
      <c r="CJ48" s="210">
        <f t="shared" si="56"/>
        <v>0</v>
      </c>
      <c r="CK48" s="210">
        <f t="shared" si="56"/>
        <v>0</v>
      </c>
      <c r="CL48" s="210">
        <f t="shared" si="56"/>
        <v>0</v>
      </c>
      <c r="CM48" s="210">
        <f t="shared" si="56"/>
        <v>0</v>
      </c>
      <c r="CN48" s="210">
        <f t="shared" si="56"/>
        <v>0</v>
      </c>
      <c r="CO48" s="210">
        <f t="shared" si="56"/>
        <v>0</v>
      </c>
      <c r="CP48" s="210">
        <f t="shared" si="56"/>
        <v>0</v>
      </c>
      <c r="CQ48" s="210">
        <f t="shared" si="56"/>
        <v>0</v>
      </c>
      <c r="CR48" s="210">
        <f t="shared" si="56"/>
        <v>0</v>
      </c>
      <c r="CS48" s="210">
        <f t="shared" si="56"/>
        <v>0</v>
      </c>
      <c r="CT48" s="210">
        <f t="shared" si="56"/>
        <v>0</v>
      </c>
      <c r="CU48" s="210">
        <f t="shared" si="56"/>
        <v>0</v>
      </c>
      <c r="CV48" s="210">
        <f t="shared" si="56"/>
        <v>0</v>
      </c>
      <c r="CW48" s="210">
        <f t="shared" si="56"/>
        <v>0</v>
      </c>
      <c r="CX48" s="210">
        <f t="shared" si="56"/>
        <v>0</v>
      </c>
      <c r="CY48" s="210">
        <f t="shared" si="56"/>
        <v>0</v>
      </c>
      <c r="CZ48" s="210">
        <f t="shared" si="56"/>
        <v>0</v>
      </c>
      <c r="DA48" s="210">
        <f t="shared" si="56"/>
        <v>0</v>
      </c>
    </row>
    <row r="49" spans="1:105">
      <c r="A49" s="201" t="str">
        <f>Income!A79</f>
        <v>Labour - formal emp</v>
      </c>
      <c r="F49" s="210">
        <f t="shared" ref="F49:AK49" si="57">IF(F$22&lt;=$E$24,IF(F$22&lt;=$D$24,IF(F$22&lt;=$C$24,IF(F$22&lt;=$B$24,$B115,($C32-$B32)/($C$24-$B$24)),($D32-$C32)/($D$24-$C$24)),($E32-$D32)/($E$24-$D$24)),$F115)</f>
        <v>0</v>
      </c>
      <c r="G49" s="210">
        <f t="shared" si="57"/>
        <v>0</v>
      </c>
      <c r="H49" s="210">
        <f t="shared" si="57"/>
        <v>0</v>
      </c>
      <c r="I49" s="210">
        <f t="shared" si="57"/>
        <v>0</v>
      </c>
      <c r="J49" s="210">
        <f t="shared" si="57"/>
        <v>0</v>
      </c>
      <c r="K49" s="210">
        <f t="shared" si="57"/>
        <v>0</v>
      </c>
      <c r="L49" s="210">
        <f t="shared" si="57"/>
        <v>0</v>
      </c>
      <c r="M49" s="210">
        <f t="shared" si="57"/>
        <v>0</v>
      </c>
      <c r="N49" s="210">
        <f t="shared" si="57"/>
        <v>0</v>
      </c>
      <c r="O49" s="210">
        <f t="shared" si="57"/>
        <v>0</v>
      </c>
      <c r="P49" s="210">
        <f t="shared" si="57"/>
        <v>0</v>
      </c>
      <c r="Q49" s="210">
        <f t="shared" si="57"/>
        <v>0</v>
      </c>
      <c r="R49" s="210">
        <f t="shared" si="57"/>
        <v>0</v>
      </c>
      <c r="S49" s="210">
        <f t="shared" si="57"/>
        <v>0</v>
      </c>
      <c r="T49" s="210">
        <f t="shared" si="57"/>
        <v>0</v>
      </c>
      <c r="U49" s="210">
        <f t="shared" si="57"/>
        <v>0</v>
      </c>
      <c r="V49" s="210">
        <f t="shared" si="57"/>
        <v>0</v>
      </c>
      <c r="W49" s="210">
        <f t="shared" si="57"/>
        <v>0</v>
      </c>
      <c r="X49" s="210">
        <f t="shared" si="57"/>
        <v>0</v>
      </c>
      <c r="Y49" s="210">
        <f t="shared" si="57"/>
        <v>0</v>
      </c>
      <c r="Z49" s="210">
        <f t="shared" si="57"/>
        <v>0</v>
      </c>
      <c r="AA49" s="210">
        <f t="shared" si="57"/>
        <v>0</v>
      </c>
      <c r="AB49" s="210">
        <f t="shared" si="57"/>
        <v>0</v>
      </c>
      <c r="AC49" s="210">
        <f t="shared" si="57"/>
        <v>0</v>
      </c>
      <c r="AD49" s="210">
        <f t="shared" si="57"/>
        <v>582.26853407327121</v>
      </c>
      <c r="AE49" s="210">
        <f t="shared" si="57"/>
        <v>582.26853407327121</v>
      </c>
      <c r="AF49" s="210">
        <f t="shared" si="57"/>
        <v>582.26853407327121</v>
      </c>
      <c r="AG49" s="210">
        <f t="shared" si="57"/>
        <v>582.26853407327121</v>
      </c>
      <c r="AH49" s="210">
        <f t="shared" si="57"/>
        <v>582.26853407327121</v>
      </c>
      <c r="AI49" s="210">
        <f t="shared" si="57"/>
        <v>582.26853407327121</v>
      </c>
      <c r="AJ49" s="210">
        <f t="shared" si="57"/>
        <v>582.26853407327121</v>
      </c>
      <c r="AK49" s="210">
        <f t="shared" si="57"/>
        <v>582.26853407327121</v>
      </c>
      <c r="AL49" s="210">
        <f t="shared" ref="AL49:BQ49" si="58">IF(AL$22&lt;=$E$24,IF(AL$22&lt;=$D$24,IF(AL$22&lt;=$C$24,IF(AL$22&lt;=$B$24,$B115,($C32-$B32)/($C$24-$B$24)),($D32-$C32)/($D$24-$C$24)),($E32-$D32)/($E$24-$D$24)),$F115)</f>
        <v>582.26853407327121</v>
      </c>
      <c r="AM49" s="210">
        <f t="shared" si="58"/>
        <v>582.26853407327121</v>
      </c>
      <c r="AN49" s="210">
        <f t="shared" si="58"/>
        <v>582.26853407327121</v>
      </c>
      <c r="AO49" s="210">
        <f t="shared" si="58"/>
        <v>582.26853407327121</v>
      </c>
      <c r="AP49" s="210">
        <f t="shared" si="58"/>
        <v>582.26853407327121</v>
      </c>
      <c r="AQ49" s="210">
        <f t="shared" si="58"/>
        <v>582.26853407327121</v>
      </c>
      <c r="AR49" s="210">
        <f t="shared" si="58"/>
        <v>582.26853407327121</v>
      </c>
      <c r="AS49" s="210">
        <f t="shared" si="58"/>
        <v>582.26853407327121</v>
      </c>
      <c r="AT49" s="210">
        <f t="shared" si="58"/>
        <v>582.26853407327121</v>
      </c>
      <c r="AU49" s="210">
        <f t="shared" si="58"/>
        <v>582.26853407327121</v>
      </c>
      <c r="AV49" s="210">
        <f t="shared" si="58"/>
        <v>582.26853407327121</v>
      </c>
      <c r="AW49" s="210">
        <f t="shared" si="58"/>
        <v>582.26853407327121</v>
      </c>
      <c r="AX49" s="210">
        <f t="shared" si="58"/>
        <v>582.26853407327121</v>
      </c>
      <c r="AY49" s="210">
        <f t="shared" si="58"/>
        <v>582.26853407327121</v>
      </c>
      <c r="AZ49" s="210">
        <f t="shared" si="58"/>
        <v>582.26853407327121</v>
      </c>
      <c r="BA49" s="210">
        <f t="shared" si="58"/>
        <v>582.26853407327121</v>
      </c>
      <c r="BB49" s="210">
        <f t="shared" si="58"/>
        <v>582.26853407327121</v>
      </c>
      <c r="BC49" s="210">
        <f t="shared" si="58"/>
        <v>582.26853407327121</v>
      </c>
      <c r="BD49" s="210">
        <f t="shared" si="58"/>
        <v>582.26853407327121</v>
      </c>
      <c r="BE49" s="210">
        <f t="shared" si="58"/>
        <v>582.26853407327121</v>
      </c>
      <c r="BF49" s="210">
        <f t="shared" si="58"/>
        <v>582.26853407327121</v>
      </c>
      <c r="BG49" s="210">
        <f t="shared" si="58"/>
        <v>582.26853407327121</v>
      </c>
      <c r="BH49" s="210">
        <f t="shared" si="58"/>
        <v>582.26853407327121</v>
      </c>
      <c r="BI49" s="210">
        <f t="shared" si="58"/>
        <v>582.26853407327121</v>
      </c>
      <c r="BJ49" s="210">
        <f t="shared" si="58"/>
        <v>582.26853407327121</v>
      </c>
      <c r="BK49" s="210">
        <f t="shared" si="58"/>
        <v>582.26853407327121</v>
      </c>
      <c r="BL49" s="210">
        <f t="shared" si="58"/>
        <v>582.26853407327121</v>
      </c>
      <c r="BM49" s="210">
        <f t="shared" si="58"/>
        <v>582.26853407327121</v>
      </c>
      <c r="BN49" s="210">
        <f t="shared" si="58"/>
        <v>4306.0789264023306</v>
      </c>
      <c r="BO49" s="210">
        <f t="shared" si="58"/>
        <v>4306.0789264023306</v>
      </c>
      <c r="BP49" s="210">
        <f t="shared" si="58"/>
        <v>4306.0789264023306</v>
      </c>
      <c r="BQ49" s="210">
        <f t="shared" si="58"/>
        <v>4306.0789264023306</v>
      </c>
      <c r="BR49" s="210">
        <f t="shared" ref="BR49:DA49" si="59">IF(BR$22&lt;=$E$24,IF(BR$22&lt;=$D$24,IF(BR$22&lt;=$C$24,IF(BR$22&lt;=$B$24,$B115,($C32-$B32)/($C$24-$B$24)),($D32-$C32)/($D$24-$C$24)),($E32-$D32)/($E$24-$D$24)),$F115)</f>
        <v>4306.0789264023306</v>
      </c>
      <c r="BS49" s="210">
        <f t="shared" si="59"/>
        <v>4306.0789264023306</v>
      </c>
      <c r="BT49" s="210">
        <f t="shared" si="59"/>
        <v>4306.0789264023306</v>
      </c>
      <c r="BU49" s="210">
        <f t="shared" si="59"/>
        <v>4306.0789264023306</v>
      </c>
      <c r="BV49" s="210">
        <f t="shared" si="59"/>
        <v>4306.0789264023306</v>
      </c>
      <c r="BW49" s="210">
        <f t="shared" si="59"/>
        <v>4306.0789264023306</v>
      </c>
      <c r="BX49" s="210">
        <f t="shared" si="59"/>
        <v>4306.0789264023306</v>
      </c>
      <c r="BY49" s="210">
        <f t="shared" si="59"/>
        <v>4306.0789264023306</v>
      </c>
      <c r="BZ49" s="210">
        <f t="shared" si="59"/>
        <v>4306.0789264023306</v>
      </c>
      <c r="CA49" s="210">
        <f t="shared" si="59"/>
        <v>4306.0789264023306</v>
      </c>
      <c r="CB49" s="210">
        <f t="shared" si="59"/>
        <v>4306.0789264023306</v>
      </c>
      <c r="CC49" s="210">
        <f t="shared" si="59"/>
        <v>4306.0789264023306</v>
      </c>
      <c r="CD49" s="210">
        <f t="shared" si="59"/>
        <v>4306.0789264023306</v>
      </c>
      <c r="CE49" s="210">
        <f t="shared" si="59"/>
        <v>4306.0789264023306</v>
      </c>
      <c r="CF49" s="210">
        <f t="shared" si="59"/>
        <v>4306.0789264023306</v>
      </c>
      <c r="CG49" s="210">
        <f t="shared" si="59"/>
        <v>4306.0789264023306</v>
      </c>
      <c r="CH49" s="210">
        <f t="shared" si="59"/>
        <v>4306.0789264023306</v>
      </c>
      <c r="CI49" s="210">
        <f t="shared" si="59"/>
        <v>4306.0789264023306</v>
      </c>
      <c r="CJ49" s="210">
        <f t="shared" si="59"/>
        <v>13992.269364719932</v>
      </c>
      <c r="CK49" s="210">
        <f t="shared" si="59"/>
        <v>13992.269364719932</v>
      </c>
      <c r="CL49" s="210">
        <f t="shared" si="59"/>
        <v>13992.269364719932</v>
      </c>
      <c r="CM49" s="210">
        <f t="shared" si="59"/>
        <v>13992.269364719932</v>
      </c>
      <c r="CN49" s="210">
        <f t="shared" si="59"/>
        <v>13992.269364719932</v>
      </c>
      <c r="CO49" s="210">
        <f t="shared" si="59"/>
        <v>13992.269364719932</v>
      </c>
      <c r="CP49" s="210">
        <f t="shared" si="59"/>
        <v>13992.269364719932</v>
      </c>
      <c r="CQ49" s="210">
        <f t="shared" si="59"/>
        <v>13992.269364719932</v>
      </c>
      <c r="CR49" s="210">
        <f t="shared" si="59"/>
        <v>13992.269364719932</v>
      </c>
      <c r="CS49" s="210">
        <f t="shared" si="59"/>
        <v>13992.269364719932</v>
      </c>
      <c r="CT49" s="210">
        <f t="shared" si="59"/>
        <v>13992.269364719932</v>
      </c>
      <c r="CU49" s="210">
        <f t="shared" si="59"/>
        <v>13992.269364719932</v>
      </c>
      <c r="CV49" s="210">
        <f t="shared" si="59"/>
        <v>13992.269364719932</v>
      </c>
      <c r="CW49" s="210">
        <f t="shared" si="59"/>
        <v>13992.269364719932</v>
      </c>
      <c r="CX49" s="210">
        <f t="shared" si="59"/>
        <v>2671.7</v>
      </c>
      <c r="CY49" s="210">
        <f t="shared" si="59"/>
        <v>2671.7</v>
      </c>
      <c r="CZ49" s="210">
        <f t="shared" si="59"/>
        <v>2671.7</v>
      </c>
      <c r="DA49" s="210">
        <f t="shared" si="59"/>
        <v>2671.7</v>
      </c>
    </row>
    <row r="50" spans="1:105">
      <c r="A50" s="201" t="str">
        <f>Income!A81</f>
        <v>Self - employment</v>
      </c>
      <c r="F50" s="210">
        <f t="shared" ref="F50:AK50" si="60">IF(F$22&lt;=$E$24,IF(F$22&lt;=$D$24,IF(F$22&lt;=$C$24,IF(F$22&lt;=$B$24,$B116,($C33-$B33)/($C$24-$B$24)),($D33-$C33)/($D$24-$C$24)),($E33-$D33)/($E$24-$D$24)),$F116)</f>
        <v>0</v>
      </c>
      <c r="G50" s="210">
        <f t="shared" si="60"/>
        <v>0</v>
      </c>
      <c r="H50" s="210">
        <f t="shared" si="60"/>
        <v>0</v>
      </c>
      <c r="I50" s="210">
        <f t="shared" si="60"/>
        <v>0</v>
      </c>
      <c r="J50" s="210">
        <f t="shared" si="60"/>
        <v>0</v>
      </c>
      <c r="K50" s="210">
        <f t="shared" si="60"/>
        <v>0</v>
      </c>
      <c r="L50" s="210">
        <f t="shared" si="60"/>
        <v>0</v>
      </c>
      <c r="M50" s="210">
        <f t="shared" si="60"/>
        <v>0</v>
      </c>
      <c r="N50" s="210">
        <f t="shared" si="60"/>
        <v>0</v>
      </c>
      <c r="O50" s="210">
        <f t="shared" si="60"/>
        <v>0</v>
      </c>
      <c r="P50" s="210">
        <f t="shared" si="60"/>
        <v>0</v>
      </c>
      <c r="Q50" s="210">
        <f t="shared" si="60"/>
        <v>0</v>
      </c>
      <c r="R50" s="210">
        <f t="shared" si="60"/>
        <v>0</v>
      </c>
      <c r="S50" s="210">
        <f t="shared" si="60"/>
        <v>0</v>
      </c>
      <c r="T50" s="210">
        <f t="shared" si="60"/>
        <v>0</v>
      </c>
      <c r="U50" s="210">
        <f t="shared" si="60"/>
        <v>0</v>
      </c>
      <c r="V50" s="210">
        <f t="shared" si="60"/>
        <v>0</v>
      </c>
      <c r="W50" s="210">
        <f t="shared" si="60"/>
        <v>0</v>
      </c>
      <c r="X50" s="210">
        <f t="shared" si="60"/>
        <v>0</v>
      </c>
      <c r="Y50" s="210">
        <f t="shared" si="60"/>
        <v>0</v>
      </c>
      <c r="Z50" s="210">
        <f t="shared" si="60"/>
        <v>0</v>
      </c>
      <c r="AA50" s="210">
        <f t="shared" si="60"/>
        <v>0</v>
      </c>
      <c r="AB50" s="210">
        <f t="shared" si="60"/>
        <v>0</v>
      </c>
      <c r="AC50" s="210">
        <f t="shared" si="60"/>
        <v>0</v>
      </c>
      <c r="AD50" s="210">
        <f t="shared" si="60"/>
        <v>259.59472144100005</v>
      </c>
      <c r="AE50" s="210">
        <f t="shared" si="60"/>
        <v>259.59472144100005</v>
      </c>
      <c r="AF50" s="210">
        <f t="shared" si="60"/>
        <v>259.59472144100005</v>
      </c>
      <c r="AG50" s="210">
        <f t="shared" si="60"/>
        <v>259.59472144100005</v>
      </c>
      <c r="AH50" s="210">
        <f t="shared" si="60"/>
        <v>259.59472144100005</v>
      </c>
      <c r="AI50" s="210">
        <f t="shared" si="60"/>
        <v>259.59472144100005</v>
      </c>
      <c r="AJ50" s="210">
        <f t="shared" si="60"/>
        <v>259.59472144100005</v>
      </c>
      <c r="AK50" s="210">
        <f t="shared" si="60"/>
        <v>259.59472144100005</v>
      </c>
      <c r="AL50" s="210">
        <f t="shared" ref="AL50:BQ50" si="61">IF(AL$22&lt;=$E$24,IF(AL$22&lt;=$D$24,IF(AL$22&lt;=$C$24,IF(AL$22&lt;=$B$24,$B116,($C33-$B33)/($C$24-$B$24)),($D33-$C33)/($D$24-$C$24)),($E33-$D33)/($E$24-$D$24)),$F116)</f>
        <v>259.59472144100005</v>
      </c>
      <c r="AM50" s="210">
        <f t="shared" si="61"/>
        <v>259.59472144100005</v>
      </c>
      <c r="AN50" s="210">
        <f t="shared" si="61"/>
        <v>259.59472144100005</v>
      </c>
      <c r="AO50" s="210">
        <f t="shared" si="61"/>
        <v>259.59472144100005</v>
      </c>
      <c r="AP50" s="210">
        <f t="shared" si="61"/>
        <v>259.59472144100005</v>
      </c>
      <c r="AQ50" s="210">
        <f t="shared" si="61"/>
        <v>259.59472144100005</v>
      </c>
      <c r="AR50" s="210">
        <f t="shared" si="61"/>
        <v>259.59472144100005</v>
      </c>
      <c r="AS50" s="210">
        <f t="shared" si="61"/>
        <v>259.59472144100005</v>
      </c>
      <c r="AT50" s="210">
        <f t="shared" si="61"/>
        <v>259.59472144100005</v>
      </c>
      <c r="AU50" s="210">
        <f t="shared" si="61"/>
        <v>259.59472144100005</v>
      </c>
      <c r="AV50" s="210">
        <f t="shared" si="61"/>
        <v>259.59472144100005</v>
      </c>
      <c r="AW50" s="210">
        <f t="shared" si="61"/>
        <v>259.59472144100005</v>
      </c>
      <c r="AX50" s="210">
        <f t="shared" si="61"/>
        <v>259.59472144100005</v>
      </c>
      <c r="AY50" s="210">
        <f t="shared" si="61"/>
        <v>259.59472144100005</v>
      </c>
      <c r="AZ50" s="210">
        <f t="shared" si="61"/>
        <v>259.59472144100005</v>
      </c>
      <c r="BA50" s="210">
        <f t="shared" si="61"/>
        <v>259.59472144100005</v>
      </c>
      <c r="BB50" s="210">
        <f t="shared" si="61"/>
        <v>259.59472144100005</v>
      </c>
      <c r="BC50" s="210">
        <f t="shared" si="61"/>
        <v>259.59472144100005</v>
      </c>
      <c r="BD50" s="210">
        <f t="shared" si="61"/>
        <v>259.59472144100005</v>
      </c>
      <c r="BE50" s="210">
        <f t="shared" si="61"/>
        <v>259.59472144100005</v>
      </c>
      <c r="BF50" s="210">
        <f t="shared" si="61"/>
        <v>259.59472144100005</v>
      </c>
      <c r="BG50" s="210">
        <f t="shared" si="61"/>
        <v>259.59472144100005</v>
      </c>
      <c r="BH50" s="210">
        <f t="shared" si="61"/>
        <v>259.59472144100005</v>
      </c>
      <c r="BI50" s="210">
        <f t="shared" si="61"/>
        <v>259.59472144100005</v>
      </c>
      <c r="BJ50" s="210">
        <f t="shared" si="61"/>
        <v>259.59472144100005</v>
      </c>
      <c r="BK50" s="210">
        <f t="shared" si="61"/>
        <v>259.59472144100005</v>
      </c>
      <c r="BL50" s="210">
        <f t="shared" si="61"/>
        <v>259.59472144100005</v>
      </c>
      <c r="BM50" s="210">
        <f t="shared" si="61"/>
        <v>259.59472144100005</v>
      </c>
      <c r="BN50" s="210">
        <f t="shared" si="61"/>
        <v>-353.42345905377624</v>
      </c>
      <c r="BO50" s="210">
        <f t="shared" si="61"/>
        <v>-353.42345905377624</v>
      </c>
      <c r="BP50" s="210">
        <f t="shared" si="61"/>
        <v>-353.42345905377624</v>
      </c>
      <c r="BQ50" s="210">
        <f t="shared" si="61"/>
        <v>-353.42345905377624</v>
      </c>
      <c r="BR50" s="210">
        <f t="shared" ref="BR50:DA50" si="62">IF(BR$22&lt;=$E$24,IF(BR$22&lt;=$D$24,IF(BR$22&lt;=$C$24,IF(BR$22&lt;=$B$24,$B116,($C33-$B33)/($C$24-$B$24)),($D33-$C33)/($D$24-$C$24)),($E33-$D33)/($E$24-$D$24)),$F116)</f>
        <v>-353.42345905377624</v>
      </c>
      <c r="BS50" s="210">
        <f t="shared" si="62"/>
        <v>-353.42345905377624</v>
      </c>
      <c r="BT50" s="210">
        <f t="shared" si="62"/>
        <v>-353.42345905377624</v>
      </c>
      <c r="BU50" s="210">
        <f t="shared" si="62"/>
        <v>-353.42345905377624</v>
      </c>
      <c r="BV50" s="210">
        <f t="shared" si="62"/>
        <v>-353.42345905377624</v>
      </c>
      <c r="BW50" s="210">
        <f t="shared" si="62"/>
        <v>-353.42345905377624</v>
      </c>
      <c r="BX50" s="210">
        <f t="shared" si="62"/>
        <v>-353.42345905377624</v>
      </c>
      <c r="BY50" s="210">
        <f t="shared" si="62"/>
        <v>-353.42345905377624</v>
      </c>
      <c r="BZ50" s="210">
        <f t="shared" si="62"/>
        <v>-353.42345905377624</v>
      </c>
      <c r="CA50" s="210">
        <f t="shared" si="62"/>
        <v>-353.42345905377624</v>
      </c>
      <c r="CB50" s="210">
        <f t="shared" si="62"/>
        <v>-353.42345905377624</v>
      </c>
      <c r="CC50" s="210">
        <f t="shared" si="62"/>
        <v>-353.42345905377624</v>
      </c>
      <c r="CD50" s="210">
        <f t="shared" si="62"/>
        <v>-353.42345905377624</v>
      </c>
      <c r="CE50" s="210">
        <f t="shared" si="62"/>
        <v>-353.42345905377624</v>
      </c>
      <c r="CF50" s="210">
        <f t="shared" si="62"/>
        <v>-353.42345905377624</v>
      </c>
      <c r="CG50" s="210">
        <f t="shared" si="62"/>
        <v>-353.42345905377624</v>
      </c>
      <c r="CH50" s="210">
        <f t="shared" si="62"/>
        <v>-353.42345905377624</v>
      </c>
      <c r="CI50" s="210">
        <f t="shared" si="62"/>
        <v>-353.42345905377624</v>
      </c>
      <c r="CJ50" s="210">
        <f t="shared" si="62"/>
        <v>-124.77182872998669</v>
      </c>
      <c r="CK50" s="210">
        <f t="shared" si="62"/>
        <v>-124.77182872998669</v>
      </c>
      <c r="CL50" s="210">
        <f t="shared" si="62"/>
        <v>-124.77182872998669</v>
      </c>
      <c r="CM50" s="210">
        <f t="shared" si="62"/>
        <v>-124.77182872998669</v>
      </c>
      <c r="CN50" s="210">
        <f t="shared" si="62"/>
        <v>-124.77182872998669</v>
      </c>
      <c r="CO50" s="210">
        <f t="shared" si="62"/>
        <v>-124.77182872998669</v>
      </c>
      <c r="CP50" s="210">
        <f t="shared" si="62"/>
        <v>-124.77182872998669</v>
      </c>
      <c r="CQ50" s="210">
        <f t="shared" si="62"/>
        <v>-124.77182872998669</v>
      </c>
      <c r="CR50" s="210">
        <f t="shared" si="62"/>
        <v>-124.77182872998669</v>
      </c>
      <c r="CS50" s="210">
        <f t="shared" si="62"/>
        <v>-124.77182872998669</v>
      </c>
      <c r="CT50" s="210">
        <f t="shared" si="62"/>
        <v>-124.77182872998669</v>
      </c>
      <c r="CU50" s="210">
        <f t="shared" si="62"/>
        <v>-124.77182872998669</v>
      </c>
      <c r="CV50" s="210">
        <f t="shared" si="62"/>
        <v>-124.77182872998669</v>
      </c>
      <c r="CW50" s="210">
        <f t="shared" si="62"/>
        <v>-124.77182872998669</v>
      </c>
      <c r="CX50" s="210">
        <f t="shared" si="62"/>
        <v>829.53</v>
      </c>
      <c r="CY50" s="210">
        <f t="shared" si="62"/>
        <v>829.53</v>
      </c>
      <c r="CZ50" s="210">
        <f t="shared" si="62"/>
        <v>829.53</v>
      </c>
      <c r="DA50" s="210">
        <f t="shared" si="62"/>
        <v>829.53</v>
      </c>
    </row>
    <row r="51" spans="1:105">
      <c r="A51" s="201" t="str">
        <f>Income!A82</f>
        <v>Small business/petty trading</v>
      </c>
      <c r="F51" s="210">
        <f t="shared" ref="F51:AK51" si="63">IF(F$22&lt;=$E$24,IF(F$22&lt;=$D$24,IF(F$22&lt;=$C$24,IF(F$22&lt;=$B$24,$B117,($C34-$B34)/($C$24-$B$24)),($D34-$C34)/($D$24-$C$24)),($E34-$D34)/($E$24-$D$24)),$F117)</f>
        <v>0</v>
      </c>
      <c r="G51" s="210">
        <f t="shared" si="63"/>
        <v>0</v>
      </c>
      <c r="H51" s="210">
        <f t="shared" si="63"/>
        <v>0</v>
      </c>
      <c r="I51" s="210">
        <f t="shared" si="63"/>
        <v>0</v>
      </c>
      <c r="J51" s="210">
        <f t="shared" si="63"/>
        <v>0</v>
      </c>
      <c r="K51" s="210">
        <f t="shared" si="63"/>
        <v>0</v>
      </c>
      <c r="L51" s="210">
        <f t="shared" si="63"/>
        <v>0</v>
      </c>
      <c r="M51" s="210">
        <f t="shared" si="63"/>
        <v>0</v>
      </c>
      <c r="N51" s="210">
        <f t="shared" si="63"/>
        <v>0</v>
      </c>
      <c r="O51" s="210">
        <f t="shared" si="63"/>
        <v>0</v>
      </c>
      <c r="P51" s="210">
        <f t="shared" si="63"/>
        <v>0</v>
      </c>
      <c r="Q51" s="210">
        <f t="shared" si="63"/>
        <v>0</v>
      </c>
      <c r="R51" s="210">
        <f t="shared" si="63"/>
        <v>0</v>
      </c>
      <c r="S51" s="210">
        <f t="shared" si="63"/>
        <v>0</v>
      </c>
      <c r="T51" s="210">
        <f t="shared" si="63"/>
        <v>0</v>
      </c>
      <c r="U51" s="210">
        <f t="shared" si="63"/>
        <v>0</v>
      </c>
      <c r="V51" s="210">
        <f t="shared" si="63"/>
        <v>0</v>
      </c>
      <c r="W51" s="210">
        <f t="shared" si="63"/>
        <v>0</v>
      </c>
      <c r="X51" s="210">
        <f t="shared" si="63"/>
        <v>0</v>
      </c>
      <c r="Y51" s="210">
        <f t="shared" si="63"/>
        <v>0</v>
      </c>
      <c r="Z51" s="210">
        <f t="shared" si="63"/>
        <v>0</v>
      </c>
      <c r="AA51" s="210">
        <f t="shared" si="63"/>
        <v>0</v>
      </c>
      <c r="AB51" s="210">
        <f t="shared" si="63"/>
        <v>0</v>
      </c>
      <c r="AC51" s="210">
        <f t="shared" si="63"/>
        <v>0</v>
      </c>
      <c r="AD51" s="210">
        <f t="shared" si="63"/>
        <v>38.817902271551411</v>
      </c>
      <c r="AE51" s="210">
        <f t="shared" si="63"/>
        <v>38.817902271551411</v>
      </c>
      <c r="AF51" s="210">
        <f t="shared" si="63"/>
        <v>38.817902271551411</v>
      </c>
      <c r="AG51" s="210">
        <f t="shared" si="63"/>
        <v>38.817902271551411</v>
      </c>
      <c r="AH51" s="210">
        <f t="shared" si="63"/>
        <v>38.817902271551411</v>
      </c>
      <c r="AI51" s="210">
        <f t="shared" si="63"/>
        <v>38.817902271551411</v>
      </c>
      <c r="AJ51" s="210">
        <f t="shared" si="63"/>
        <v>38.817902271551411</v>
      </c>
      <c r="AK51" s="210">
        <f t="shared" si="63"/>
        <v>38.817902271551411</v>
      </c>
      <c r="AL51" s="210">
        <f t="shared" ref="AL51:BQ51" si="64">IF(AL$22&lt;=$E$24,IF(AL$22&lt;=$D$24,IF(AL$22&lt;=$C$24,IF(AL$22&lt;=$B$24,$B117,($C34-$B34)/($C$24-$B$24)),($D34-$C34)/($D$24-$C$24)),($E34-$D34)/($E$24-$D$24)),$F117)</f>
        <v>38.817902271551411</v>
      </c>
      <c r="AM51" s="210">
        <f t="shared" si="64"/>
        <v>38.817902271551411</v>
      </c>
      <c r="AN51" s="210">
        <f t="shared" si="64"/>
        <v>38.817902271551411</v>
      </c>
      <c r="AO51" s="210">
        <f t="shared" si="64"/>
        <v>38.817902271551411</v>
      </c>
      <c r="AP51" s="210">
        <f t="shared" si="64"/>
        <v>38.817902271551411</v>
      </c>
      <c r="AQ51" s="210">
        <f t="shared" si="64"/>
        <v>38.817902271551411</v>
      </c>
      <c r="AR51" s="210">
        <f t="shared" si="64"/>
        <v>38.817902271551411</v>
      </c>
      <c r="AS51" s="210">
        <f t="shared" si="64"/>
        <v>38.817902271551411</v>
      </c>
      <c r="AT51" s="210">
        <f t="shared" si="64"/>
        <v>38.817902271551411</v>
      </c>
      <c r="AU51" s="210">
        <f t="shared" si="64"/>
        <v>38.817902271551411</v>
      </c>
      <c r="AV51" s="210">
        <f t="shared" si="64"/>
        <v>38.817902271551411</v>
      </c>
      <c r="AW51" s="210">
        <f t="shared" si="64"/>
        <v>38.817902271551411</v>
      </c>
      <c r="AX51" s="210">
        <f t="shared" si="64"/>
        <v>38.817902271551411</v>
      </c>
      <c r="AY51" s="210">
        <f t="shared" si="64"/>
        <v>38.817902271551411</v>
      </c>
      <c r="AZ51" s="210">
        <f t="shared" si="64"/>
        <v>38.817902271551411</v>
      </c>
      <c r="BA51" s="210">
        <f t="shared" si="64"/>
        <v>38.817902271551411</v>
      </c>
      <c r="BB51" s="210">
        <f t="shared" si="64"/>
        <v>38.817902271551411</v>
      </c>
      <c r="BC51" s="210">
        <f t="shared" si="64"/>
        <v>38.817902271551411</v>
      </c>
      <c r="BD51" s="210">
        <f t="shared" si="64"/>
        <v>38.817902271551411</v>
      </c>
      <c r="BE51" s="210">
        <f t="shared" si="64"/>
        <v>38.817902271551411</v>
      </c>
      <c r="BF51" s="210">
        <f t="shared" si="64"/>
        <v>38.817902271551411</v>
      </c>
      <c r="BG51" s="210">
        <f t="shared" si="64"/>
        <v>38.817902271551411</v>
      </c>
      <c r="BH51" s="210">
        <f t="shared" si="64"/>
        <v>38.817902271551411</v>
      </c>
      <c r="BI51" s="210">
        <f t="shared" si="64"/>
        <v>38.817902271551411</v>
      </c>
      <c r="BJ51" s="210">
        <f t="shared" si="64"/>
        <v>38.817902271551411</v>
      </c>
      <c r="BK51" s="210">
        <f t="shared" si="64"/>
        <v>38.817902271551411</v>
      </c>
      <c r="BL51" s="210">
        <f t="shared" si="64"/>
        <v>38.817902271551411</v>
      </c>
      <c r="BM51" s="210">
        <f t="shared" si="64"/>
        <v>38.817902271551411</v>
      </c>
      <c r="BN51" s="210">
        <f t="shared" si="64"/>
        <v>-64.997417757016322</v>
      </c>
      <c r="BO51" s="210">
        <f t="shared" si="64"/>
        <v>-64.997417757016322</v>
      </c>
      <c r="BP51" s="210">
        <f t="shared" si="64"/>
        <v>-64.997417757016322</v>
      </c>
      <c r="BQ51" s="210">
        <f t="shared" si="64"/>
        <v>-64.997417757016322</v>
      </c>
      <c r="BR51" s="210">
        <f t="shared" ref="BR51:DA51" si="65">IF(BR$22&lt;=$E$24,IF(BR$22&lt;=$D$24,IF(BR$22&lt;=$C$24,IF(BR$22&lt;=$B$24,$B117,($C34-$B34)/($C$24-$B$24)),($D34-$C34)/($D$24-$C$24)),($E34-$D34)/($E$24-$D$24)),$F117)</f>
        <v>-64.997417757016322</v>
      </c>
      <c r="BS51" s="210">
        <f t="shared" si="65"/>
        <v>-64.997417757016322</v>
      </c>
      <c r="BT51" s="210">
        <f t="shared" si="65"/>
        <v>-64.997417757016322</v>
      </c>
      <c r="BU51" s="210">
        <f t="shared" si="65"/>
        <v>-64.997417757016322</v>
      </c>
      <c r="BV51" s="210">
        <f t="shared" si="65"/>
        <v>-64.997417757016322</v>
      </c>
      <c r="BW51" s="210">
        <f t="shared" si="65"/>
        <v>-64.997417757016322</v>
      </c>
      <c r="BX51" s="210">
        <f t="shared" si="65"/>
        <v>-64.997417757016322</v>
      </c>
      <c r="BY51" s="210">
        <f t="shared" si="65"/>
        <v>-64.997417757016322</v>
      </c>
      <c r="BZ51" s="210">
        <f t="shared" si="65"/>
        <v>-64.997417757016322</v>
      </c>
      <c r="CA51" s="210">
        <f t="shared" si="65"/>
        <v>-64.997417757016322</v>
      </c>
      <c r="CB51" s="210">
        <f t="shared" si="65"/>
        <v>-64.997417757016322</v>
      </c>
      <c r="CC51" s="210">
        <f t="shared" si="65"/>
        <v>-64.997417757016322</v>
      </c>
      <c r="CD51" s="210">
        <f t="shared" si="65"/>
        <v>-64.997417757016322</v>
      </c>
      <c r="CE51" s="210">
        <f t="shared" si="65"/>
        <v>-64.997417757016322</v>
      </c>
      <c r="CF51" s="210">
        <f t="shared" si="65"/>
        <v>-64.997417757016322</v>
      </c>
      <c r="CG51" s="210">
        <f t="shared" si="65"/>
        <v>-64.997417757016322</v>
      </c>
      <c r="CH51" s="210">
        <f t="shared" si="65"/>
        <v>-64.997417757016322</v>
      </c>
      <c r="CI51" s="210">
        <f t="shared" si="65"/>
        <v>-64.997417757016322</v>
      </c>
      <c r="CJ51" s="210">
        <f t="shared" si="65"/>
        <v>0</v>
      </c>
      <c r="CK51" s="210">
        <f t="shared" si="65"/>
        <v>0</v>
      </c>
      <c r="CL51" s="210">
        <f t="shared" si="65"/>
        <v>0</v>
      </c>
      <c r="CM51" s="210">
        <f t="shared" si="65"/>
        <v>0</v>
      </c>
      <c r="CN51" s="210">
        <f t="shared" si="65"/>
        <v>0</v>
      </c>
      <c r="CO51" s="210">
        <f t="shared" si="65"/>
        <v>0</v>
      </c>
      <c r="CP51" s="210">
        <f t="shared" si="65"/>
        <v>0</v>
      </c>
      <c r="CQ51" s="210">
        <f t="shared" si="65"/>
        <v>0</v>
      </c>
      <c r="CR51" s="210">
        <f t="shared" si="65"/>
        <v>0</v>
      </c>
      <c r="CS51" s="210">
        <f t="shared" si="65"/>
        <v>0</v>
      </c>
      <c r="CT51" s="210">
        <f t="shared" si="65"/>
        <v>0</v>
      </c>
      <c r="CU51" s="210">
        <f t="shared" si="65"/>
        <v>0</v>
      </c>
      <c r="CV51" s="210">
        <f t="shared" si="65"/>
        <v>0</v>
      </c>
      <c r="CW51" s="210">
        <f t="shared" si="65"/>
        <v>0</v>
      </c>
      <c r="CX51" s="210">
        <f t="shared" si="65"/>
        <v>6203.5</v>
      </c>
      <c r="CY51" s="210">
        <f t="shared" si="65"/>
        <v>6203.5</v>
      </c>
      <c r="CZ51" s="210">
        <f t="shared" si="65"/>
        <v>6203.5</v>
      </c>
      <c r="DA51" s="210">
        <f t="shared" si="65"/>
        <v>6203.5</v>
      </c>
    </row>
    <row r="52" spans="1:105">
      <c r="A52" s="201" t="str">
        <f>Income!A83</f>
        <v>Food transfer - official</v>
      </c>
      <c r="F52" s="210">
        <f t="shared" ref="F52:AK52" si="66">IF(F$22&lt;=$E$24,IF(F$22&lt;=$D$24,IF(F$22&lt;=$C$24,IF(F$22&lt;=$B$24,$B118,($C35-$B35)/($C$24-$B$24)),($D35-$C35)/($D$24-$C$24)),($E35-$D35)/($E$24-$D$24)),$F118)</f>
        <v>0</v>
      </c>
      <c r="G52" s="210">
        <f t="shared" si="66"/>
        <v>0</v>
      </c>
      <c r="H52" s="210">
        <f t="shared" si="66"/>
        <v>0</v>
      </c>
      <c r="I52" s="210">
        <f t="shared" si="66"/>
        <v>0</v>
      </c>
      <c r="J52" s="210">
        <f t="shared" si="66"/>
        <v>0</v>
      </c>
      <c r="K52" s="210">
        <f t="shared" si="66"/>
        <v>0</v>
      </c>
      <c r="L52" s="210">
        <f t="shared" si="66"/>
        <v>0</v>
      </c>
      <c r="M52" s="210">
        <f t="shared" si="66"/>
        <v>0</v>
      </c>
      <c r="N52" s="210">
        <f t="shared" si="66"/>
        <v>0</v>
      </c>
      <c r="O52" s="210">
        <f t="shared" si="66"/>
        <v>0</v>
      </c>
      <c r="P52" s="210">
        <f t="shared" si="66"/>
        <v>0</v>
      </c>
      <c r="Q52" s="210">
        <f t="shared" si="66"/>
        <v>0</v>
      </c>
      <c r="R52" s="210">
        <f t="shared" si="66"/>
        <v>0</v>
      </c>
      <c r="S52" s="210">
        <f t="shared" si="66"/>
        <v>0</v>
      </c>
      <c r="T52" s="210">
        <f t="shared" si="66"/>
        <v>0</v>
      </c>
      <c r="U52" s="210">
        <f t="shared" si="66"/>
        <v>0</v>
      </c>
      <c r="V52" s="210">
        <f t="shared" si="66"/>
        <v>0</v>
      </c>
      <c r="W52" s="210">
        <f t="shared" si="66"/>
        <v>0</v>
      </c>
      <c r="X52" s="210">
        <f t="shared" si="66"/>
        <v>0</v>
      </c>
      <c r="Y52" s="210">
        <f t="shared" si="66"/>
        <v>0</v>
      </c>
      <c r="Z52" s="210">
        <f t="shared" si="66"/>
        <v>0</v>
      </c>
      <c r="AA52" s="210">
        <f t="shared" si="66"/>
        <v>0</v>
      </c>
      <c r="AB52" s="210">
        <f t="shared" si="66"/>
        <v>0</v>
      </c>
      <c r="AC52" s="210">
        <f t="shared" si="66"/>
        <v>0</v>
      </c>
      <c r="AD52" s="210">
        <f t="shared" si="66"/>
        <v>-4.6684800209548349</v>
      </c>
      <c r="AE52" s="210">
        <f t="shared" si="66"/>
        <v>-4.6684800209548349</v>
      </c>
      <c r="AF52" s="210">
        <f t="shared" si="66"/>
        <v>-4.6684800209548349</v>
      </c>
      <c r="AG52" s="210">
        <f t="shared" si="66"/>
        <v>-4.6684800209548349</v>
      </c>
      <c r="AH52" s="210">
        <f t="shared" si="66"/>
        <v>-4.6684800209548349</v>
      </c>
      <c r="AI52" s="210">
        <f t="shared" si="66"/>
        <v>-4.6684800209548349</v>
      </c>
      <c r="AJ52" s="210">
        <f t="shared" si="66"/>
        <v>-4.6684800209548349</v>
      </c>
      <c r="AK52" s="210">
        <f t="shared" si="66"/>
        <v>-4.6684800209548349</v>
      </c>
      <c r="AL52" s="210">
        <f t="shared" ref="AL52:BQ52" si="67">IF(AL$22&lt;=$E$24,IF(AL$22&lt;=$D$24,IF(AL$22&lt;=$C$24,IF(AL$22&lt;=$B$24,$B118,($C35-$B35)/($C$24-$B$24)),($D35-$C35)/($D$24-$C$24)),($E35-$D35)/($E$24-$D$24)),$F118)</f>
        <v>-4.6684800209548349</v>
      </c>
      <c r="AM52" s="210">
        <f t="shared" si="67"/>
        <v>-4.6684800209548349</v>
      </c>
      <c r="AN52" s="210">
        <f t="shared" si="67"/>
        <v>-4.6684800209548349</v>
      </c>
      <c r="AO52" s="210">
        <f t="shared" si="67"/>
        <v>-4.6684800209548349</v>
      </c>
      <c r="AP52" s="210">
        <f t="shared" si="67"/>
        <v>-4.6684800209548349</v>
      </c>
      <c r="AQ52" s="210">
        <f t="shared" si="67"/>
        <v>-4.6684800209548349</v>
      </c>
      <c r="AR52" s="210">
        <f t="shared" si="67"/>
        <v>-4.6684800209548349</v>
      </c>
      <c r="AS52" s="210">
        <f t="shared" si="67"/>
        <v>-4.6684800209548349</v>
      </c>
      <c r="AT52" s="210">
        <f t="shared" si="67"/>
        <v>-4.6684800209548349</v>
      </c>
      <c r="AU52" s="210">
        <f t="shared" si="67"/>
        <v>-4.6684800209548349</v>
      </c>
      <c r="AV52" s="210">
        <f t="shared" si="67"/>
        <v>-4.6684800209548349</v>
      </c>
      <c r="AW52" s="210">
        <f t="shared" si="67"/>
        <v>-4.6684800209548349</v>
      </c>
      <c r="AX52" s="210">
        <f t="shared" si="67"/>
        <v>-4.6684800209548349</v>
      </c>
      <c r="AY52" s="210">
        <f t="shared" si="67"/>
        <v>-4.6684800209548349</v>
      </c>
      <c r="AZ52" s="210">
        <f t="shared" si="67"/>
        <v>-4.6684800209548349</v>
      </c>
      <c r="BA52" s="210">
        <f t="shared" si="67"/>
        <v>-4.6684800209548349</v>
      </c>
      <c r="BB52" s="210">
        <f t="shared" si="67"/>
        <v>-4.6684800209548349</v>
      </c>
      <c r="BC52" s="210">
        <f t="shared" si="67"/>
        <v>-4.6684800209548349</v>
      </c>
      <c r="BD52" s="210">
        <f t="shared" si="67"/>
        <v>-4.6684800209548349</v>
      </c>
      <c r="BE52" s="210">
        <f t="shared" si="67"/>
        <v>-4.6684800209548349</v>
      </c>
      <c r="BF52" s="210">
        <f t="shared" si="67"/>
        <v>-4.6684800209548349</v>
      </c>
      <c r="BG52" s="210">
        <f t="shared" si="67"/>
        <v>-4.6684800209548349</v>
      </c>
      <c r="BH52" s="210">
        <f t="shared" si="67"/>
        <v>-4.6684800209548349</v>
      </c>
      <c r="BI52" s="210">
        <f t="shared" si="67"/>
        <v>-4.6684800209548349</v>
      </c>
      <c r="BJ52" s="210">
        <f t="shared" si="67"/>
        <v>-4.6684800209548349</v>
      </c>
      <c r="BK52" s="210">
        <f t="shared" si="67"/>
        <v>-4.6684800209548349</v>
      </c>
      <c r="BL52" s="210">
        <f t="shared" si="67"/>
        <v>-4.6684800209548349</v>
      </c>
      <c r="BM52" s="210">
        <f t="shared" si="67"/>
        <v>-4.6684800209548349</v>
      </c>
      <c r="BN52" s="210">
        <f t="shared" si="67"/>
        <v>-39.084949012645097</v>
      </c>
      <c r="BO52" s="210">
        <f t="shared" si="67"/>
        <v>-39.084949012645097</v>
      </c>
      <c r="BP52" s="210">
        <f t="shared" si="67"/>
        <v>-39.084949012645097</v>
      </c>
      <c r="BQ52" s="210">
        <f t="shared" si="67"/>
        <v>-39.084949012645097</v>
      </c>
      <c r="BR52" s="210">
        <f t="shared" ref="BR52:DA52" si="68">IF(BR$22&lt;=$E$24,IF(BR$22&lt;=$D$24,IF(BR$22&lt;=$C$24,IF(BR$22&lt;=$B$24,$B118,($C35-$B35)/($C$24-$B$24)),($D35-$C35)/($D$24-$C$24)),($E35-$D35)/($E$24-$D$24)),$F118)</f>
        <v>-39.084949012645097</v>
      </c>
      <c r="BS52" s="210">
        <f t="shared" si="68"/>
        <v>-39.084949012645097</v>
      </c>
      <c r="BT52" s="210">
        <f t="shared" si="68"/>
        <v>-39.084949012645097</v>
      </c>
      <c r="BU52" s="210">
        <f t="shared" si="68"/>
        <v>-39.084949012645097</v>
      </c>
      <c r="BV52" s="210">
        <f t="shared" si="68"/>
        <v>-39.084949012645097</v>
      </c>
      <c r="BW52" s="210">
        <f t="shared" si="68"/>
        <v>-39.084949012645097</v>
      </c>
      <c r="BX52" s="210">
        <f t="shared" si="68"/>
        <v>-39.084949012645097</v>
      </c>
      <c r="BY52" s="210">
        <f t="shared" si="68"/>
        <v>-39.084949012645097</v>
      </c>
      <c r="BZ52" s="210">
        <f t="shared" si="68"/>
        <v>-39.084949012645097</v>
      </c>
      <c r="CA52" s="210">
        <f t="shared" si="68"/>
        <v>-39.084949012645097</v>
      </c>
      <c r="CB52" s="210">
        <f t="shared" si="68"/>
        <v>-39.084949012645097</v>
      </c>
      <c r="CC52" s="210">
        <f t="shared" si="68"/>
        <v>-39.084949012645097</v>
      </c>
      <c r="CD52" s="210">
        <f t="shared" si="68"/>
        <v>-39.084949012645097</v>
      </c>
      <c r="CE52" s="210">
        <f t="shared" si="68"/>
        <v>-39.084949012645097</v>
      </c>
      <c r="CF52" s="210">
        <f t="shared" si="68"/>
        <v>-39.084949012645097</v>
      </c>
      <c r="CG52" s="210">
        <f t="shared" si="68"/>
        <v>-39.084949012645097</v>
      </c>
      <c r="CH52" s="210">
        <f t="shared" si="68"/>
        <v>-39.084949012645097</v>
      </c>
      <c r="CI52" s="210">
        <f t="shared" si="68"/>
        <v>-39.084949012645097</v>
      </c>
      <c r="CJ52" s="210">
        <f t="shared" si="68"/>
        <v>0</v>
      </c>
      <c r="CK52" s="210">
        <f t="shared" si="68"/>
        <v>0</v>
      </c>
      <c r="CL52" s="210">
        <f t="shared" si="68"/>
        <v>0</v>
      </c>
      <c r="CM52" s="210">
        <f t="shared" si="68"/>
        <v>0</v>
      </c>
      <c r="CN52" s="210">
        <f t="shared" si="68"/>
        <v>0</v>
      </c>
      <c r="CO52" s="210">
        <f t="shared" si="68"/>
        <v>0</v>
      </c>
      <c r="CP52" s="210">
        <f t="shared" si="68"/>
        <v>0</v>
      </c>
      <c r="CQ52" s="210">
        <f t="shared" si="68"/>
        <v>0</v>
      </c>
      <c r="CR52" s="210">
        <f t="shared" si="68"/>
        <v>0</v>
      </c>
      <c r="CS52" s="210">
        <f t="shared" si="68"/>
        <v>0</v>
      </c>
      <c r="CT52" s="210">
        <f t="shared" si="68"/>
        <v>0</v>
      </c>
      <c r="CU52" s="210">
        <f t="shared" si="68"/>
        <v>0</v>
      </c>
      <c r="CV52" s="210">
        <f t="shared" si="68"/>
        <v>0</v>
      </c>
      <c r="CW52" s="210">
        <f t="shared" si="68"/>
        <v>0</v>
      </c>
      <c r="CX52" s="210">
        <f t="shared" si="68"/>
        <v>14.730000000000004</v>
      </c>
      <c r="CY52" s="210">
        <f t="shared" si="68"/>
        <v>14.730000000000004</v>
      </c>
      <c r="CZ52" s="210">
        <f t="shared" si="68"/>
        <v>14.730000000000004</v>
      </c>
      <c r="DA52" s="210">
        <f t="shared" si="68"/>
        <v>14.730000000000004</v>
      </c>
    </row>
    <row r="53" spans="1:105">
      <c r="A53" s="201" t="str">
        <f>Income!A85</f>
        <v>Cash transfer - official</v>
      </c>
      <c r="F53" s="210">
        <f t="shared" ref="F53:AK53" si="69">IF(F$22&lt;=$E$24,IF(F$22&lt;=$D$24,IF(F$22&lt;=$C$24,IF(F$22&lt;=$B$24,$B119,($C36-$B36)/($C$24-$B$24)),($D36-$C36)/($D$24-$C$24)),($E36-$D36)/($E$24-$D$24)),$F119)</f>
        <v>0</v>
      </c>
      <c r="G53" s="210">
        <f t="shared" si="69"/>
        <v>0</v>
      </c>
      <c r="H53" s="210">
        <f t="shared" si="69"/>
        <v>0</v>
      </c>
      <c r="I53" s="210">
        <f t="shared" si="69"/>
        <v>0</v>
      </c>
      <c r="J53" s="210">
        <f t="shared" si="69"/>
        <v>0</v>
      </c>
      <c r="K53" s="210">
        <f t="shared" si="69"/>
        <v>0</v>
      </c>
      <c r="L53" s="210">
        <f t="shared" si="69"/>
        <v>0</v>
      </c>
      <c r="M53" s="210">
        <f t="shared" si="69"/>
        <v>0</v>
      </c>
      <c r="N53" s="210">
        <f t="shared" si="69"/>
        <v>0</v>
      </c>
      <c r="O53" s="210">
        <f t="shared" si="69"/>
        <v>0</v>
      </c>
      <c r="P53" s="210">
        <f t="shared" si="69"/>
        <v>0</v>
      </c>
      <c r="Q53" s="210">
        <f t="shared" si="69"/>
        <v>0</v>
      </c>
      <c r="R53" s="210">
        <f t="shared" si="69"/>
        <v>0</v>
      </c>
      <c r="S53" s="210">
        <f t="shared" si="69"/>
        <v>0</v>
      </c>
      <c r="T53" s="210">
        <f t="shared" si="69"/>
        <v>0</v>
      </c>
      <c r="U53" s="210">
        <f t="shared" si="69"/>
        <v>0</v>
      </c>
      <c r="V53" s="210">
        <f t="shared" si="69"/>
        <v>0</v>
      </c>
      <c r="W53" s="210">
        <f t="shared" si="69"/>
        <v>0</v>
      </c>
      <c r="X53" s="210">
        <f t="shared" si="69"/>
        <v>0</v>
      </c>
      <c r="Y53" s="210">
        <f t="shared" si="69"/>
        <v>0</v>
      </c>
      <c r="Z53" s="210">
        <f t="shared" si="69"/>
        <v>0</v>
      </c>
      <c r="AA53" s="210">
        <f t="shared" si="69"/>
        <v>0</v>
      </c>
      <c r="AB53" s="210">
        <f t="shared" si="69"/>
        <v>0</v>
      </c>
      <c r="AC53" s="210">
        <f t="shared" si="69"/>
        <v>0</v>
      </c>
      <c r="AD53" s="210">
        <f t="shared" si="69"/>
        <v>0</v>
      </c>
      <c r="AE53" s="210">
        <f t="shared" si="69"/>
        <v>0</v>
      </c>
      <c r="AF53" s="210">
        <f t="shared" si="69"/>
        <v>0</v>
      </c>
      <c r="AG53" s="210">
        <f t="shared" si="69"/>
        <v>0</v>
      </c>
      <c r="AH53" s="210">
        <f t="shared" si="69"/>
        <v>0</v>
      </c>
      <c r="AI53" s="210">
        <f t="shared" si="69"/>
        <v>0</v>
      </c>
      <c r="AJ53" s="210">
        <f t="shared" si="69"/>
        <v>0</v>
      </c>
      <c r="AK53" s="210">
        <f t="shared" si="69"/>
        <v>0</v>
      </c>
      <c r="AL53" s="210">
        <f t="shared" ref="AL53:BQ53" si="70">IF(AL$22&lt;=$E$24,IF(AL$22&lt;=$D$24,IF(AL$22&lt;=$C$24,IF(AL$22&lt;=$B$24,$B119,($C36-$B36)/($C$24-$B$24)),($D36-$C36)/($D$24-$C$24)),($E36-$D36)/($E$24-$D$24)),$F119)</f>
        <v>0</v>
      </c>
      <c r="AM53" s="210">
        <f t="shared" si="70"/>
        <v>0</v>
      </c>
      <c r="AN53" s="210">
        <f t="shared" si="70"/>
        <v>0</v>
      </c>
      <c r="AO53" s="210">
        <f t="shared" si="70"/>
        <v>0</v>
      </c>
      <c r="AP53" s="210">
        <f t="shared" si="70"/>
        <v>0</v>
      </c>
      <c r="AQ53" s="210">
        <f t="shared" si="70"/>
        <v>0</v>
      </c>
      <c r="AR53" s="210">
        <f t="shared" si="70"/>
        <v>0</v>
      </c>
      <c r="AS53" s="210">
        <f t="shared" si="70"/>
        <v>0</v>
      </c>
      <c r="AT53" s="210">
        <f t="shared" si="70"/>
        <v>0</v>
      </c>
      <c r="AU53" s="210">
        <f t="shared" si="70"/>
        <v>0</v>
      </c>
      <c r="AV53" s="210">
        <f t="shared" si="70"/>
        <v>0</v>
      </c>
      <c r="AW53" s="210">
        <f t="shared" si="70"/>
        <v>0</v>
      </c>
      <c r="AX53" s="210">
        <f t="shared" si="70"/>
        <v>0</v>
      </c>
      <c r="AY53" s="210">
        <f t="shared" si="70"/>
        <v>0</v>
      </c>
      <c r="AZ53" s="210">
        <f t="shared" si="70"/>
        <v>0</v>
      </c>
      <c r="BA53" s="210">
        <f t="shared" si="70"/>
        <v>0</v>
      </c>
      <c r="BB53" s="210">
        <f t="shared" si="70"/>
        <v>0</v>
      </c>
      <c r="BC53" s="210">
        <f t="shared" si="70"/>
        <v>0</v>
      </c>
      <c r="BD53" s="210">
        <f t="shared" si="70"/>
        <v>0</v>
      </c>
      <c r="BE53" s="210">
        <f t="shared" si="70"/>
        <v>0</v>
      </c>
      <c r="BF53" s="210">
        <f t="shared" si="70"/>
        <v>0</v>
      </c>
      <c r="BG53" s="210">
        <f t="shared" si="70"/>
        <v>0</v>
      </c>
      <c r="BH53" s="210">
        <f t="shared" si="70"/>
        <v>0</v>
      </c>
      <c r="BI53" s="210">
        <f t="shared" si="70"/>
        <v>0</v>
      </c>
      <c r="BJ53" s="210">
        <f t="shared" si="70"/>
        <v>0</v>
      </c>
      <c r="BK53" s="210">
        <f t="shared" si="70"/>
        <v>0</v>
      </c>
      <c r="BL53" s="210">
        <f t="shared" si="70"/>
        <v>0</v>
      </c>
      <c r="BM53" s="210">
        <f t="shared" si="70"/>
        <v>0</v>
      </c>
      <c r="BN53" s="210">
        <f t="shared" si="70"/>
        <v>-853.09110806083925</v>
      </c>
      <c r="BO53" s="210">
        <f t="shared" si="70"/>
        <v>-853.09110806083925</v>
      </c>
      <c r="BP53" s="210">
        <f t="shared" si="70"/>
        <v>-853.09110806083925</v>
      </c>
      <c r="BQ53" s="210">
        <f t="shared" si="70"/>
        <v>-853.09110806083925</v>
      </c>
      <c r="BR53" s="210">
        <f t="shared" ref="BR53:DA53" si="71">IF(BR$22&lt;=$E$24,IF(BR$22&lt;=$D$24,IF(BR$22&lt;=$C$24,IF(BR$22&lt;=$B$24,$B119,($C36-$B36)/($C$24-$B$24)),($D36-$C36)/($D$24-$C$24)),($E36-$D36)/($E$24-$D$24)),$F119)</f>
        <v>-853.09110806083925</v>
      </c>
      <c r="BS53" s="210">
        <f t="shared" si="71"/>
        <v>-853.09110806083925</v>
      </c>
      <c r="BT53" s="210">
        <f t="shared" si="71"/>
        <v>-853.09110806083925</v>
      </c>
      <c r="BU53" s="210">
        <f t="shared" si="71"/>
        <v>-853.09110806083925</v>
      </c>
      <c r="BV53" s="210">
        <f t="shared" si="71"/>
        <v>-853.09110806083925</v>
      </c>
      <c r="BW53" s="210">
        <f t="shared" si="71"/>
        <v>-853.09110806083925</v>
      </c>
      <c r="BX53" s="210">
        <f t="shared" si="71"/>
        <v>-853.09110806083925</v>
      </c>
      <c r="BY53" s="210">
        <f t="shared" si="71"/>
        <v>-853.09110806083925</v>
      </c>
      <c r="BZ53" s="210">
        <f t="shared" si="71"/>
        <v>-853.09110806083925</v>
      </c>
      <c r="CA53" s="210">
        <f t="shared" si="71"/>
        <v>-853.09110806083925</v>
      </c>
      <c r="CB53" s="210">
        <f t="shared" si="71"/>
        <v>-853.09110806083925</v>
      </c>
      <c r="CC53" s="210">
        <f t="shared" si="71"/>
        <v>-853.09110806083925</v>
      </c>
      <c r="CD53" s="210">
        <f t="shared" si="71"/>
        <v>-853.09110806083925</v>
      </c>
      <c r="CE53" s="210">
        <f t="shared" si="71"/>
        <v>-853.09110806083925</v>
      </c>
      <c r="CF53" s="210">
        <f t="shared" si="71"/>
        <v>-853.09110806083925</v>
      </c>
      <c r="CG53" s="210">
        <f t="shared" si="71"/>
        <v>-853.09110806083925</v>
      </c>
      <c r="CH53" s="210">
        <f t="shared" si="71"/>
        <v>-853.09110806083925</v>
      </c>
      <c r="CI53" s="210">
        <f t="shared" si="71"/>
        <v>-853.09110806083925</v>
      </c>
      <c r="CJ53" s="210">
        <f t="shared" si="71"/>
        <v>113.18587320505932</v>
      </c>
      <c r="CK53" s="210">
        <f t="shared" si="71"/>
        <v>113.18587320505932</v>
      </c>
      <c r="CL53" s="210">
        <f t="shared" si="71"/>
        <v>113.18587320505932</v>
      </c>
      <c r="CM53" s="210">
        <f t="shared" si="71"/>
        <v>113.18587320505932</v>
      </c>
      <c r="CN53" s="210">
        <f t="shared" si="71"/>
        <v>113.18587320505932</v>
      </c>
      <c r="CO53" s="210">
        <f t="shared" si="71"/>
        <v>113.18587320505932</v>
      </c>
      <c r="CP53" s="210">
        <f t="shared" si="71"/>
        <v>113.18587320505932</v>
      </c>
      <c r="CQ53" s="210">
        <f t="shared" si="71"/>
        <v>113.18587320505932</v>
      </c>
      <c r="CR53" s="210">
        <f t="shared" si="71"/>
        <v>113.18587320505932</v>
      </c>
      <c r="CS53" s="210">
        <f t="shared" si="71"/>
        <v>113.18587320505932</v>
      </c>
      <c r="CT53" s="210">
        <f t="shared" si="71"/>
        <v>113.18587320505932</v>
      </c>
      <c r="CU53" s="210">
        <f t="shared" si="71"/>
        <v>113.18587320505932</v>
      </c>
      <c r="CV53" s="210">
        <f t="shared" si="71"/>
        <v>113.18587320505932</v>
      </c>
      <c r="CW53" s="210">
        <f t="shared" si="71"/>
        <v>113.18587320505932</v>
      </c>
      <c r="CX53" s="210">
        <f t="shared" si="71"/>
        <v>-1127.83</v>
      </c>
      <c r="CY53" s="210">
        <f t="shared" si="71"/>
        <v>-1127.83</v>
      </c>
      <c r="CZ53" s="210">
        <f t="shared" si="71"/>
        <v>-1127.83</v>
      </c>
      <c r="DA53" s="210">
        <f t="shared" si="71"/>
        <v>-1127.83</v>
      </c>
    </row>
    <row r="54" spans="1:105">
      <c r="A54" s="201" t="str">
        <f>Income!A86</f>
        <v>Cash transfer - gifts</v>
      </c>
      <c r="F54" s="210">
        <f t="shared" ref="F54:AK54" si="72">IF(F$22&lt;=$E$24,IF(F$22&lt;=$D$24,IF(F$22&lt;=$C$24,IF(F$22&lt;=$B$24,$B120,($C37-$B37)/($C$24-$B$24)),($D37-$C37)/($D$24-$C$24)),($E37-$D37)/($E$24-$D$24)),$F120)</f>
        <v>0</v>
      </c>
      <c r="G54" s="210">
        <f t="shared" si="72"/>
        <v>0</v>
      </c>
      <c r="H54" s="210">
        <f t="shared" si="72"/>
        <v>0</v>
      </c>
      <c r="I54" s="210">
        <f t="shared" si="72"/>
        <v>0</v>
      </c>
      <c r="J54" s="210">
        <f t="shared" si="72"/>
        <v>0</v>
      </c>
      <c r="K54" s="210">
        <f t="shared" si="72"/>
        <v>0</v>
      </c>
      <c r="L54" s="210">
        <f t="shared" si="72"/>
        <v>0</v>
      </c>
      <c r="M54" s="210">
        <f t="shared" si="72"/>
        <v>0</v>
      </c>
      <c r="N54" s="210">
        <f t="shared" si="72"/>
        <v>0</v>
      </c>
      <c r="O54" s="210">
        <f t="shared" si="72"/>
        <v>0</v>
      </c>
      <c r="P54" s="210">
        <f t="shared" si="72"/>
        <v>0</v>
      </c>
      <c r="Q54" s="210">
        <f t="shared" si="72"/>
        <v>0</v>
      </c>
      <c r="R54" s="210">
        <f t="shared" si="72"/>
        <v>0</v>
      </c>
      <c r="S54" s="210">
        <f t="shared" si="72"/>
        <v>0</v>
      </c>
      <c r="T54" s="210">
        <f t="shared" si="72"/>
        <v>0</v>
      </c>
      <c r="U54" s="210">
        <f t="shared" si="72"/>
        <v>0</v>
      </c>
      <c r="V54" s="210">
        <f t="shared" si="72"/>
        <v>0</v>
      </c>
      <c r="W54" s="210">
        <f t="shared" si="72"/>
        <v>0</v>
      </c>
      <c r="X54" s="210">
        <f t="shared" si="72"/>
        <v>0</v>
      </c>
      <c r="Y54" s="210">
        <f t="shared" si="72"/>
        <v>0</v>
      </c>
      <c r="Z54" s="210">
        <f t="shared" si="72"/>
        <v>0</v>
      </c>
      <c r="AA54" s="210">
        <f t="shared" si="72"/>
        <v>0</v>
      </c>
      <c r="AB54" s="210">
        <f t="shared" si="72"/>
        <v>0</v>
      </c>
      <c r="AC54" s="210">
        <f t="shared" si="72"/>
        <v>0</v>
      </c>
      <c r="AD54" s="210">
        <f t="shared" si="72"/>
        <v>194.08951135775706</v>
      </c>
      <c r="AE54" s="210">
        <f t="shared" si="72"/>
        <v>194.08951135775706</v>
      </c>
      <c r="AF54" s="210">
        <f t="shared" si="72"/>
        <v>194.08951135775706</v>
      </c>
      <c r="AG54" s="210">
        <f t="shared" si="72"/>
        <v>194.08951135775706</v>
      </c>
      <c r="AH54" s="210">
        <f t="shared" si="72"/>
        <v>194.08951135775706</v>
      </c>
      <c r="AI54" s="210">
        <f t="shared" si="72"/>
        <v>194.08951135775706</v>
      </c>
      <c r="AJ54" s="210">
        <f t="shared" si="72"/>
        <v>194.08951135775706</v>
      </c>
      <c r="AK54" s="210">
        <f t="shared" si="72"/>
        <v>194.08951135775706</v>
      </c>
      <c r="AL54" s="210">
        <f t="shared" ref="AL54:BQ54" si="73">IF(AL$22&lt;=$E$24,IF(AL$22&lt;=$D$24,IF(AL$22&lt;=$C$24,IF(AL$22&lt;=$B$24,$B120,($C37-$B37)/($C$24-$B$24)),($D37-$C37)/($D$24-$C$24)),($E37-$D37)/($E$24-$D$24)),$F120)</f>
        <v>194.08951135775706</v>
      </c>
      <c r="AM54" s="210">
        <f t="shared" si="73"/>
        <v>194.08951135775706</v>
      </c>
      <c r="AN54" s="210">
        <f t="shared" si="73"/>
        <v>194.08951135775706</v>
      </c>
      <c r="AO54" s="210">
        <f t="shared" si="73"/>
        <v>194.08951135775706</v>
      </c>
      <c r="AP54" s="210">
        <f t="shared" si="73"/>
        <v>194.08951135775706</v>
      </c>
      <c r="AQ54" s="210">
        <f t="shared" si="73"/>
        <v>194.08951135775706</v>
      </c>
      <c r="AR54" s="210">
        <f t="shared" si="73"/>
        <v>194.08951135775706</v>
      </c>
      <c r="AS54" s="210">
        <f t="shared" si="73"/>
        <v>194.08951135775706</v>
      </c>
      <c r="AT54" s="210">
        <f t="shared" si="73"/>
        <v>194.08951135775706</v>
      </c>
      <c r="AU54" s="210">
        <f t="shared" si="73"/>
        <v>194.08951135775706</v>
      </c>
      <c r="AV54" s="210">
        <f t="shared" si="73"/>
        <v>194.08951135775706</v>
      </c>
      <c r="AW54" s="210">
        <f t="shared" si="73"/>
        <v>194.08951135775706</v>
      </c>
      <c r="AX54" s="210">
        <f t="shared" si="73"/>
        <v>194.08951135775706</v>
      </c>
      <c r="AY54" s="210">
        <f t="shared" si="73"/>
        <v>194.08951135775706</v>
      </c>
      <c r="AZ54" s="210">
        <f t="shared" si="73"/>
        <v>194.08951135775706</v>
      </c>
      <c r="BA54" s="210">
        <f t="shared" si="73"/>
        <v>194.08951135775706</v>
      </c>
      <c r="BB54" s="210">
        <f t="shared" si="73"/>
        <v>194.08951135775706</v>
      </c>
      <c r="BC54" s="210">
        <f t="shared" si="73"/>
        <v>194.08951135775706</v>
      </c>
      <c r="BD54" s="210">
        <f t="shared" si="73"/>
        <v>194.08951135775706</v>
      </c>
      <c r="BE54" s="210">
        <f t="shared" si="73"/>
        <v>194.08951135775706</v>
      </c>
      <c r="BF54" s="210">
        <f t="shared" si="73"/>
        <v>194.08951135775706</v>
      </c>
      <c r="BG54" s="210">
        <f t="shared" si="73"/>
        <v>194.08951135775706</v>
      </c>
      <c r="BH54" s="210">
        <f t="shared" si="73"/>
        <v>194.08951135775706</v>
      </c>
      <c r="BI54" s="210">
        <f t="shared" si="73"/>
        <v>194.08951135775706</v>
      </c>
      <c r="BJ54" s="210">
        <f t="shared" si="73"/>
        <v>194.08951135775706</v>
      </c>
      <c r="BK54" s="210">
        <f t="shared" si="73"/>
        <v>194.08951135775706</v>
      </c>
      <c r="BL54" s="210">
        <f t="shared" si="73"/>
        <v>194.08951135775706</v>
      </c>
      <c r="BM54" s="210">
        <f t="shared" si="73"/>
        <v>194.08951135775706</v>
      </c>
      <c r="BN54" s="210">
        <f t="shared" si="73"/>
        <v>-324.9870887850816</v>
      </c>
      <c r="BO54" s="210">
        <f t="shared" si="73"/>
        <v>-324.9870887850816</v>
      </c>
      <c r="BP54" s="210">
        <f t="shared" si="73"/>
        <v>-324.9870887850816</v>
      </c>
      <c r="BQ54" s="210">
        <f t="shared" si="73"/>
        <v>-324.9870887850816</v>
      </c>
      <c r="BR54" s="210">
        <f t="shared" ref="BR54:DA54" si="74">IF(BR$22&lt;=$E$24,IF(BR$22&lt;=$D$24,IF(BR$22&lt;=$C$24,IF(BR$22&lt;=$B$24,$B120,($C37-$B37)/($C$24-$B$24)),($D37-$C37)/($D$24-$C$24)),($E37-$D37)/($E$24-$D$24)),$F120)</f>
        <v>-324.9870887850816</v>
      </c>
      <c r="BS54" s="210">
        <f t="shared" si="74"/>
        <v>-324.9870887850816</v>
      </c>
      <c r="BT54" s="210">
        <f t="shared" si="74"/>
        <v>-324.9870887850816</v>
      </c>
      <c r="BU54" s="210">
        <f t="shared" si="74"/>
        <v>-324.9870887850816</v>
      </c>
      <c r="BV54" s="210">
        <f t="shared" si="74"/>
        <v>-324.9870887850816</v>
      </c>
      <c r="BW54" s="210">
        <f t="shared" si="74"/>
        <v>-324.9870887850816</v>
      </c>
      <c r="BX54" s="210">
        <f t="shared" si="74"/>
        <v>-324.9870887850816</v>
      </c>
      <c r="BY54" s="210">
        <f t="shared" si="74"/>
        <v>-324.9870887850816</v>
      </c>
      <c r="BZ54" s="210">
        <f t="shared" si="74"/>
        <v>-324.9870887850816</v>
      </c>
      <c r="CA54" s="210">
        <f t="shared" si="74"/>
        <v>-324.9870887850816</v>
      </c>
      <c r="CB54" s="210">
        <f t="shared" si="74"/>
        <v>-324.9870887850816</v>
      </c>
      <c r="CC54" s="210">
        <f t="shared" si="74"/>
        <v>-324.9870887850816</v>
      </c>
      <c r="CD54" s="210">
        <f t="shared" si="74"/>
        <v>-324.9870887850816</v>
      </c>
      <c r="CE54" s="210">
        <f t="shared" si="74"/>
        <v>-324.9870887850816</v>
      </c>
      <c r="CF54" s="210">
        <f t="shared" si="74"/>
        <v>-324.9870887850816</v>
      </c>
      <c r="CG54" s="210">
        <f t="shared" si="74"/>
        <v>-324.9870887850816</v>
      </c>
      <c r="CH54" s="210">
        <f t="shared" si="74"/>
        <v>-324.9870887850816</v>
      </c>
      <c r="CI54" s="210">
        <f t="shared" si="74"/>
        <v>-324.9870887850816</v>
      </c>
      <c r="CJ54" s="210">
        <f t="shared" si="74"/>
        <v>0</v>
      </c>
      <c r="CK54" s="210">
        <f t="shared" si="74"/>
        <v>0</v>
      </c>
      <c r="CL54" s="210">
        <f t="shared" si="74"/>
        <v>0</v>
      </c>
      <c r="CM54" s="210">
        <f t="shared" si="74"/>
        <v>0</v>
      </c>
      <c r="CN54" s="210">
        <f t="shared" si="74"/>
        <v>0</v>
      </c>
      <c r="CO54" s="210">
        <f t="shared" si="74"/>
        <v>0</v>
      </c>
      <c r="CP54" s="210">
        <f t="shared" si="74"/>
        <v>0</v>
      </c>
      <c r="CQ54" s="210">
        <f t="shared" si="74"/>
        <v>0</v>
      </c>
      <c r="CR54" s="210">
        <f t="shared" si="74"/>
        <v>0</v>
      </c>
      <c r="CS54" s="210">
        <f t="shared" si="74"/>
        <v>0</v>
      </c>
      <c r="CT54" s="210">
        <f t="shared" si="74"/>
        <v>0</v>
      </c>
      <c r="CU54" s="210">
        <f t="shared" si="74"/>
        <v>0</v>
      </c>
      <c r="CV54" s="210">
        <f t="shared" si="74"/>
        <v>0</v>
      </c>
      <c r="CW54" s="210">
        <f t="shared" si="74"/>
        <v>0</v>
      </c>
      <c r="CX54" s="210">
        <f t="shared" si="74"/>
        <v>296.33</v>
      </c>
      <c r="CY54" s="210">
        <f t="shared" si="74"/>
        <v>296.33</v>
      </c>
      <c r="CZ54" s="210">
        <f t="shared" si="74"/>
        <v>296.33</v>
      </c>
      <c r="DA54" s="210">
        <f t="shared" si="74"/>
        <v>296.33</v>
      </c>
    </row>
    <row r="55" spans="1:105">
      <c r="A55" s="201" t="str">
        <f>Income!A88</f>
        <v>TOTAL</v>
      </c>
    </row>
    <row r="56" spans="1:105">
      <c r="A56" s="201" t="str">
        <f>Income!A89</f>
        <v>Food Poverty line</v>
      </c>
    </row>
    <row r="57" spans="1:105">
      <c r="A57" s="201" t="str">
        <f>Income!A90</f>
        <v>Lower Bound Poverty line</v>
      </c>
    </row>
    <row r="59" spans="1:105" s="204" customFormat="1">
      <c r="A59" s="204" t="str">
        <f>Income!A72</f>
        <v>Own crops Consumed</v>
      </c>
      <c r="F59" s="204">
        <f t="shared" ref="F59:AK59" si="75">IF(F$22&lt;=$E$24,IF(F$22&lt;=$D$24,IF(F$22&lt;=$C$24,IF(F$22&lt;=$B$24,IF(F3=0,0,IF($B25+($B$24-F$22)*F42&lt;0,0,$B25+($B$24-F$22)*F42)),$B25+(F$22-$B$24)*F42),$C25+(F$22-$C$24)*F42),$D25+(F$22-$D$24)*F42),IF($E25+(F$22-$E$24)*F42&lt;0,0,$E25+(F$22-$E$24)*F42))</f>
        <v>2273.0022575656412</v>
      </c>
      <c r="G59" s="204">
        <f t="shared" si="75"/>
        <v>2273.0022575656412</v>
      </c>
      <c r="H59" s="204">
        <f t="shared" si="75"/>
        <v>2273.0022575656412</v>
      </c>
      <c r="I59" s="204">
        <f t="shared" si="75"/>
        <v>2273.0022575656412</v>
      </c>
      <c r="J59" s="204">
        <f t="shared" si="75"/>
        <v>2273.0022575656412</v>
      </c>
      <c r="K59" s="204">
        <f t="shared" si="75"/>
        <v>2273.0022575656412</v>
      </c>
      <c r="L59" s="204">
        <f t="shared" si="75"/>
        <v>2273.0022575656412</v>
      </c>
      <c r="M59" s="204">
        <f t="shared" si="75"/>
        <v>2273.0022575656412</v>
      </c>
      <c r="N59" s="204">
        <f t="shared" si="75"/>
        <v>2273.0022575656412</v>
      </c>
      <c r="O59" s="204">
        <f t="shared" si="75"/>
        <v>2273.0022575656412</v>
      </c>
      <c r="P59" s="204">
        <f t="shared" si="75"/>
        <v>2273.0022575656412</v>
      </c>
      <c r="Q59" s="204">
        <f t="shared" si="75"/>
        <v>2273.0022575656412</v>
      </c>
      <c r="R59" s="204">
        <f t="shared" si="75"/>
        <v>2273.0022575656412</v>
      </c>
      <c r="S59" s="204">
        <f t="shared" si="75"/>
        <v>2273.0022575656412</v>
      </c>
      <c r="T59" s="204">
        <f t="shared" si="75"/>
        <v>2273.0022575656412</v>
      </c>
      <c r="U59" s="204">
        <f t="shared" si="75"/>
        <v>2273.0022575656412</v>
      </c>
      <c r="V59" s="204">
        <f t="shared" si="75"/>
        <v>2273.0022575656412</v>
      </c>
      <c r="W59" s="204">
        <f t="shared" si="75"/>
        <v>2273.0022575656412</v>
      </c>
      <c r="X59" s="204">
        <f t="shared" si="75"/>
        <v>2273.0022575656412</v>
      </c>
      <c r="Y59" s="204">
        <f t="shared" si="75"/>
        <v>2273.0022575656412</v>
      </c>
      <c r="Z59" s="204">
        <f t="shared" si="75"/>
        <v>2273.0022575656412</v>
      </c>
      <c r="AA59" s="204">
        <f t="shared" si="75"/>
        <v>2273.0022575656412</v>
      </c>
      <c r="AB59" s="204">
        <f t="shared" si="75"/>
        <v>2273.0022575656412</v>
      </c>
      <c r="AC59" s="204">
        <f t="shared" si="75"/>
        <v>2273.0022575656412</v>
      </c>
      <c r="AD59" s="204">
        <f t="shared" si="75"/>
        <v>2306.6459871523061</v>
      </c>
      <c r="AE59" s="204">
        <f t="shared" si="75"/>
        <v>2373.9334463256359</v>
      </c>
      <c r="AF59" s="204">
        <f t="shared" si="75"/>
        <v>2441.2209054989653</v>
      </c>
      <c r="AG59" s="204">
        <f t="shared" si="75"/>
        <v>2508.5083646722951</v>
      </c>
      <c r="AH59" s="204">
        <f t="shared" si="75"/>
        <v>2575.7958238456249</v>
      </c>
      <c r="AI59" s="204">
        <f t="shared" si="75"/>
        <v>2643.0832830189547</v>
      </c>
      <c r="AJ59" s="204">
        <f t="shared" si="75"/>
        <v>2710.3707421922845</v>
      </c>
      <c r="AK59" s="204">
        <f t="shared" si="75"/>
        <v>2777.6582013656139</v>
      </c>
      <c r="AL59" s="204">
        <f t="shared" ref="AL59:BQ59" si="76">IF(AL$22&lt;=$E$24,IF(AL$22&lt;=$D$24,IF(AL$22&lt;=$C$24,IF(AL$22&lt;=$B$24,IF(AL3=0,0,IF($B25+($B$24-AL$22)*AL42&lt;0,0,$B25+($B$24-AL$22)*AL42)),$B25+(AL$22-$B$24)*AL42),$C25+(AL$22-$C$24)*AL42),$D25+(AL$22-$D$24)*AL42),IF($E25+(AL$22-$E$24)*AL42&lt;0,0,$E25+(AL$22-$E$24)*AL42))</f>
        <v>2844.9456605389437</v>
      </c>
      <c r="AM59" s="204">
        <f t="shared" si="76"/>
        <v>2912.2331197122735</v>
      </c>
      <c r="AN59" s="204">
        <f t="shared" si="76"/>
        <v>2979.5205788856033</v>
      </c>
      <c r="AO59" s="204">
        <f t="shared" si="76"/>
        <v>3046.8080380589327</v>
      </c>
      <c r="AP59" s="204">
        <f t="shared" si="76"/>
        <v>3114.0954972322625</v>
      </c>
      <c r="AQ59" s="204">
        <f t="shared" si="76"/>
        <v>3181.3829564055923</v>
      </c>
      <c r="AR59" s="204">
        <f t="shared" si="76"/>
        <v>3248.6704155789221</v>
      </c>
      <c r="AS59" s="204">
        <f t="shared" si="76"/>
        <v>3315.9578747522519</v>
      </c>
      <c r="AT59" s="204">
        <f t="shared" si="76"/>
        <v>3383.2453339255817</v>
      </c>
      <c r="AU59" s="204">
        <f t="shared" si="76"/>
        <v>3450.532793098911</v>
      </c>
      <c r="AV59" s="204">
        <f t="shared" si="76"/>
        <v>3517.8202522722409</v>
      </c>
      <c r="AW59" s="204">
        <f t="shared" si="76"/>
        <v>3585.1077114455702</v>
      </c>
      <c r="AX59" s="204">
        <f t="shared" si="76"/>
        <v>3652.3951706189</v>
      </c>
      <c r="AY59" s="204">
        <f t="shared" si="76"/>
        <v>3719.6826297922298</v>
      </c>
      <c r="AZ59" s="204">
        <f t="shared" si="76"/>
        <v>3786.9700889655596</v>
      </c>
      <c r="BA59" s="204">
        <f t="shared" si="76"/>
        <v>3854.2575481388894</v>
      </c>
      <c r="BB59" s="204">
        <f t="shared" si="76"/>
        <v>3921.5450073122192</v>
      </c>
      <c r="BC59" s="204">
        <f t="shared" si="76"/>
        <v>3988.832466485549</v>
      </c>
      <c r="BD59" s="204">
        <f t="shared" si="76"/>
        <v>4056.1199256588784</v>
      </c>
      <c r="BE59" s="204">
        <f t="shared" si="76"/>
        <v>4123.4073848322078</v>
      </c>
      <c r="BF59" s="204">
        <f t="shared" si="76"/>
        <v>4190.6948440055385</v>
      </c>
      <c r="BG59" s="204">
        <f t="shared" si="76"/>
        <v>4257.9823031788674</v>
      </c>
      <c r="BH59" s="204">
        <f t="shared" si="76"/>
        <v>4325.2697623521972</v>
      </c>
      <c r="BI59" s="204">
        <f t="shared" si="76"/>
        <v>4392.557221525527</v>
      </c>
      <c r="BJ59" s="204">
        <f t="shared" si="76"/>
        <v>4459.8446806988568</v>
      </c>
      <c r="BK59" s="204">
        <f t="shared" si="76"/>
        <v>4527.1321398721866</v>
      </c>
      <c r="BL59" s="204">
        <f t="shared" si="76"/>
        <v>4594.4195990455155</v>
      </c>
      <c r="BM59" s="204">
        <f t="shared" si="76"/>
        <v>4661.7070582188462</v>
      </c>
      <c r="BN59" s="204">
        <f t="shared" si="76"/>
        <v>4713.9193586917918</v>
      </c>
      <c r="BO59" s="204">
        <f t="shared" si="76"/>
        <v>4751.0565004643531</v>
      </c>
      <c r="BP59" s="204">
        <f t="shared" si="76"/>
        <v>4788.1936422369145</v>
      </c>
      <c r="BQ59" s="204">
        <f t="shared" si="76"/>
        <v>4825.3307840094758</v>
      </c>
      <c r="BR59" s="204">
        <f t="shared" ref="BR59:DA59" si="77">IF(BR$22&lt;=$E$24,IF(BR$22&lt;=$D$24,IF(BR$22&lt;=$C$24,IF(BR$22&lt;=$B$24,IF(BR3=0,0,IF($B25+($B$24-BR$22)*BR42&lt;0,0,$B25+($B$24-BR$22)*BR42)),$B25+(BR$22-$B$24)*BR42),$C25+(BR$22-$C$24)*BR42),$D25+(BR$22-$D$24)*BR42),IF($E25+(BR$22-$E$24)*BR42&lt;0,0,$E25+(BR$22-$E$24)*BR42))</f>
        <v>4862.4679257820371</v>
      </c>
      <c r="BS59" s="204">
        <f t="shared" si="77"/>
        <v>4899.6050675545985</v>
      </c>
      <c r="BT59" s="204">
        <f t="shared" si="77"/>
        <v>4936.7422093271598</v>
      </c>
      <c r="BU59" s="204">
        <f t="shared" si="77"/>
        <v>4973.8793510997211</v>
      </c>
      <c r="BV59" s="204">
        <f t="shared" si="77"/>
        <v>5011.0164928722825</v>
      </c>
      <c r="BW59" s="204">
        <f t="shared" si="77"/>
        <v>5048.1536346448438</v>
      </c>
      <c r="BX59" s="204">
        <f t="shared" si="77"/>
        <v>5085.2907764174051</v>
      </c>
      <c r="BY59" s="204">
        <f t="shared" si="77"/>
        <v>5122.4279181899665</v>
      </c>
      <c r="BZ59" s="204">
        <f t="shared" si="77"/>
        <v>5159.5650599625278</v>
      </c>
      <c r="CA59" s="204">
        <f t="shared" si="77"/>
        <v>5196.7022017350891</v>
      </c>
      <c r="CB59" s="204">
        <f t="shared" si="77"/>
        <v>5233.8393435076505</v>
      </c>
      <c r="CC59" s="204">
        <f t="shared" si="77"/>
        <v>5270.9764852802118</v>
      </c>
      <c r="CD59" s="204">
        <f t="shared" si="77"/>
        <v>5308.1136270527732</v>
      </c>
      <c r="CE59" s="204">
        <f t="shared" si="77"/>
        <v>5345.2507688253345</v>
      </c>
      <c r="CF59" s="204">
        <f t="shared" si="77"/>
        <v>5382.3879105978958</v>
      </c>
      <c r="CG59" s="204">
        <f t="shared" si="77"/>
        <v>5419.5250523704572</v>
      </c>
      <c r="CH59" s="204">
        <f t="shared" si="77"/>
        <v>5456.6621941430185</v>
      </c>
      <c r="CI59" s="204">
        <f t="shared" si="77"/>
        <v>5493.7993359155798</v>
      </c>
      <c r="CJ59" s="204">
        <f t="shared" si="77"/>
        <v>5357.7201848277291</v>
      </c>
      <c r="CK59" s="204">
        <f t="shared" si="77"/>
        <v>5221.6410337398775</v>
      </c>
      <c r="CL59" s="204">
        <f t="shared" si="77"/>
        <v>5085.5618826520267</v>
      </c>
      <c r="CM59" s="204">
        <f t="shared" si="77"/>
        <v>4949.482731564176</v>
      </c>
      <c r="CN59" s="204">
        <f t="shared" si="77"/>
        <v>4813.4035804763244</v>
      </c>
      <c r="CO59" s="204">
        <f t="shared" si="77"/>
        <v>4677.3244293884736</v>
      </c>
      <c r="CP59" s="204">
        <f t="shared" si="77"/>
        <v>4541.2452783006229</v>
      </c>
      <c r="CQ59" s="204">
        <f t="shared" si="77"/>
        <v>4405.1661272127712</v>
      </c>
      <c r="CR59" s="204">
        <f t="shared" si="77"/>
        <v>4269.0869761249205</v>
      </c>
      <c r="CS59" s="204">
        <f t="shared" si="77"/>
        <v>4133.0078250370698</v>
      </c>
      <c r="CT59" s="204">
        <f t="shared" si="77"/>
        <v>3996.9286739492181</v>
      </c>
      <c r="CU59" s="204">
        <f t="shared" si="77"/>
        <v>3860.8495228613674</v>
      </c>
      <c r="CV59" s="204">
        <f t="shared" si="77"/>
        <v>3724.7703717735162</v>
      </c>
      <c r="CW59" s="204">
        <f t="shared" si="77"/>
        <v>3588.691220685665</v>
      </c>
      <c r="CX59" s="204">
        <f t="shared" si="77"/>
        <v>3695.0512206856652</v>
      </c>
      <c r="CY59" s="204">
        <f t="shared" si="77"/>
        <v>3801.4112206856653</v>
      </c>
      <c r="CZ59" s="204">
        <f t="shared" si="77"/>
        <v>3907.7712206856654</v>
      </c>
      <c r="DA59" s="204">
        <f t="shared" si="77"/>
        <v>4014.1312206856655</v>
      </c>
    </row>
    <row r="60" spans="1:105" s="204" customFormat="1">
      <c r="A60" s="204" t="str">
        <f>Income!A73</f>
        <v>Own crops sold</v>
      </c>
      <c r="F60" s="204">
        <f t="shared" ref="F60:AK60" si="78">IF(F$22&lt;=$E$24,IF(F$22&lt;=$D$24,IF(F$22&lt;=$C$24,IF(F$22&lt;=$B$24,IF(F4=0,0,IF($B26+($B$24-F$22)*F43&lt;0,0,$B26+($B$24-F$22)*F43)),$B26+(F$22-$B$24)*F43),$C26+(F$22-$C$24)*F43),$D26+(F$22-$D$24)*F43),IF($E26+(F$22-$E$24)*F43&lt;0,0,$E26+(F$22-$E$24)*F43))</f>
        <v>9652.6639794384555</v>
      </c>
      <c r="G60" s="204">
        <f t="shared" si="78"/>
        <v>9312.4039794384553</v>
      </c>
      <c r="H60" s="204">
        <f t="shared" si="78"/>
        <v>8972.1439794384569</v>
      </c>
      <c r="I60" s="204">
        <f t="shared" si="78"/>
        <v>8631.8839794384567</v>
      </c>
      <c r="J60" s="204">
        <f t="shared" si="78"/>
        <v>8291.6239794384564</v>
      </c>
      <c r="K60" s="204">
        <f t="shared" si="78"/>
        <v>7951.3639794384562</v>
      </c>
      <c r="L60" s="204">
        <f t="shared" si="78"/>
        <v>7611.103979438456</v>
      </c>
      <c r="M60" s="204">
        <f t="shared" si="78"/>
        <v>7270.8439794384558</v>
      </c>
      <c r="N60" s="204">
        <f t="shared" si="78"/>
        <v>6930.5839794384556</v>
      </c>
      <c r="O60" s="204">
        <f t="shared" si="78"/>
        <v>6590.3239794384554</v>
      </c>
      <c r="P60" s="204">
        <f t="shared" si="78"/>
        <v>6250.063979438457</v>
      </c>
      <c r="Q60" s="204">
        <f t="shared" si="78"/>
        <v>5909.8039794384567</v>
      </c>
      <c r="R60" s="204">
        <f t="shared" si="78"/>
        <v>5569.5439794384565</v>
      </c>
      <c r="S60" s="204">
        <f t="shared" si="78"/>
        <v>5229.2839794384563</v>
      </c>
      <c r="T60" s="204">
        <f t="shared" si="78"/>
        <v>4889.0239794384561</v>
      </c>
      <c r="U60" s="204">
        <f t="shared" si="78"/>
        <v>4548.7639794384559</v>
      </c>
      <c r="V60" s="204">
        <f t="shared" si="78"/>
        <v>4208.5039794384556</v>
      </c>
      <c r="W60" s="204">
        <f t="shared" si="78"/>
        <v>3868.2439794384563</v>
      </c>
      <c r="X60" s="204">
        <f t="shared" si="78"/>
        <v>3527.9839794384561</v>
      </c>
      <c r="Y60" s="204">
        <f t="shared" si="78"/>
        <v>3187.7239794384564</v>
      </c>
      <c r="Z60" s="204">
        <f t="shared" si="78"/>
        <v>2847.4639794384561</v>
      </c>
      <c r="AA60" s="204">
        <f t="shared" si="78"/>
        <v>2507.2039794384564</v>
      </c>
      <c r="AB60" s="204">
        <f t="shared" si="78"/>
        <v>2166.9439794384562</v>
      </c>
      <c r="AC60" s="204">
        <f t="shared" si="78"/>
        <v>1826.6839794384564</v>
      </c>
      <c r="AD60" s="204">
        <f t="shared" si="78"/>
        <v>1687.6285189131306</v>
      </c>
      <c r="AE60" s="204">
        <f t="shared" si="78"/>
        <v>1749.7775978624791</v>
      </c>
      <c r="AF60" s="204">
        <f t="shared" si="78"/>
        <v>1811.9266768118275</v>
      </c>
      <c r="AG60" s="204">
        <f t="shared" si="78"/>
        <v>1874.075755761176</v>
      </c>
      <c r="AH60" s="204">
        <f t="shared" si="78"/>
        <v>1936.2248347105244</v>
      </c>
      <c r="AI60" s="204">
        <f t="shared" si="78"/>
        <v>1998.3739136598729</v>
      </c>
      <c r="AJ60" s="204">
        <f t="shared" si="78"/>
        <v>2060.5229926092215</v>
      </c>
      <c r="AK60" s="204">
        <f t="shared" si="78"/>
        <v>2122.6720715585698</v>
      </c>
      <c r="AL60" s="204">
        <f t="shared" ref="AL60:BQ60" si="79">IF(AL$22&lt;=$E$24,IF(AL$22&lt;=$D$24,IF(AL$22&lt;=$C$24,IF(AL$22&lt;=$B$24,IF(AL4=0,0,IF($B26+($B$24-AL$22)*AL43&lt;0,0,$B26+($B$24-AL$22)*AL43)),$B26+(AL$22-$B$24)*AL43),$C26+(AL$22-$C$24)*AL43),$D26+(AL$22-$D$24)*AL43),IF($E26+(AL$22-$E$24)*AL43&lt;0,0,$E26+(AL$22-$E$24)*AL43))</f>
        <v>2184.8211505079184</v>
      </c>
      <c r="AM60" s="204">
        <f t="shared" si="79"/>
        <v>2246.9702294572671</v>
      </c>
      <c r="AN60" s="204">
        <f t="shared" si="79"/>
        <v>2309.1193084066153</v>
      </c>
      <c r="AO60" s="204">
        <f t="shared" si="79"/>
        <v>2371.268387355964</v>
      </c>
      <c r="AP60" s="204">
        <f t="shared" si="79"/>
        <v>2433.4174663053122</v>
      </c>
      <c r="AQ60" s="204">
        <f t="shared" si="79"/>
        <v>2495.5665452546609</v>
      </c>
      <c r="AR60" s="204">
        <f t="shared" si="79"/>
        <v>2557.7156242040091</v>
      </c>
      <c r="AS60" s="204">
        <f t="shared" si="79"/>
        <v>2619.8647031533578</v>
      </c>
      <c r="AT60" s="204">
        <f t="shared" si="79"/>
        <v>2682.0137821027065</v>
      </c>
      <c r="AU60" s="204">
        <f t="shared" si="79"/>
        <v>2744.1628610520547</v>
      </c>
      <c r="AV60" s="204">
        <f t="shared" si="79"/>
        <v>2806.3119400014029</v>
      </c>
      <c r="AW60" s="204">
        <f t="shared" si="79"/>
        <v>2868.4610189507521</v>
      </c>
      <c r="AX60" s="204">
        <f t="shared" si="79"/>
        <v>2930.6100979001003</v>
      </c>
      <c r="AY60" s="204">
        <f t="shared" si="79"/>
        <v>2992.7591768494485</v>
      </c>
      <c r="AZ60" s="204">
        <f t="shared" si="79"/>
        <v>3054.9082557987972</v>
      </c>
      <c r="BA60" s="204">
        <f t="shared" si="79"/>
        <v>3117.0573347481459</v>
      </c>
      <c r="BB60" s="204">
        <f t="shared" si="79"/>
        <v>3179.2064136974941</v>
      </c>
      <c r="BC60" s="204">
        <f t="shared" si="79"/>
        <v>3241.3554926468423</v>
      </c>
      <c r="BD60" s="204">
        <f t="shared" si="79"/>
        <v>3303.5045715961915</v>
      </c>
      <c r="BE60" s="204">
        <f t="shared" si="79"/>
        <v>3365.6536505455397</v>
      </c>
      <c r="BF60" s="204">
        <f t="shared" si="79"/>
        <v>3427.8027294948879</v>
      </c>
      <c r="BG60" s="204">
        <f t="shared" si="79"/>
        <v>3489.9518084442366</v>
      </c>
      <c r="BH60" s="204">
        <f t="shared" si="79"/>
        <v>3552.1008873935853</v>
      </c>
      <c r="BI60" s="204">
        <f t="shared" si="79"/>
        <v>3614.2499663429335</v>
      </c>
      <c r="BJ60" s="204">
        <f t="shared" si="79"/>
        <v>3676.3990452922822</v>
      </c>
      <c r="BK60" s="204">
        <f t="shared" si="79"/>
        <v>3738.5481242416304</v>
      </c>
      <c r="BL60" s="204">
        <f t="shared" si="79"/>
        <v>3800.6972031909791</v>
      </c>
      <c r="BM60" s="204">
        <f t="shared" si="79"/>
        <v>3862.8462821403277</v>
      </c>
      <c r="BN60" s="204">
        <f t="shared" si="79"/>
        <v>3985.323440335806</v>
      </c>
      <c r="BO60" s="204">
        <f t="shared" si="79"/>
        <v>4168.1286777774139</v>
      </c>
      <c r="BP60" s="204">
        <f t="shared" si="79"/>
        <v>4350.9339152190223</v>
      </c>
      <c r="BQ60" s="204">
        <f t="shared" si="79"/>
        <v>4533.7391526606307</v>
      </c>
      <c r="BR60" s="204">
        <f t="shared" ref="BR60:CZ60" si="80">IF(BR$22&lt;=$E$24,IF(BR$22&lt;=$D$24,IF(BR$22&lt;=$C$24,IF(BR$22&lt;=$B$24,IF(BR4=0,0,IF($B26+($B$24-BR$22)*BR43&lt;0,0,$B26+($B$24-BR$22)*BR43)),$B26+(BR$22-$B$24)*BR43),$C26+(BR$22-$C$24)*BR43),$D26+(BR$22-$D$24)*BR43),IF($E26+(BR$22-$E$24)*BR43&lt;0,0,$E26+(BR$22-$E$24)*BR43))</f>
        <v>4716.544390102239</v>
      </c>
      <c r="BS60" s="204">
        <f t="shared" si="80"/>
        <v>4899.3496275438474</v>
      </c>
      <c r="BT60" s="204">
        <f t="shared" si="80"/>
        <v>5082.1548649854558</v>
      </c>
      <c r="BU60" s="204">
        <f t="shared" si="80"/>
        <v>5264.9601024270642</v>
      </c>
      <c r="BV60" s="204">
        <f t="shared" si="80"/>
        <v>5447.7653398686725</v>
      </c>
      <c r="BW60" s="204">
        <f t="shared" si="80"/>
        <v>5630.5705773102809</v>
      </c>
      <c r="BX60" s="204">
        <f t="shared" si="80"/>
        <v>5813.3758147518893</v>
      </c>
      <c r="BY60" s="204">
        <f t="shared" si="80"/>
        <v>5996.1810521934976</v>
      </c>
      <c r="BZ60" s="204">
        <f t="shared" si="80"/>
        <v>6178.986289635106</v>
      </c>
      <c r="CA60" s="204">
        <f t="shared" si="80"/>
        <v>6361.7915270767135</v>
      </c>
      <c r="CB60" s="204">
        <f t="shared" si="80"/>
        <v>6544.5967645183227</v>
      </c>
      <c r="CC60" s="204">
        <f t="shared" si="80"/>
        <v>6727.4020019599302</v>
      </c>
      <c r="CD60" s="204">
        <f t="shared" si="80"/>
        <v>6910.2072394015395</v>
      </c>
      <c r="CE60" s="204">
        <f t="shared" si="80"/>
        <v>7093.0124768431469</v>
      </c>
      <c r="CF60" s="204">
        <f t="shared" si="80"/>
        <v>7275.8177142847562</v>
      </c>
      <c r="CG60" s="204">
        <f t="shared" si="80"/>
        <v>7458.6229517263637</v>
      </c>
      <c r="CH60" s="204">
        <f t="shared" si="80"/>
        <v>7641.4281891679721</v>
      </c>
      <c r="CI60" s="204">
        <f t="shared" si="80"/>
        <v>7824.2334266095804</v>
      </c>
      <c r="CJ60" s="204">
        <f t="shared" si="80"/>
        <v>8676.469578202792</v>
      </c>
      <c r="CK60" s="204">
        <f t="shared" si="80"/>
        <v>9528.7057297960055</v>
      </c>
      <c r="CL60" s="204">
        <f t="shared" si="80"/>
        <v>10380.941881389219</v>
      </c>
      <c r="CM60" s="204">
        <f t="shared" si="80"/>
        <v>11233.178032982431</v>
      </c>
      <c r="CN60" s="204">
        <f t="shared" si="80"/>
        <v>12085.414184575642</v>
      </c>
      <c r="CO60" s="204">
        <f t="shared" si="80"/>
        <v>12937.650336168856</v>
      </c>
      <c r="CP60" s="204">
        <f t="shared" si="80"/>
        <v>13789.886487762069</v>
      </c>
      <c r="CQ60" s="204">
        <f t="shared" si="80"/>
        <v>14642.122639355281</v>
      </c>
      <c r="CR60" s="204">
        <f t="shared" si="80"/>
        <v>15494.358790948492</v>
      </c>
      <c r="CS60" s="204">
        <f t="shared" si="80"/>
        <v>16346.594942541706</v>
      </c>
      <c r="CT60" s="204">
        <f t="shared" si="80"/>
        <v>17198.831094134919</v>
      </c>
      <c r="CU60" s="204">
        <f t="shared" si="80"/>
        <v>18051.067245728133</v>
      </c>
      <c r="CV60" s="204">
        <f t="shared" si="80"/>
        <v>18903.303397321346</v>
      </c>
      <c r="CW60" s="204">
        <f t="shared" si="80"/>
        <v>19755.539548914556</v>
      </c>
      <c r="CX60" s="204">
        <f t="shared" si="80"/>
        <v>20480.399548914556</v>
      </c>
      <c r="CY60" s="204">
        <f t="shared" si="80"/>
        <v>21205.259548914557</v>
      </c>
      <c r="CZ60" s="204">
        <f t="shared" si="80"/>
        <v>21930.119548914558</v>
      </c>
      <c r="DA60" s="204">
        <f>IF(DA$22&lt;=$E$24,IF(DA$22&lt;=$D$24,IF(DA$22&lt;=$C$24,IF(DA$22&lt;=$B$24,IF(DA4=0,0,IF($B26+($B$24-DA$22)*DA43&lt;0,0,$B26+($B$24-DA$22)*DA43)),$B26+(DA$22-$B$24)*DA43),$C26+(DA$22-$C$24)*DA43),$D26+(DA$22-$D$24)*DA43),IF($E26+(DA$22-$E$24)*DA43&lt;0,0,$E26+(DA$22-$E$24)*DA43))</f>
        <v>22654.979548914554</v>
      </c>
    </row>
    <row r="61" spans="1:105" s="204" customFormat="1">
      <c r="A61" s="204" t="str">
        <f>Income!A74</f>
        <v>Animal products consumed</v>
      </c>
      <c r="F61" s="204">
        <f t="shared" ref="F61:AK61" si="81">IF(F$22&lt;=$E$24,IF(F$22&lt;=$D$24,IF(F$22&lt;=$C$24,IF(F$22&lt;=$B$24,IF(F5=0,0,IF($B27+($B$24-F$22)*F44&lt;0,0,$B27+($B$24-F$22)*F44)),$B27+(F$22-$B$24)*F44),$C27+(F$22-$C$24)*F44),$D27+(F$22-$D$24)*F44),IF($E27+(F$22-$E$24)*F44&lt;0,0,$E27+(F$22-$E$24)*F44))</f>
        <v>0</v>
      </c>
      <c r="G61" s="204">
        <f t="shared" si="81"/>
        <v>0</v>
      </c>
      <c r="H61" s="204">
        <f t="shared" si="81"/>
        <v>0</v>
      </c>
      <c r="I61" s="204">
        <f t="shared" si="81"/>
        <v>0</v>
      </c>
      <c r="J61" s="204">
        <f t="shared" si="81"/>
        <v>0</v>
      </c>
      <c r="K61" s="204">
        <f t="shared" si="81"/>
        <v>0</v>
      </c>
      <c r="L61" s="204">
        <f t="shared" si="81"/>
        <v>0</v>
      </c>
      <c r="M61" s="204">
        <f t="shared" si="81"/>
        <v>0</v>
      </c>
      <c r="N61" s="204">
        <f t="shared" si="81"/>
        <v>0</v>
      </c>
      <c r="O61" s="204">
        <f t="shared" si="81"/>
        <v>0</v>
      </c>
      <c r="P61" s="204">
        <f t="shared" si="81"/>
        <v>0</v>
      </c>
      <c r="Q61" s="204">
        <f t="shared" si="81"/>
        <v>0</v>
      </c>
      <c r="R61" s="204">
        <f t="shared" si="81"/>
        <v>0</v>
      </c>
      <c r="S61" s="204">
        <f t="shared" si="81"/>
        <v>0</v>
      </c>
      <c r="T61" s="204">
        <f t="shared" si="81"/>
        <v>0</v>
      </c>
      <c r="U61" s="204">
        <f t="shared" si="81"/>
        <v>0</v>
      </c>
      <c r="V61" s="204">
        <f t="shared" si="81"/>
        <v>0</v>
      </c>
      <c r="W61" s="204">
        <f t="shared" si="81"/>
        <v>0</v>
      </c>
      <c r="X61" s="204">
        <f t="shared" si="81"/>
        <v>0</v>
      </c>
      <c r="Y61" s="204">
        <f t="shared" si="81"/>
        <v>0</v>
      </c>
      <c r="Z61" s="204">
        <f t="shared" si="81"/>
        <v>0</v>
      </c>
      <c r="AA61" s="204">
        <f t="shared" si="81"/>
        <v>0</v>
      </c>
      <c r="AB61" s="204">
        <f t="shared" si="81"/>
        <v>0</v>
      </c>
      <c r="AC61" s="204">
        <f t="shared" si="81"/>
        <v>0</v>
      </c>
      <c r="AD61" s="204">
        <f t="shared" si="81"/>
        <v>3.6803910502392694</v>
      </c>
      <c r="AE61" s="204">
        <f t="shared" si="81"/>
        <v>11.041173150717809</v>
      </c>
      <c r="AF61" s="204">
        <f t="shared" si="81"/>
        <v>18.401955251196348</v>
      </c>
      <c r="AG61" s="204">
        <f t="shared" si="81"/>
        <v>25.762737351674886</v>
      </c>
      <c r="AH61" s="204">
        <f t="shared" si="81"/>
        <v>33.123519452153424</v>
      </c>
      <c r="AI61" s="204">
        <f t="shared" si="81"/>
        <v>40.484301552631962</v>
      </c>
      <c r="AJ61" s="204">
        <f t="shared" si="81"/>
        <v>47.8450836531105</v>
      </c>
      <c r="AK61" s="204">
        <f t="shared" si="81"/>
        <v>55.205865753589038</v>
      </c>
      <c r="AL61" s="204">
        <f t="shared" ref="AL61:BQ61" si="82">IF(AL$22&lt;=$E$24,IF(AL$22&lt;=$D$24,IF(AL$22&lt;=$C$24,IF(AL$22&lt;=$B$24,IF(AL5=0,0,IF($B27+($B$24-AL$22)*AL44&lt;0,0,$B27+($B$24-AL$22)*AL44)),$B27+(AL$22-$B$24)*AL44),$C27+(AL$22-$C$24)*AL44),$D27+(AL$22-$D$24)*AL44),IF($E27+(AL$22-$E$24)*AL44&lt;0,0,$E27+(AL$22-$E$24)*AL44))</f>
        <v>62.566647854067583</v>
      </c>
      <c r="AM61" s="204">
        <f t="shared" si="82"/>
        <v>69.927429954546113</v>
      </c>
      <c r="AN61" s="204">
        <f t="shared" si="82"/>
        <v>77.288212055024658</v>
      </c>
      <c r="AO61" s="204">
        <f t="shared" si="82"/>
        <v>84.648994155503189</v>
      </c>
      <c r="AP61" s="204">
        <f t="shared" si="82"/>
        <v>92.009776255981734</v>
      </c>
      <c r="AQ61" s="204">
        <f t="shared" si="82"/>
        <v>99.370558356460279</v>
      </c>
      <c r="AR61" s="204">
        <f t="shared" si="82"/>
        <v>106.73134045693881</v>
      </c>
      <c r="AS61" s="204">
        <f t="shared" si="82"/>
        <v>114.09212255741735</v>
      </c>
      <c r="AT61" s="204">
        <f t="shared" si="82"/>
        <v>121.45290465789589</v>
      </c>
      <c r="AU61" s="204">
        <f t="shared" si="82"/>
        <v>128.81368675837442</v>
      </c>
      <c r="AV61" s="204">
        <f t="shared" si="82"/>
        <v>136.17446885885298</v>
      </c>
      <c r="AW61" s="204">
        <f t="shared" si="82"/>
        <v>143.53525095933151</v>
      </c>
      <c r="AX61" s="204">
        <f t="shared" si="82"/>
        <v>150.89603305981004</v>
      </c>
      <c r="AY61" s="204">
        <f t="shared" si="82"/>
        <v>158.2568151602886</v>
      </c>
      <c r="AZ61" s="204">
        <f t="shared" si="82"/>
        <v>165.61759726076713</v>
      </c>
      <c r="BA61" s="204">
        <f t="shared" si="82"/>
        <v>172.97837936124566</v>
      </c>
      <c r="BB61" s="204">
        <f t="shared" si="82"/>
        <v>180.33916146172419</v>
      </c>
      <c r="BC61" s="204">
        <f t="shared" si="82"/>
        <v>187.69994356220275</v>
      </c>
      <c r="BD61" s="204">
        <f t="shared" si="82"/>
        <v>195.06072566268128</v>
      </c>
      <c r="BE61" s="204">
        <f t="shared" si="82"/>
        <v>202.42150776315981</v>
      </c>
      <c r="BF61" s="204">
        <f t="shared" si="82"/>
        <v>209.78228986363837</v>
      </c>
      <c r="BG61" s="204">
        <f t="shared" si="82"/>
        <v>217.1430719641169</v>
      </c>
      <c r="BH61" s="204">
        <f t="shared" si="82"/>
        <v>224.50385406459543</v>
      </c>
      <c r="BI61" s="204">
        <f t="shared" si="82"/>
        <v>231.86463616507396</v>
      </c>
      <c r="BJ61" s="204">
        <f t="shared" si="82"/>
        <v>239.22541826555252</v>
      </c>
      <c r="BK61" s="204">
        <f t="shared" si="82"/>
        <v>246.58620036603105</v>
      </c>
      <c r="BL61" s="204">
        <f t="shared" si="82"/>
        <v>253.94698246650958</v>
      </c>
      <c r="BM61" s="204">
        <f t="shared" si="82"/>
        <v>261.30776456698811</v>
      </c>
      <c r="BN61" s="204">
        <f t="shared" si="82"/>
        <v>272.70199848706028</v>
      </c>
      <c r="BO61" s="204">
        <f t="shared" si="82"/>
        <v>288.12968422672606</v>
      </c>
      <c r="BP61" s="204">
        <f t="shared" si="82"/>
        <v>303.55736996639183</v>
      </c>
      <c r="BQ61" s="204">
        <f t="shared" si="82"/>
        <v>318.98505570605761</v>
      </c>
      <c r="BR61" s="204">
        <f t="shared" ref="BR61:DA61" si="83">IF(BR$22&lt;=$E$24,IF(BR$22&lt;=$D$24,IF(BR$22&lt;=$C$24,IF(BR$22&lt;=$B$24,IF(BR5=0,0,IF($B27+($B$24-BR$22)*BR44&lt;0,0,$B27+($B$24-BR$22)*BR44)),$B27+(BR$22-$B$24)*BR44),$C27+(BR$22-$C$24)*BR44),$D27+(BR$22-$D$24)*BR44),IF($E27+(BR$22-$E$24)*BR44&lt;0,0,$E27+(BR$22-$E$24)*BR44))</f>
        <v>334.41274144572338</v>
      </c>
      <c r="BS61" s="204">
        <f t="shared" si="83"/>
        <v>349.84042718538916</v>
      </c>
      <c r="BT61" s="204">
        <f t="shared" si="83"/>
        <v>365.26811292505494</v>
      </c>
      <c r="BU61" s="204">
        <f t="shared" si="83"/>
        <v>380.69579866472071</v>
      </c>
      <c r="BV61" s="204">
        <f t="shared" si="83"/>
        <v>396.12348440438655</v>
      </c>
      <c r="BW61" s="204">
        <f t="shared" si="83"/>
        <v>411.55117014405232</v>
      </c>
      <c r="BX61" s="204">
        <f t="shared" si="83"/>
        <v>426.9788558837181</v>
      </c>
      <c r="BY61" s="204">
        <f t="shared" si="83"/>
        <v>442.40654162338387</v>
      </c>
      <c r="BZ61" s="204">
        <f t="shared" si="83"/>
        <v>457.83422736304965</v>
      </c>
      <c r="CA61" s="204">
        <f t="shared" si="83"/>
        <v>473.26191310271543</v>
      </c>
      <c r="CB61" s="204">
        <f t="shared" si="83"/>
        <v>488.6895988423812</v>
      </c>
      <c r="CC61" s="204">
        <f t="shared" si="83"/>
        <v>504.11728458204698</v>
      </c>
      <c r="CD61" s="204">
        <f t="shared" si="83"/>
        <v>519.54497032171275</v>
      </c>
      <c r="CE61" s="204">
        <f t="shared" si="83"/>
        <v>534.97265606137853</v>
      </c>
      <c r="CF61" s="204">
        <f t="shared" si="83"/>
        <v>550.40034180104431</v>
      </c>
      <c r="CG61" s="204">
        <f t="shared" si="83"/>
        <v>565.82802754071008</v>
      </c>
      <c r="CH61" s="204">
        <f t="shared" si="83"/>
        <v>581.25571328037586</v>
      </c>
      <c r="CI61" s="204">
        <f t="shared" si="83"/>
        <v>596.68339902004163</v>
      </c>
      <c r="CJ61" s="204">
        <f t="shared" si="83"/>
        <v>730.04593645147963</v>
      </c>
      <c r="CK61" s="204">
        <f t="shared" si="83"/>
        <v>863.40847388291763</v>
      </c>
      <c r="CL61" s="204">
        <f t="shared" si="83"/>
        <v>996.77101131435575</v>
      </c>
      <c r="CM61" s="204">
        <f t="shared" si="83"/>
        <v>1130.1335487457936</v>
      </c>
      <c r="CN61" s="204">
        <f t="shared" si="83"/>
        <v>1263.4960861772317</v>
      </c>
      <c r="CO61" s="204">
        <f t="shared" si="83"/>
        <v>1396.8586236086699</v>
      </c>
      <c r="CP61" s="204">
        <f t="shared" si="83"/>
        <v>1530.2211610401077</v>
      </c>
      <c r="CQ61" s="204">
        <f t="shared" si="83"/>
        <v>1663.5836984715459</v>
      </c>
      <c r="CR61" s="204">
        <f t="shared" si="83"/>
        <v>1796.946235902984</v>
      </c>
      <c r="CS61" s="204">
        <f t="shared" si="83"/>
        <v>1930.3087733344219</v>
      </c>
      <c r="CT61" s="204">
        <f t="shared" si="83"/>
        <v>2063.6713107658597</v>
      </c>
      <c r="CU61" s="204">
        <f t="shared" si="83"/>
        <v>2197.0338481972981</v>
      </c>
      <c r="CV61" s="204">
        <f t="shared" si="83"/>
        <v>2330.396385628736</v>
      </c>
      <c r="CW61" s="204">
        <f t="shared" si="83"/>
        <v>2463.7589230601743</v>
      </c>
      <c r="CX61" s="204">
        <f t="shared" si="83"/>
        <v>2472.1899230601739</v>
      </c>
      <c r="CY61" s="204">
        <f t="shared" si="83"/>
        <v>2480.6209230601739</v>
      </c>
      <c r="CZ61" s="204">
        <f t="shared" si="83"/>
        <v>2489.051923060174</v>
      </c>
      <c r="DA61" s="204">
        <f t="shared" si="83"/>
        <v>2497.482923060174</v>
      </c>
    </row>
    <row r="62" spans="1:105" s="204" customFormat="1">
      <c r="A62" s="204" t="str">
        <f>Income!A75</f>
        <v>Animal products sold</v>
      </c>
      <c r="F62" s="204">
        <f t="shared" ref="F62:AK62" si="84">IF(F$22&lt;=$E$24,IF(F$22&lt;=$D$24,IF(F$22&lt;=$C$24,IF(F$22&lt;=$B$24,IF(F6=0,0,IF($B28+($B$24-F$22)*F45&lt;0,0,$B28+($B$24-F$22)*F45)),$B28+(F$22-$B$24)*F45),$C28+(F$22-$C$24)*F45),$D28+(F$22-$D$24)*F45),IF($E28+(F$22-$E$24)*F45&lt;0,0,$E28+(F$22-$E$24)*F45))</f>
        <v>0</v>
      </c>
      <c r="G62" s="204">
        <f t="shared" si="84"/>
        <v>0</v>
      </c>
      <c r="H62" s="204">
        <f t="shared" si="84"/>
        <v>0</v>
      </c>
      <c r="I62" s="204">
        <f t="shared" si="84"/>
        <v>0</v>
      </c>
      <c r="J62" s="204">
        <f t="shared" si="84"/>
        <v>0</v>
      </c>
      <c r="K62" s="204">
        <f t="shared" si="84"/>
        <v>0</v>
      </c>
      <c r="L62" s="204">
        <f t="shared" si="84"/>
        <v>0</v>
      </c>
      <c r="M62" s="204">
        <f t="shared" si="84"/>
        <v>0</v>
      </c>
      <c r="N62" s="204">
        <f t="shared" si="84"/>
        <v>0</v>
      </c>
      <c r="O62" s="204">
        <f t="shared" si="84"/>
        <v>0</v>
      </c>
      <c r="P62" s="204">
        <f t="shared" si="84"/>
        <v>0</v>
      </c>
      <c r="Q62" s="204">
        <f t="shared" si="84"/>
        <v>0</v>
      </c>
      <c r="R62" s="204">
        <f t="shared" si="84"/>
        <v>0</v>
      </c>
      <c r="S62" s="204">
        <f t="shared" si="84"/>
        <v>0</v>
      </c>
      <c r="T62" s="204">
        <f t="shared" si="84"/>
        <v>0</v>
      </c>
      <c r="U62" s="204">
        <f t="shared" si="84"/>
        <v>0</v>
      </c>
      <c r="V62" s="204">
        <f t="shared" si="84"/>
        <v>0</v>
      </c>
      <c r="W62" s="204">
        <f t="shared" si="84"/>
        <v>0</v>
      </c>
      <c r="X62" s="204">
        <f t="shared" si="84"/>
        <v>0</v>
      </c>
      <c r="Y62" s="204">
        <f t="shared" si="84"/>
        <v>0</v>
      </c>
      <c r="Z62" s="204">
        <f t="shared" si="84"/>
        <v>0</v>
      </c>
      <c r="AA62" s="204">
        <f t="shared" si="84"/>
        <v>0</v>
      </c>
      <c r="AB62" s="204">
        <f t="shared" si="84"/>
        <v>0</v>
      </c>
      <c r="AC62" s="204">
        <f t="shared" si="84"/>
        <v>0</v>
      </c>
      <c r="AD62" s="204">
        <f t="shared" si="84"/>
        <v>0</v>
      </c>
      <c r="AE62" s="204">
        <f t="shared" si="84"/>
        <v>0</v>
      </c>
      <c r="AF62" s="204">
        <f t="shared" si="84"/>
        <v>0</v>
      </c>
      <c r="AG62" s="204">
        <f t="shared" si="84"/>
        <v>0</v>
      </c>
      <c r="AH62" s="204">
        <f t="shared" si="84"/>
        <v>0</v>
      </c>
      <c r="AI62" s="204">
        <f t="shared" si="84"/>
        <v>0</v>
      </c>
      <c r="AJ62" s="204">
        <f t="shared" si="84"/>
        <v>0</v>
      </c>
      <c r="AK62" s="204">
        <f t="shared" si="84"/>
        <v>0</v>
      </c>
      <c r="AL62" s="204">
        <f t="shared" ref="AL62:BQ62" si="85">IF(AL$22&lt;=$E$24,IF(AL$22&lt;=$D$24,IF(AL$22&lt;=$C$24,IF(AL$22&lt;=$B$24,IF(AL6=0,0,IF($B28+($B$24-AL$22)*AL45&lt;0,0,$B28+($B$24-AL$22)*AL45)),$B28+(AL$22-$B$24)*AL45),$C28+(AL$22-$C$24)*AL45),$D28+(AL$22-$D$24)*AL45),IF($E28+(AL$22-$E$24)*AL45&lt;0,0,$E28+(AL$22-$E$24)*AL45))</f>
        <v>0</v>
      </c>
      <c r="AM62" s="204">
        <f t="shared" si="85"/>
        <v>0</v>
      </c>
      <c r="AN62" s="204">
        <f t="shared" si="85"/>
        <v>0</v>
      </c>
      <c r="AO62" s="204">
        <f t="shared" si="85"/>
        <v>0</v>
      </c>
      <c r="AP62" s="204">
        <f t="shared" si="85"/>
        <v>0</v>
      </c>
      <c r="AQ62" s="204">
        <f t="shared" si="85"/>
        <v>0</v>
      </c>
      <c r="AR62" s="204">
        <f t="shared" si="85"/>
        <v>0</v>
      </c>
      <c r="AS62" s="204">
        <f t="shared" si="85"/>
        <v>0</v>
      </c>
      <c r="AT62" s="204">
        <f t="shared" si="85"/>
        <v>0</v>
      </c>
      <c r="AU62" s="204">
        <f t="shared" si="85"/>
        <v>0</v>
      </c>
      <c r="AV62" s="204">
        <f t="shared" si="85"/>
        <v>0</v>
      </c>
      <c r="AW62" s="204">
        <f t="shared" si="85"/>
        <v>0</v>
      </c>
      <c r="AX62" s="204">
        <f t="shared" si="85"/>
        <v>0</v>
      </c>
      <c r="AY62" s="204">
        <f t="shared" si="85"/>
        <v>0</v>
      </c>
      <c r="AZ62" s="204">
        <f t="shared" si="85"/>
        <v>0</v>
      </c>
      <c r="BA62" s="204">
        <f t="shared" si="85"/>
        <v>0</v>
      </c>
      <c r="BB62" s="204">
        <f t="shared" si="85"/>
        <v>0</v>
      </c>
      <c r="BC62" s="204">
        <f t="shared" si="85"/>
        <v>0</v>
      </c>
      <c r="BD62" s="204">
        <f t="shared" si="85"/>
        <v>0</v>
      </c>
      <c r="BE62" s="204">
        <f t="shared" si="85"/>
        <v>0</v>
      </c>
      <c r="BF62" s="204">
        <f t="shared" si="85"/>
        <v>0</v>
      </c>
      <c r="BG62" s="204">
        <f t="shared" si="85"/>
        <v>0</v>
      </c>
      <c r="BH62" s="204">
        <f t="shared" si="85"/>
        <v>0</v>
      </c>
      <c r="BI62" s="204">
        <f t="shared" si="85"/>
        <v>0</v>
      </c>
      <c r="BJ62" s="204">
        <f t="shared" si="85"/>
        <v>0</v>
      </c>
      <c r="BK62" s="204">
        <f t="shared" si="85"/>
        <v>0</v>
      </c>
      <c r="BL62" s="204">
        <f t="shared" si="85"/>
        <v>0</v>
      </c>
      <c r="BM62" s="204">
        <f t="shared" si="85"/>
        <v>0</v>
      </c>
      <c r="BN62" s="204">
        <f t="shared" si="85"/>
        <v>0</v>
      </c>
      <c r="BO62" s="204">
        <f t="shared" si="85"/>
        <v>0</v>
      </c>
      <c r="BP62" s="204">
        <f t="shared" si="85"/>
        <v>0</v>
      </c>
      <c r="BQ62" s="204">
        <f t="shared" si="85"/>
        <v>0</v>
      </c>
      <c r="BR62" s="204">
        <f t="shared" ref="BR62:DA62" si="86">IF(BR$22&lt;=$E$24,IF(BR$22&lt;=$D$24,IF(BR$22&lt;=$C$24,IF(BR$22&lt;=$B$24,IF(BR6=0,0,IF($B28+($B$24-BR$22)*BR45&lt;0,0,$B28+($B$24-BR$22)*BR45)),$B28+(BR$22-$B$24)*BR45),$C28+(BR$22-$C$24)*BR45),$D28+(BR$22-$D$24)*BR45),IF($E28+(BR$22-$E$24)*BR45&lt;0,0,$E28+(BR$22-$E$24)*BR45))</f>
        <v>0</v>
      </c>
      <c r="BS62" s="204">
        <f t="shared" si="86"/>
        <v>0</v>
      </c>
      <c r="BT62" s="204">
        <f t="shared" si="86"/>
        <v>0</v>
      </c>
      <c r="BU62" s="204">
        <f t="shared" si="86"/>
        <v>0</v>
      </c>
      <c r="BV62" s="204">
        <f t="shared" si="86"/>
        <v>0</v>
      </c>
      <c r="BW62" s="204">
        <f t="shared" si="86"/>
        <v>0</v>
      </c>
      <c r="BX62" s="204">
        <f t="shared" si="86"/>
        <v>0</v>
      </c>
      <c r="BY62" s="204">
        <f t="shared" si="86"/>
        <v>0</v>
      </c>
      <c r="BZ62" s="204">
        <f t="shared" si="86"/>
        <v>0</v>
      </c>
      <c r="CA62" s="204">
        <f t="shared" si="86"/>
        <v>0</v>
      </c>
      <c r="CB62" s="204">
        <f t="shared" si="86"/>
        <v>0</v>
      </c>
      <c r="CC62" s="204">
        <f t="shared" si="86"/>
        <v>0</v>
      </c>
      <c r="CD62" s="204">
        <f t="shared" si="86"/>
        <v>0</v>
      </c>
      <c r="CE62" s="204">
        <f t="shared" si="86"/>
        <v>0</v>
      </c>
      <c r="CF62" s="204">
        <f t="shared" si="86"/>
        <v>0</v>
      </c>
      <c r="CG62" s="204">
        <f t="shared" si="86"/>
        <v>0</v>
      </c>
      <c r="CH62" s="204">
        <f t="shared" si="86"/>
        <v>0</v>
      </c>
      <c r="CI62" s="204">
        <f t="shared" si="86"/>
        <v>0</v>
      </c>
      <c r="CJ62" s="204">
        <f t="shared" si="86"/>
        <v>0</v>
      </c>
      <c r="CK62" s="204">
        <f t="shared" si="86"/>
        <v>0</v>
      </c>
      <c r="CL62" s="204">
        <f t="shared" si="86"/>
        <v>0</v>
      </c>
      <c r="CM62" s="204">
        <f t="shared" si="86"/>
        <v>0</v>
      </c>
      <c r="CN62" s="204">
        <f t="shared" si="86"/>
        <v>0</v>
      </c>
      <c r="CO62" s="204">
        <f t="shared" si="86"/>
        <v>0</v>
      </c>
      <c r="CP62" s="204">
        <f t="shared" si="86"/>
        <v>0</v>
      </c>
      <c r="CQ62" s="204">
        <f t="shared" si="86"/>
        <v>0</v>
      </c>
      <c r="CR62" s="204">
        <f t="shared" si="86"/>
        <v>0</v>
      </c>
      <c r="CS62" s="204">
        <f t="shared" si="86"/>
        <v>0</v>
      </c>
      <c r="CT62" s="204">
        <f t="shared" si="86"/>
        <v>0</v>
      </c>
      <c r="CU62" s="204">
        <f t="shared" si="86"/>
        <v>0</v>
      </c>
      <c r="CV62" s="204">
        <f t="shared" si="86"/>
        <v>0</v>
      </c>
      <c r="CW62" s="204">
        <f t="shared" si="86"/>
        <v>0</v>
      </c>
      <c r="CX62" s="204">
        <f t="shared" si="86"/>
        <v>0</v>
      </c>
      <c r="CY62" s="204">
        <f t="shared" si="86"/>
        <v>0</v>
      </c>
      <c r="CZ62" s="204">
        <f t="shared" si="86"/>
        <v>0</v>
      </c>
      <c r="DA62" s="204">
        <f t="shared" si="86"/>
        <v>0</v>
      </c>
    </row>
    <row r="63" spans="1:105" s="204" customFormat="1">
      <c r="A63" s="204" t="str">
        <f>Income!A76</f>
        <v>Animals sold</v>
      </c>
      <c r="F63" s="204">
        <f t="shared" ref="F63:BQ63" si="87">IF(F$22&lt;=$E$24,IF(F$22&lt;=$D$24,IF(F$22&lt;=$C$24,IF(F$22&lt;=$B$24,IF(F7=0,0,IF($B29+($B$24-F$22)*F46&lt;0,0,$B29+($B$24-F$22)*F46)),$B29+(F$22-$B$24)*F46),$C29+(F$22-$C$24)*F46),$D29+(F$22-$D$24)*F46),IF($E29+(F$22-$E$24)*F46&lt;0,0,$E29+(F$22-$E$24)*F46))</f>
        <v>0</v>
      </c>
      <c r="G63" s="204">
        <f t="shared" si="87"/>
        <v>0</v>
      </c>
      <c r="H63" s="204">
        <f t="shared" si="87"/>
        <v>0</v>
      </c>
      <c r="I63" s="204">
        <f t="shared" si="87"/>
        <v>0</v>
      </c>
      <c r="J63" s="204">
        <f t="shared" si="87"/>
        <v>0</v>
      </c>
      <c r="K63" s="204">
        <f t="shared" si="87"/>
        <v>0</v>
      </c>
      <c r="L63" s="204">
        <f t="shared" ref="L63:L69" si="88">IF(L$22&lt;=$E$24,IF(L$22&lt;=$D$24,IF(L$22&lt;=$C$24,IF(L$22&lt;=$B$24,IF(L7=0,0,IF($B29+($B$24-L$22)*L46&lt;0,0,$B29+($B$24-L$22)*L46)),$B29+(L$22-$B$24)*L46),$C29+(L$22-$C$24)*L46),$D29+(L$22-$D$24)*L46),IF($E29+(L$22-$E$24)*L46&lt;0,0,$E29+(L$22-$E$24)*L46))</f>
        <v>0</v>
      </c>
      <c r="M63" s="204">
        <f t="shared" si="87"/>
        <v>0</v>
      </c>
      <c r="N63" s="204">
        <f t="shared" si="87"/>
        <v>0</v>
      </c>
      <c r="O63" s="204">
        <f t="shared" si="87"/>
        <v>0</v>
      </c>
      <c r="P63" s="204">
        <f t="shared" si="87"/>
        <v>0</v>
      </c>
      <c r="Q63" s="204">
        <f t="shared" si="87"/>
        <v>0</v>
      </c>
      <c r="R63" s="204">
        <f t="shared" si="87"/>
        <v>0</v>
      </c>
      <c r="S63" s="204">
        <f t="shared" si="87"/>
        <v>0</v>
      </c>
      <c r="T63" s="204">
        <f t="shared" si="87"/>
        <v>0</v>
      </c>
      <c r="U63" s="204">
        <f t="shared" si="87"/>
        <v>0</v>
      </c>
      <c r="V63" s="204">
        <f t="shared" si="87"/>
        <v>0</v>
      </c>
      <c r="W63" s="204">
        <f t="shared" si="87"/>
        <v>0</v>
      </c>
      <c r="X63" s="204">
        <f t="shared" si="87"/>
        <v>0</v>
      </c>
      <c r="Y63" s="204">
        <f t="shared" si="87"/>
        <v>0</v>
      </c>
      <c r="Z63" s="204">
        <f t="shared" si="87"/>
        <v>0</v>
      </c>
      <c r="AA63" s="204">
        <f t="shared" si="87"/>
        <v>0</v>
      </c>
      <c r="AB63" s="204">
        <f t="shared" si="87"/>
        <v>0</v>
      </c>
      <c r="AC63" s="204">
        <f t="shared" si="87"/>
        <v>0</v>
      </c>
      <c r="AD63" s="204">
        <f t="shared" si="87"/>
        <v>40.435314866199391</v>
      </c>
      <c r="AE63" s="204">
        <f t="shared" si="87"/>
        <v>121.30594459859817</v>
      </c>
      <c r="AF63" s="204">
        <f t="shared" si="87"/>
        <v>202.17657433099697</v>
      </c>
      <c r="AG63" s="204">
        <f t="shared" si="87"/>
        <v>283.04720406339572</v>
      </c>
      <c r="AH63" s="204">
        <f t="shared" si="87"/>
        <v>363.91783379579454</v>
      </c>
      <c r="AI63" s="204">
        <f t="shared" si="87"/>
        <v>444.78846352819329</v>
      </c>
      <c r="AJ63" s="204">
        <f t="shared" si="87"/>
        <v>525.65909326059204</v>
      </c>
      <c r="AK63" s="204">
        <f t="shared" si="87"/>
        <v>606.52972299299086</v>
      </c>
      <c r="AL63" s="204">
        <f t="shared" si="87"/>
        <v>687.40035272538967</v>
      </c>
      <c r="AM63" s="204">
        <f t="shared" si="87"/>
        <v>768.27098245778848</v>
      </c>
      <c r="AN63" s="204">
        <f t="shared" si="87"/>
        <v>849.14161219018717</v>
      </c>
      <c r="AO63" s="204">
        <f t="shared" si="87"/>
        <v>930.01224192258599</v>
      </c>
      <c r="AP63" s="204">
        <f t="shared" si="87"/>
        <v>1010.8828716549848</v>
      </c>
      <c r="AQ63" s="204">
        <f t="shared" si="87"/>
        <v>1091.7535013873835</v>
      </c>
      <c r="AR63" s="204">
        <f t="shared" si="87"/>
        <v>1172.6241311197823</v>
      </c>
      <c r="AS63" s="204">
        <f t="shared" si="87"/>
        <v>1253.4947608521811</v>
      </c>
      <c r="AT63" s="204">
        <f t="shared" si="87"/>
        <v>1334.3653905845799</v>
      </c>
      <c r="AU63" s="204">
        <f t="shared" si="87"/>
        <v>1415.2360203169787</v>
      </c>
      <c r="AV63" s="204">
        <f t="shared" si="87"/>
        <v>1496.1066500493775</v>
      </c>
      <c r="AW63" s="204">
        <f t="shared" si="87"/>
        <v>1576.9772797817764</v>
      </c>
      <c r="AX63" s="204">
        <f t="shared" si="87"/>
        <v>1657.8479095141749</v>
      </c>
      <c r="AY63" s="204">
        <f t="shared" si="87"/>
        <v>1738.7185392465738</v>
      </c>
      <c r="AZ63" s="204">
        <f t="shared" si="87"/>
        <v>1819.5891689789726</v>
      </c>
      <c r="BA63" s="204">
        <f t="shared" si="87"/>
        <v>1900.4597987113714</v>
      </c>
      <c r="BB63" s="204">
        <f t="shared" si="87"/>
        <v>1981.3304284437702</v>
      </c>
      <c r="BC63" s="204">
        <f t="shared" si="87"/>
        <v>2062.2010581761688</v>
      </c>
      <c r="BD63" s="204">
        <f t="shared" si="87"/>
        <v>2143.0716879085676</v>
      </c>
      <c r="BE63" s="204">
        <f t="shared" si="87"/>
        <v>2223.9423176409664</v>
      </c>
      <c r="BF63" s="204">
        <f t="shared" si="87"/>
        <v>2304.8129473733652</v>
      </c>
      <c r="BG63" s="204">
        <f t="shared" si="87"/>
        <v>2385.683577105764</v>
      </c>
      <c r="BH63" s="204">
        <f t="shared" si="87"/>
        <v>2466.5542068381628</v>
      </c>
      <c r="BI63" s="204">
        <f t="shared" si="87"/>
        <v>2547.4248365705616</v>
      </c>
      <c r="BJ63" s="204">
        <f t="shared" si="87"/>
        <v>2628.2954663029604</v>
      </c>
      <c r="BK63" s="204">
        <f t="shared" si="87"/>
        <v>2709.1660960353593</v>
      </c>
      <c r="BL63" s="204">
        <f t="shared" si="87"/>
        <v>2790.0367257677581</v>
      </c>
      <c r="BM63" s="204">
        <f t="shared" si="87"/>
        <v>2870.9073555001569</v>
      </c>
      <c r="BN63" s="204">
        <f t="shared" si="87"/>
        <v>3141.5418582557891</v>
      </c>
      <c r="BO63" s="204">
        <f t="shared" si="87"/>
        <v>3601.9402340346546</v>
      </c>
      <c r="BP63" s="204">
        <f t="shared" si="87"/>
        <v>4062.3386098135206</v>
      </c>
      <c r="BQ63" s="204">
        <f t="shared" si="87"/>
        <v>4522.7369855923862</v>
      </c>
      <c r="BR63" s="204">
        <f t="shared" ref="BR63:DA63" si="89">IF(BR$22&lt;=$E$24,IF(BR$22&lt;=$D$24,IF(BR$22&lt;=$C$24,IF(BR$22&lt;=$B$24,IF(BR7=0,0,IF($B29+($B$24-BR$22)*BR46&lt;0,0,$B29+($B$24-BR$22)*BR46)),$B29+(BR$22-$B$24)*BR46),$C29+(BR$22-$C$24)*BR46),$D29+(BR$22-$D$24)*BR46),IF($E29+(BR$22-$E$24)*BR46&lt;0,0,$E29+(BR$22-$E$24)*BR46))</f>
        <v>4983.1353613712517</v>
      </c>
      <c r="BS63" s="204">
        <f t="shared" si="89"/>
        <v>5443.5337371501173</v>
      </c>
      <c r="BT63" s="204">
        <f t="shared" si="89"/>
        <v>5903.9321129289829</v>
      </c>
      <c r="BU63" s="204">
        <f t="shared" si="89"/>
        <v>6364.3304887078484</v>
      </c>
      <c r="BV63" s="204">
        <f t="shared" si="89"/>
        <v>6824.728864486714</v>
      </c>
      <c r="BW63" s="204">
        <f t="shared" si="89"/>
        <v>7285.1272402655795</v>
      </c>
      <c r="BX63" s="204">
        <f t="shared" si="89"/>
        <v>7745.5256160444451</v>
      </c>
      <c r="BY63" s="204">
        <f t="shared" si="89"/>
        <v>8205.9239918233106</v>
      </c>
      <c r="BZ63" s="204">
        <f t="shared" si="89"/>
        <v>8666.3223676021771</v>
      </c>
      <c r="CA63" s="204">
        <f t="shared" si="89"/>
        <v>9126.7207433810418</v>
      </c>
      <c r="CB63" s="204">
        <f t="shared" si="89"/>
        <v>9587.1191191599064</v>
      </c>
      <c r="CC63" s="204">
        <f t="shared" si="89"/>
        <v>10047.517494938773</v>
      </c>
      <c r="CD63" s="204">
        <f t="shared" si="89"/>
        <v>10507.915870717639</v>
      </c>
      <c r="CE63" s="204">
        <f t="shared" si="89"/>
        <v>10968.314246496506</v>
      </c>
      <c r="CF63" s="204">
        <f t="shared" si="89"/>
        <v>11428.712622275369</v>
      </c>
      <c r="CG63" s="204">
        <f t="shared" si="89"/>
        <v>11889.110998054235</v>
      </c>
      <c r="CH63" s="204">
        <f t="shared" si="89"/>
        <v>12349.509373833102</v>
      </c>
      <c r="CI63" s="204">
        <f t="shared" si="89"/>
        <v>12809.907749611968</v>
      </c>
      <c r="CJ63" s="204">
        <f t="shared" si="89"/>
        <v>14883.49671279127</v>
      </c>
      <c r="CK63" s="204">
        <f t="shared" si="89"/>
        <v>16957.085675970571</v>
      </c>
      <c r="CL63" s="204">
        <f t="shared" si="89"/>
        <v>19030.674639149875</v>
      </c>
      <c r="CM63" s="204">
        <f t="shared" si="89"/>
        <v>21104.263602329178</v>
      </c>
      <c r="CN63" s="204">
        <f t="shared" si="89"/>
        <v>23177.852565508481</v>
      </c>
      <c r="CO63" s="204">
        <f t="shared" si="89"/>
        <v>25251.441528687785</v>
      </c>
      <c r="CP63" s="204">
        <f t="shared" si="89"/>
        <v>27325.030491867088</v>
      </c>
      <c r="CQ63" s="204">
        <f t="shared" si="89"/>
        <v>29398.619455046392</v>
      </c>
      <c r="CR63" s="204">
        <f t="shared" si="89"/>
        <v>31472.208418225695</v>
      </c>
      <c r="CS63" s="204">
        <f t="shared" si="89"/>
        <v>33545.797381404998</v>
      </c>
      <c r="CT63" s="204">
        <f t="shared" si="89"/>
        <v>35619.386344584302</v>
      </c>
      <c r="CU63" s="204">
        <f t="shared" si="89"/>
        <v>37692.975307763598</v>
      </c>
      <c r="CV63" s="204">
        <f t="shared" si="89"/>
        <v>39766.564270942901</v>
      </c>
      <c r="CW63" s="204">
        <f t="shared" si="89"/>
        <v>41840.153234122205</v>
      </c>
      <c r="CX63" s="204">
        <f t="shared" si="89"/>
        <v>41840.153234122205</v>
      </c>
      <c r="CY63" s="204">
        <f t="shared" si="89"/>
        <v>41840.153234122205</v>
      </c>
      <c r="CZ63" s="204">
        <f t="shared" si="89"/>
        <v>41840.153234122205</v>
      </c>
      <c r="DA63" s="204">
        <f t="shared" si="89"/>
        <v>41840.153234122205</v>
      </c>
    </row>
    <row r="64" spans="1:105" s="204" customFormat="1">
      <c r="A64" s="204" t="str">
        <f>Income!A77</f>
        <v>Wild foods consumed and sold</v>
      </c>
      <c r="F64" s="204">
        <f t="shared" ref="F64:BQ64" si="90">IF(F$22&lt;=$E$24,IF(F$22&lt;=$D$24,IF(F$22&lt;=$C$24,IF(F$22&lt;=$B$24,IF(F8=0,0,IF($B30+($B$24-F$22)*F47&lt;0,0,$B30+($B$24-F$22)*F47)),$B30+(F$22-$B$24)*F47),$C30+(F$22-$C$24)*F47),$D30+(F$22-$D$24)*F47),IF($E30+(F$22-$E$24)*F47&lt;0,0,$E30+(F$22-$E$24)*F47))</f>
        <v>2081.5291403487377</v>
      </c>
      <c r="G64" s="204">
        <f t="shared" si="90"/>
        <v>2081.5291403487377</v>
      </c>
      <c r="H64" s="204">
        <f t="shared" si="90"/>
        <v>2081.5291403487377</v>
      </c>
      <c r="I64" s="204">
        <f t="shared" si="90"/>
        <v>2081.5291403487377</v>
      </c>
      <c r="J64" s="204">
        <f t="shared" si="90"/>
        <v>2081.5291403487377</v>
      </c>
      <c r="K64" s="204">
        <f t="shared" si="90"/>
        <v>2081.5291403487377</v>
      </c>
      <c r="L64" s="204">
        <f t="shared" si="88"/>
        <v>2081.5291403487377</v>
      </c>
      <c r="M64" s="204">
        <f t="shared" si="90"/>
        <v>2081.5291403487377</v>
      </c>
      <c r="N64" s="204">
        <f t="shared" si="90"/>
        <v>2081.5291403487377</v>
      </c>
      <c r="O64" s="204">
        <f t="shared" si="90"/>
        <v>2081.5291403487377</v>
      </c>
      <c r="P64" s="204">
        <f t="shared" si="90"/>
        <v>2081.5291403487377</v>
      </c>
      <c r="Q64" s="204">
        <f t="shared" si="90"/>
        <v>2081.5291403487377</v>
      </c>
      <c r="R64" s="204">
        <f t="shared" si="90"/>
        <v>2081.5291403487377</v>
      </c>
      <c r="S64" s="204">
        <f t="shared" si="90"/>
        <v>2081.5291403487377</v>
      </c>
      <c r="T64" s="204">
        <f t="shared" si="90"/>
        <v>2081.5291403487377</v>
      </c>
      <c r="U64" s="204">
        <f t="shared" si="90"/>
        <v>2081.5291403487377</v>
      </c>
      <c r="V64" s="204">
        <f t="shared" si="90"/>
        <v>2081.5291403487377</v>
      </c>
      <c r="W64" s="204">
        <f t="shared" si="90"/>
        <v>2081.5291403487377</v>
      </c>
      <c r="X64" s="204">
        <f t="shared" si="90"/>
        <v>2081.5291403487377</v>
      </c>
      <c r="Y64" s="204">
        <f t="shared" si="90"/>
        <v>2081.5291403487377</v>
      </c>
      <c r="Z64" s="204">
        <f t="shared" si="90"/>
        <v>2081.5291403487377</v>
      </c>
      <c r="AA64" s="204">
        <f t="shared" si="90"/>
        <v>2081.5291403487377</v>
      </c>
      <c r="AB64" s="204">
        <f t="shared" si="90"/>
        <v>2081.5291403487377</v>
      </c>
      <c r="AC64" s="204">
        <f t="shared" si="90"/>
        <v>2081.5291403487377</v>
      </c>
      <c r="AD64" s="204">
        <f t="shared" si="90"/>
        <v>2099.7261552185719</v>
      </c>
      <c r="AE64" s="204">
        <f t="shared" si="90"/>
        <v>2136.1201849582403</v>
      </c>
      <c r="AF64" s="204">
        <f t="shared" si="90"/>
        <v>2172.5142146979088</v>
      </c>
      <c r="AG64" s="204">
        <f t="shared" si="90"/>
        <v>2208.9082444375777</v>
      </c>
      <c r="AH64" s="204">
        <f t="shared" si="90"/>
        <v>2245.3022741772461</v>
      </c>
      <c r="AI64" s="204">
        <f t="shared" si="90"/>
        <v>2281.6963039169145</v>
      </c>
      <c r="AJ64" s="204">
        <f t="shared" si="90"/>
        <v>2318.090333656583</v>
      </c>
      <c r="AK64" s="204">
        <f t="shared" si="90"/>
        <v>2354.4843633962514</v>
      </c>
      <c r="AL64" s="204">
        <f t="shared" si="90"/>
        <v>2390.8783931359203</v>
      </c>
      <c r="AM64" s="204">
        <f t="shared" si="90"/>
        <v>2427.2724228755887</v>
      </c>
      <c r="AN64" s="204">
        <f t="shared" si="90"/>
        <v>2463.6664526152572</v>
      </c>
      <c r="AO64" s="204">
        <f t="shared" si="90"/>
        <v>2500.0604823549256</v>
      </c>
      <c r="AP64" s="204">
        <f t="shared" si="90"/>
        <v>2536.4545120945941</v>
      </c>
      <c r="AQ64" s="204">
        <f t="shared" si="90"/>
        <v>2572.8485418342625</v>
      </c>
      <c r="AR64" s="204">
        <f t="shared" si="90"/>
        <v>2609.2425715739314</v>
      </c>
      <c r="AS64" s="204">
        <f t="shared" si="90"/>
        <v>2645.6366013135998</v>
      </c>
      <c r="AT64" s="204">
        <f t="shared" si="90"/>
        <v>2682.0306310532683</v>
      </c>
      <c r="AU64" s="204">
        <f t="shared" si="90"/>
        <v>2718.4246607929367</v>
      </c>
      <c r="AV64" s="204">
        <f t="shared" si="90"/>
        <v>2754.8186905326056</v>
      </c>
      <c r="AW64" s="204">
        <f t="shared" si="90"/>
        <v>2791.2127202722741</v>
      </c>
      <c r="AX64" s="204">
        <f t="shared" si="90"/>
        <v>2827.6067500119425</v>
      </c>
      <c r="AY64" s="204">
        <f t="shared" si="90"/>
        <v>2864.0007797516109</v>
      </c>
      <c r="AZ64" s="204">
        <f t="shared" si="90"/>
        <v>2900.3948094912794</v>
      </c>
      <c r="BA64" s="204">
        <f t="shared" si="90"/>
        <v>2936.7888392309478</v>
      </c>
      <c r="BB64" s="204">
        <f t="shared" si="90"/>
        <v>2973.1828689706163</v>
      </c>
      <c r="BC64" s="204">
        <f t="shared" si="90"/>
        <v>3009.5768987102851</v>
      </c>
      <c r="BD64" s="204">
        <f t="shared" si="90"/>
        <v>3045.9709284499536</v>
      </c>
      <c r="BE64" s="204">
        <f t="shared" si="90"/>
        <v>3082.364958189622</v>
      </c>
      <c r="BF64" s="204">
        <f t="shared" si="90"/>
        <v>3118.7589879292909</v>
      </c>
      <c r="BG64" s="204">
        <f t="shared" si="90"/>
        <v>3155.1530176689594</v>
      </c>
      <c r="BH64" s="204">
        <f t="shared" si="90"/>
        <v>3191.5470474086278</v>
      </c>
      <c r="BI64" s="204">
        <f t="shared" si="90"/>
        <v>3227.9410771482962</v>
      </c>
      <c r="BJ64" s="204">
        <f t="shared" si="90"/>
        <v>3264.3351068879647</v>
      </c>
      <c r="BK64" s="204">
        <f t="shared" si="90"/>
        <v>3300.7291366276331</v>
      </c>
      <c r="BL64" s="204">
        <f t="shared" si="90"/>
        <v>3337.1231663673016</v>
      </c>
      <c r="BM64" s="204">
        <f t="shared" si="90"/>
        <v>3373.51719610697</v>
      </c>
      <c r="BN64" s="204">
        <f t="shared" si="90"/>
        <v>3312.8371363029255</v>
      </c>
      <c r="BO64" s="204">
        <f t="shared" si="90"/>
        <v>3155.0829869551671</v>
      </c>
      <c r="BP64" s="204">
        <f t="shared" si="90"/>
        <v>2997.3288376074088</v>
      </c>
      <c r="BQ64" s="204">
        <f t="shared" si="90"/>
        <v>2839.5746882596504</v>
      </c>
      <c r="BR64" s="204">
        <f t="shared" ref="BR64:DA64" si="91">IF(BR$22&lt;=$E$24,IF(BR$22&lt;=$D$24,IF(BR$22&lt;=$C$24,IF(BR$22&lt;=$B$24,IF(BR8=0,0,IF($B30+($B$24-BR$22)*BR47&lt;0,0,$B30+($B$24-BR$22)*BR47)),$B30+(BR$22-$B$24)*BR47),$C30+(BR$22-$C$24)*BR47),$D30+(BR$22-$D$24)*BR47),IF($E30+(BR$22-$E$24)*BR47&lt;0,0,$E30+(BR$22-$E$24)*BR47))</f>
        <v>2681.8205389118921</v>
      </c>
      <c r="BS64" s="204">
        <f t="shared" si="91"/>
        <v>2524.0663895641337</v>
      </c>
      <c r="BT64" s="204">
        <f t="shared" si="91"/>
        <v>2366.3122402163754</v>
      </c>
      <c r="BU64" s="204">
        <f t="shared" si="91"/>
        <v>2208.558090868617</v>
      </c>
      <c r="BV64" s="204">
        <f t="shared" si="91"/>
        <v>2050.8039415208586</v>
      </c>
      <c r="BW64" s="204">
        <f t="shared" si="91"/>
        <v>1893.0497921731003</v>
      </c>
      <c r="BX64" s="204">
        <f t="shared" si="91"/>
        <v>1735.2956428253419</v>
      </c>
      <c r="BY64" s="204">
        <f t="shared" si="91"/>
        <v>1577.5414934775836</v>
      </c>
      <c r="BZ64" s="204">
        <f t="shared" si="91"/>
        <v>1419.7873441298252</v>
      </c>
      <c r="CA64" s="204">
        <f t="shared" si="91"/>
        <v>1262.0331947820669</v>
      </c>
      <c r="CB64" s="204">
        <f t="shared" si="91"/>
        <v>1104.2790454343085</v>
      </c>
      <c r="CC64" s="204">
        <f t="shared" si="91"/>
        <v>946.52489608655014</v>
      </c>
      <c r="CD64" s="204">
        <f t="shared" si="91"/>
        <v>788.77074673879179</v>
      </c>
      <c r="CE64" s="204">
        <f t="shared" si="91"/>
        <v>631.01659739103343</v>
      </c>
      <c r="CF64" s="204">
        <f t="shared" si="91"/>
        <v>473.26244804327507</v>
      </c>
      <c r="CG64" s="204">
        <f t="shared" si="91"/>
        <v>315.50829869551671</v>
      </c>
      <c r="CH64" s="204">
        <f t="shared" si="91"/>
        <v>157.75414934775836</v>
      </c>
      <c r="CI64" s="204">
        <f t="shared" si="91"/>
        <v>0</v>
      </c>
      <c r="CJ64" s="204">
        <f t="shared" si="91"/>
        <v>0</v>
      </c>
      <c r="CK64" s="204">
        <f t="shared" si="91"/>
        <v>0</v>
      </c>
      <c r="CL64" s="204">
        <f t="shared" si="91"/>
        <v>0</v>
      </c>
      <c r="CM64" s="204">
        <f t="shared" si="91"/>
        <v>0</v>
      </c>
      <c r="CN64" s="204">
        <f t="shared" si="91"/>
        <v>0</v>
      </c>
      <c r="CO64" s="204">
        <f t="shared" si="91"/>
        <v>0</v>
      </c>
      <c r="CP64" s="204">
        <f t="shared" si="91"/>
        <v>0</v>
      </c>
      <c r="CQ64" s="204">
        <f t="shared" si="91"/>
        <v>0</v>
      </c>
      <c r="CR64" s="204">
        <f t="shared" si="91"/>
        <v>0</v>
      </c>
      <c r="CS64" s="204">
        <f t="shared" si="91"/>
        <v>0</v>
      </c>
      <c r="CT64" s="204">
        <f t="shared" si="91"/>
        <v>0</v>
      </c>
      <c r="CU64" s="204">
        <f t="shared" si="91"/>
        <v>0</v>
      </c>
      <c r="CV64" s="204">
        <f t="shared" si="91"/>
        <v>0</v>
      </c>
      <c r="CW64" s="204">
        <f t="shared" si="91"/>
        <v>0</v>
      </c>
      <c r="CX64" s="204">
        <f t="shared" si="91"/>
        <v>52.189999999999884</v>
      </c>
      <c r="CY64" s="204">
        <f t="shared" si="91"/>
        <v>104.37999999999977</v>
      </c>
      <c r="CZ64" s="204">
        <f t="shared" si="91"/>
        <v>156.56999999999965</v>
      </c>
      <c r="DA64" s="204">
        <f t="shared" si="91"/>
        <v>208.75999999999954</v>
      </c>
    </row>
    <row r="65" spans="1:105" s="204" customFormat="1">
      <c r="A65" s="204" t="str">
        <f>Income!A78</f>
        <v>Labour - casual</v>
      </c>
      <c r="F65" s="204">
        <f t="shared" ref="F65:BQ65" si="92">IF(F$22&lt;=$E$24,IF(F$22&lt;=$D$24,IF(F$22&lt;=$C$24,IF(F$22&lt;=$B$24,IF(F9=0,0,IF($B31+($B$24-F$22)*F48&lt;0,0,$B31+($B$24-F$22)*F48)),$B31+(F$22-$B$24)*F48),$C31+(F$22-$C$24)*F48),$D31+(F$22-$D$24)*F48),IF($E31+(F$22-$E$24)*F48&lt;0,0,$E31+(F$22-$E$24)*F48))</f>
        <v>12130.269869815804</v>
      </c>
      <c r="G65" s="204">
        <f t="shared" si="92"/>
        <v>12130.269869815804</v>
      </c>
      <c r="H65" s="204">
        <f t="shared" si="92"/>
        <v>12130.269869815804</v>
      </c>
      <c r="I65" s="204">
        <f t="shared" si="92"/>
        <v>12130.269869815804</v>
      </c>
      <c r="J65" s="204">
        <f t="shared" si="92"/>
        <v>12130.269869815804</v>
      </c>
      <c r="K65" s="204">
        <f t="shared" si="92"/>
        <v>12130.269869815804</v>
      </c>
      <c r="L65" s="204">
        <f t="shared" si="88"/>
        <v>12130.269869815804</v>
      </c>
      <c r="M65" s="204">
        <f t="shared" si="92"/>
        <v>12130.269869815804</v>
      </c>
      <c r="N65" s="204">
        <f t="shared" si="92"/>
        <v>12130.269869815804</v>
      </c>
      <c r="O65" s="204">
        <f t="shared" si="92"/>
        <v>12130.269869815804</v>
      </c>
      <c r="P65" s="204">
        <f t="shared" si="92"/>
        <v>12130.269869815804</v>
      </c>
      <c r="Q65" s="204">
        <f t="shared" si="92"/>
        <v>12130.269869815804</v>
      </c>
      <c r="R65" s="204">
        <f t="shared" si="92"/>
        <v>12130.269869815804</v>
      </c>
      <c r="S65" s="204">
        <f t="shared" si="92"/>
        <v>12130.269869815804</v>
      </c>
      <c r="T65" s="204">
        <f t="shared" si="92"/>
        <v>12130.269869815804</v>
      </c>
      <c r="U65" s="204">
        <f t="shared" si="92"/>
        <v>12130.269869815804</v>
      </c>
      <c r="V65" s="204">
        <f t="shared" si="92"/>
        <v>12130.269869815804</v>
      </c>
      <c r="W65" s="204">
        <f t="shared" si="92"/>
        <v>12130.269869815804</v>
      </c>
      <c r="X65" s="204">
        <f t="shared" si="92"/>
        <v>12130.269869815804</v>
      </c>
      <c r="Y65" s="204">
        <f t="shared" si="92"/>
        <v>12130.269869815804</v>
      </c>
      <c r="Z65" s="204">
        <f t="shared" si="92"/>
        <v>12130.269869815804</v>
      </c>
      <c r="AA65" s="204">
        <f t="shared" si="92"/>
        <v>12130.269869815804</v>
      </c>
      <c r="AB65" s="204">
        <f t="shared" si="92"/>
        <v>12130.269869815804</v>
      </c>
      <c r="AC65" s="204">
        <f t="shared" si="92"/>
        <v>12130.269869815804</v>
      </c>
      <c r="AD65" s="204">
        <f t="shared" si="92"/>
        <v>12259.08443513975</v>
      </c>
      <c r="AE65" s="204">
        <f t="shared" si="92"/>
        <v>12516.713565787642</v>
      </c>
      <c r="AF65" s="204">
        <f t="shared" si="92"/>
        <v>12774.342696435535</v>
      </c>
      <c r="AG65" s="204">
        <f t="shared" si="92"/>
        <v>13031.971827083427</v>
      </c>
      <c r="AH65" s="204">
        <f t="shared" si="92"/>
        <v>13289.60095773132</v>
      </c>
      <c r="AI65" s="204">
        <f t="shared" si="92"/>
        <v>13547.230088379214</v>
      </c>
      <c r="AJ65" s="204">
        <f t="shared" si="92"/>
        <v>13804.859219027107</v>
      </c>
      <c r="AK65" s="204">
        <f t="shared" si="92"/>
        <v>14062.488349674999</v>
      </c>
      <c r="AL65" s="204">
        <f t="shared" si="92"/>
        <v>14320.117480322891</v>
      </c>
      <c r="AM65" s="204">
        <f t="shared" si="92"/>
        <v>14577.746610970784</v>
      </c>
      <c r="AN65" s="204">
        <f t="shared" si="92"/>
        <v>14835.375741618676</v>
      </c>
      <c r="AO65" s="204">
        <f t="shared" si="92"/>
        <v>15093.004872266571</v>
      </c>
      <c r="AP65" s="204">
        <f t="shared" si="92"/>
        <v>15350.634002914463</v>
      </c>
      <c r="AQ65" s="204">
        <f t="shared" si="92"/>
        <v>15608.263133562356</v>
      </c>
      <c r="AR65" s="204">
        <f t="shared" si="92"/>
        <v>15865.892264210248</v>
      </c>
      <c r="AS65" s="204">
        <f t="shared" si="92"/>
        <v>16123.52139485814</v>
      </c>
      <c r="AT65" s="204">
        <f t="shared" si="92"/>
        <v>16381.150525506033</v>
      </c>
      <c r="AU65" s="204">
        <f t="shared" si="92"/>
        <v>16638.779656153925</v>
      </c>
      <c r="AV65" s="204">
        <f t="shared" si="92"/>
        <v>16896.408786801818</v>
      </c>
      <c r="AW65" s="204">
        <f t="shared" si="92"/>
        <v>17154.03791744971</v>
      </c>
      <c r="AX65" s="204">
        <f t="shared" si="92"/>
        <v>17411.667048097603</v>
      </c>
      <c r="AY65" s="204">
        <f t="shared" si="92"/>
        <v>17669.296178745495</v>
      </c>
      <c r="AZ65" s="204">
        <f t="shared" si="92"/>
        <v>17926.925309393388</v>
      </c>
      <c r="BA65" s="204">
        <f t="shared" si="92"/>
        <v>18184.554440041284</v>
      </c>
      <c r="BB65" s="204">
        <f t="shared" si="92"/>
        <v>18442.183570689172</v>
      </c>
      <c r="BC65" s="204">
        <f t="shared" si="92"/>
        <v>18699.812701337069</v>
      </c>
      <c r="BD65" s="204">
        <f t="shared" si="92"/>
        <v>18957.441831984961</v>
      </c>
      <c r="BE65" s="204">
        <f t="shared" si="92"/>
        <v>19215.070962632853</v>
      </c>
      <c r="BF65" s="204">
        <f t="shared" si="92"/>
        <v>19472.700093280746</v>
      </c>
      <c r="BG65" s="204">
        <f t="shared" si="92"/>
        <v>19730.329223928638</v>
      </c>
      <c r="BH65" s="204">
        <f t="shared" si="92"/>
        <v>19987.958354576531</v>
      </c>
      <c r="BI65" s="204">
        <f t="shared" si="92"/>
        <v>20245.587485224423</v>
      </c>
      <c r="BJ65" s="204">
        <f t="shared" si="92"/>
        <v>20503.216615872316</v>
      </c>
      <c r="BK65" s="204">
        <f t="shared" si="92"/>
        <v>20760.845746520208</v>
      </c>
      <c r="BL65" s="204">
        <f t="shared" si="92"/>
        <v>21018.474877168101</v>
      </c>
      <c r="BM65" s="204">
        <f t="shared" si="92"/>
        <v>21276.104007815993</v>
      </c>
      <c r="BN65" s="204">
        <f t="shared" si="92"/>
        <v>20907.129769113431</v>
      </c>
      <c r="BO65" s="204">
        <f t="shared" si="92"/>
        <v>19911.552161060412</v>
      </c>
      <c r="BP65" s="204">
        <f t="shared" si="92"/>
        <v>18915.974553007389</v>
      </c>
      <c r="BQ65" s="204">
        <f t="shared" si="92"/>
        <v>17920.396944954369</v>
      </c>
      <c r="BR65" s="204">
        <f t="shared" ref="BR65:DA65" si="93">IF(BR$22&lt;=$E$24,IF(BR$22&lt;=$D$24,IF(BR$22&lt;=$C$24,IF(BR$22&lt;=$B$24,IF(BR9=0,0,IF($B31+($B$24-BR$22)*BR48&lt;0,0,$B31+($B$24-BR$22)*BR48)),$B31+(BR$22-$B$24)*BR48),$C31+(BR$22-$C$24)*BR48),$D31+(BR$22-$D$24)*BR48),IF($E31+(BR$22-$E$24)*BR48&lt;0,0,$E31+(BR$22-$E$24)*BR48))</f>
        <v>16924.81933690135</v>
      </c>
      <c r="BS65" s="204">
        <f t="shared" si="93"/>
        <v>15929.241728848328</v>
      </c>
      <c r="BT65" s="204">
        <f t="shared" si="93"/>
        <v>14933.664120795307</v>
      </c>
      <c r="BU65" s="204">
        <f t="shared" si="93"/>
        <v>13938.086512742288</v>
      </c>
      <c r="BV65" s="204">
        <f t="shared" si="93"/>
        <v>12942.508904689266</v>
      </c>
      <c r="BW65" s="204">
        <f t="shared" si="93"/>
        <v>11946.931296636247</v>
      </c>
      <c r="BX65" s="204">
        <f t="shared" si="93"/>
        <v>10951.353688583225</v>
      </c>
      <c r="BY65" s="204">
        <f t="shared" si="93"/>
        <v>9955.7760805302059</v>
      </c>
      <c r="BZ65" s="204">
        <f t="shared" si="93"/>
        <v>8960.1984724771846</v>
      </c>
      <c r="CA65" s="204">
        <f t="shared" si="93"/>
        <v>7964.6208644241633</v>
      </c>
      <c r="CB65" s="204">
        <f t="shared" si="93"/>
        <v>6969.0432563711438</v>
      </c>
      <c r="CC65" s="204">
        <f t="shared" si="93"/>
        <v>5973.4656483181225</v>
      </c>
      <c r="CD65" s="204">
        <f t="shared" si="93"/>
        <v>4977.8880402651012</v>
      </c>
      <c r="CE65" s="204">
        <f t="shared" si="93"/>
        <v>3982.3104322120817</v>
      </c>
      <c r="CF65" s="204">
        <f t="shared" si="93"/>
        <v>2986.7328241590621</v>
      </c>
      <c r="CG65" s="204">
        <f t="shared" si="93"/>
        <v>1991.1552161060426</v>
      </c>
      <c r="CH65" s="204">
        <f t="shared" si="93"/>
        <v>995.5776080530195</v>
      </c>
      <c r="CI65" s="204">
        <f t="shared" si="93"/>
        <v>0</v>
      </c>
      <c r="CJ65" s="204">
        <f t="shared" si="93"/>
        <v>0</v>
      </c>
      <c r="CK65" s="204">
        <f t="shared" si="93"/>
        <v>0</v>
      </c>
      <c r="CL65" s="204">
        <f t="shared" si="93"/>
        <v>0</v>
      </c>
      <c r="CM65" s="204">
        <f t="shared" si="93"/>
        <v>0</v>
      </c>
      <c r="CN65" s="204">
        <f t="shared" si="93"/>
        <v>0</v>
      </c>
      <c r="CO65" s="204">
        <f t="shared" si="93"/>
        <v>0</v>
      </c>
      <c r="CP65" s="204">
        <f t="shared" si="93"/>
        <v>0</v>
      </c>
      <c r="CQ65" s="204">
        <f t="shared" si="93"/>
        <v>0</v>
      </c>
      <c r="CR65" s="204">
        <f t="shared" si="93"/>
        <v>0</v>
      </c>
      <c r="CS65" s="204">
        <f t="shared" si="93"/>
        <v>0</v>
      </c>
      <c r="CT65" s="204">
        <f t="shared" si="93"/>
        <v>0</v>
      </c>
      <c r="CU65" s="204">
        <f t="shared" si="93"/>
        <v>0</v>
      </c>
      <c r="CV65" s="204">
        <f t="shared" si="93"/>
        <v>0</v>
      </c>
      <c r="CW65" s="204">
        <f t="shared" si="93"/>
        <v>0</v>
      </c>
      <c r="CX65" s="204">
        <f t="shared" si="93"/>
        <v>0</v>
      </c>
      <c r="CY65" s="204">
        <f t="shared" si="93"/>
        <v>0</v>
      </c>
      <c r="CZ65" s="204">
        <f t="shared" si="93"/>
        <v>0</v>
      </c>
      <c r="DA65" s="204">
        <f t="shared" si="93"/>
        <v>0</v>
      </c>
    </row>
    <row r="66" spans="1:105" s="204" customFormat="1">
      <c r="A66" s="204" t="str">
        <f>Income!A79</f>
        <v>Labour - formal emp</v>
      </c>
      <c r="F66" s="204">
        <f t="shared" ref="F66:BQ66" si="94">IF(F$22&lt;=$E$24,IF(F$22&lt;=$D$24,IF(F$22&lt;=$C$24,IF(F$22&lt;=$B$24,IF(F10=0,0,IF($B32+($B$24-F$22)*F49&lt;0,0,$B32+($B$24-F$22)*F49)),$B32+(F$22-$B$24)*F49),$C32+(F$22-$C$24)*F49),$D32+(F$22-$D$24)*F49),IF($E32+(F$22-$E$24)*F49&lt;0,0,$E32+(F$22-$E$24)*F49))</f>
        <v>0</v>
      </c>
      <c r="G66" s="204">
        <f t="shared" si="94"/>
        <v>0</v>
      </c>
      <c r="H66" s="204">
        <f t="shared" si="94"/>
        <v>0</v>
      </c>
      <c r="I66" s="204">
        <f t="shared" si="94"/>
        <v>0</v>
      </c>
      <c r="J66" s="204">
        <f t="shared" si="94"/>
        <v>0</v>
      </c>
      <c r="K66" s="204">
        <f t="shared" si="94"/>
        <v>0</v>
      </c>
      <c r="L66" s="204">
        <f t="shared" si="88"/>
        <v>0</v>
      </c>
      <c r="M66" s="204">
        <f t="shared" si="94"/>
        <v>0</v>
      </c>
      <c r="N66" s="204">
        <f t="shared" si="94"/>
        <v>0</v>
      </c>
      <c r="O66" s="204">
        <f t="shared" si="94"/>
        <v>0</v>
      </c>
      <c r="P66" s="204">
        <f t="shared" si="94"/>
        <v>0</v>
      </c>
      <c r="Q66" s="204">
        <f t="shared" si="94"/>
        <v>0</v>
      </c>
      <c r="R66" s="204">
        <f t="shared" si="94"/>
        <v>0</v>
      </c>
      <c r="S66" s="204">
        <f t="shared" si="94"/>
        <v>0</v>
      </c>
      <c r="T66" s="204">
        <f t="shared" si="94"/>
        <v>0</v>
      </c>
      <c r="U66" s="204">
        <f t="shared" si="94"/>
        <v>0</v>
      </c>
      <c r="V66" s="204">
        <f t="shared" si="94"/>
        <v>0</v>
      </c>
      <c r="W66" s="204">
        <f t="shared" si="94"/>
        <v>0</v>
      </c>
      <c r="X66" s="204">
        <f t="shared" si="94"/>
        <v>0</v>
      </c>
      <c r="Y66" s="204">
        <f t="shared" si="94"/>
        <v>0</v>
      </c>
      <c r="Z66" s="204">
        <f t="shared" si="94"/>
        <v>0</v>
      </c>
      <c r="AA66" s="204">
        <f t="shared" si="94"/>
        <v>0</v>
      </c>
      <c r="AB66" s="204">
        <f t="shared" si="94"/>
        <v>0</v>
      </c>
      <c r="AC66" s="204">
        <f t="shared" si="94"/>
        <v>0</v>
      </c>
      <c r="AD66" s="204">
        <f t="shared" si="94"/>
        <v>291.13426703663561</v>
      </c>
      <c r="AE66" s="204">
        <f t="shared" si="94"/>
        <v>873.40280110990682</v>
      </c>
      <c r="AF66" s="204">
        <f t="shared" si="94"/>
        <v>1455.6713351831781</v>
      </c>
      <c r="AG66" s="204">
        <f t="shared" si="94"/>
        <v>2037.9398692564491</v>
      </c>
      <c r="AH66" s="204">
        <f t="shared" si="94"/>
        <v>2620.2084033297206</v>
      </c>
      <c r="AI66" s="204">
        <f t="shared" si="94"/>
        <v>3202.4769374029916</v>
      </c>
      <c r="AJ66" s="204">
        <f t="shared" si="94"/>
        <v>3784.745471476263</v>
      </c>
      <c r="AK66" s="204">
        <f t="shared" si="94"/>
        <v>4367.014005549534</v>
      </c>
      <c r="AL66" s="204">
        <f t="shared" si="94"/>
        <v>4949.2825396228054</v>
      </c>
      <c r="AM66" s="204">
        <f t="shared" si="94"/>
        <v>5531.5510736960769</v>
      </c>
      <c r="AN66" s="204">
        <f t="shared" si="94"/>
        <v>6113.8196077693474</v>
      </c>
      <c r="AO66" s="204">
        <f t="shared" si="94"/>
        <v>6696.0881418426188</v>
      </c>
      <c r="AP66" s="204">
        <f t="shared" si="94"/>
        <v>7278.3566759158903</v>
      </c>
      <c r="AQ66" s="204">
        <f t="shared" si="94"/>
        <v>7860.6252099891617</v>
      </c>
      <c r="AR66" s="204">
        <f t="shared" si="94"/>
        <v>8442.8937440624322</v>
      </c>
      <c r="AS66" s="204">
        <f t="shared" si="94"/>
        <v>9025.1622781357037</v>
      </c>
      <c r="AT66" s="204">
        <f t="shared" si="94"/>
        <v>9607.4308122089751</v>
      </c>
      <c r="AU66" s="204">
        <f t="shared" si="94"/>
        <v>10189.699346282247</v>
      </c>
      <c r="AV66" s="204">
        <f t="shared" si="94"/>
        <v>10771.967880355518</v>
      </c>
      <c r="AW66" s="204">
        <f t="shared" si="94"/>
        <v>11354.236414428789</v>
      </c>
      <c r="AX66" s="204">
        <f t="shared" si="94"/>
        <v>11936.504948502059</v>
      </c>
      <c r="AY66" s="204">
        <f t="shared" si="94"/>
        <v>12518.77348257533</v>
      </c>
      <c r="AZ66" s="204">
        <f t="shared" si="94"/>
        <v>13101.042016648602</v>
      </c>
      <c r="BA66" s="204">
        <f t="shared" si="94"/>
        <v>13683.310550721873</v>
      </c>
      <c r="BB66" s="204">
        <f t="shared" si="94"/>
        <v>14265.579084795145</v>
      </c>
      <c r="BC66" s="204">
        <f t="shared" si="94"/>
        <v>14847.847618868416</v>
      </c>
      <c r="BD66" s="204">
        <f t="shared" si="94"/>
        <v>15430.116152941688</v>
      </c>
      <c r="BE66" s="204">
        <f t="shared" si="94"/>
        <v>16012.384687014959</v>
      </c>
      <c r="BF66" s="204">
        <f t="shared" si="94"/>
        <v>16594.653221088229</v>
      </c>
      <c r="BG66" s="204">
        <f t="shared" si="94"/>
        <v>17176.9217551615</v>
      </c>
      <c r="BH66" s="204">
        <f t="shared" si="94"/>
        <v>17759.190289234772</v>
      </c>
      <c r="BI66" s="204">
        <f t="shared" si="94"/>
        <v>18341.458823308043</v>
      </c>
      <c r="BJ66" s="204">
        <f t="shared" si="94"/>
        <v>18923.727357381315</v>
      </c>
      <c r="BK66" s="204">
        <f t="shared" si="94"/>
        <v>19505.995891454586</v>
      </c>
      <c r="BL66" s="204">
        <f t="shared" si="94"/>
        <v>20088.264425527857</v>
      </c>
      <c r="BM66" s="204">
        <f t="shared" si="94"/>
        <v>20670.532959601129</v>
      </c>
      <c r="BN66" s="204">
        <f t="shared" si="94"/>
        <v>23114.706689838931</v>
      </c>
      <c r="BO66" s="204">
        <f t="shared" si="94"/>
        <v>27420.785616241261</v>
      </c>
      <c r="BP66" s="204">
        <f t="shared" si="94"/>
        <v>31726.864542643591</v>
      </c>
      <c r="BQ66" s="204">
        <f t="shared" si="94"/>
        <v>36032.943469045924</v>
      </c>
      <c r="BR66" s="204">
        <f t="shared" ref="BR66:DA66" si="95">IF(BR$22&lt;=$E$24,IF(BR$22&lt;=$D$24,IF(BR$22&lt;=$C$24,IF(BR$22&lt;=$B$24,IF(BR10=0,0,IF($B32+($B$24-BR$22)*BR49&lt;0,0,$B32+($B$24-BR$22)*BR49)),$B32+(BR$22-$B$24)*BR49),$C32+(BR$22-$C$24)*BR49),$D32+(BR$22-$D$24)*BR49),IF($E32+(BR$22-$E$24)*BR49&lt;0,0,$E32+(BR$22-$E$24)*BR49))</f>
        <v>40339.02239544825</v>
      </c>
      <c r="BS66" s="204">
        <f t="shared" si="95"/>
        <v>44645.101321850583</v>
      </c>
      <c r="BT66" s="204">
        <f t="shared" si="95"/>
        <v>48951.180248252916</v>
      </c>
      <c r="BU66" s="204">
        <f t="shared" si="95"/>
        <v>53257.259174655243</v>
      </c>
      <c r="BV66" s="204">
        <f t="shared" si="95"/>
        <v>57563.338101057576</v>
      </c>
      <c r="BW66" s="204">
        <f t="shared" si="95"/>
        <v>61869.417027459902</v>
      </c>
      <c r="BX66" s="204">
        <f t="shared" si="95"/>
        <v>66175.495953862235</v>
      </c>
      <c r="BY66" s="204">
        <f t="shared" si="95"/>
        <v>70481.574880264568</v>
      </c>
      <c r="BZ66" s="204">
        <f t="shared" si="95"/>
        <v>74787.653806666902</v>
      </c>
      <c r="CA66" s="204">
        <f t="shared" si="95"/>
        <v>79093.732733069221</v>
      </c>
      <c r="CB66" s="204">
        <f t="shared" si="95"/>
        <v>83399.811659471568</v>
      </c>
      <c r="CC66" s="204">
        <f t="shared" si="95"/>
        <v>87705.890585873887</v>
      </c>
      <c r="CD66" s="204">
        <f t="shared" si="95"/>
        <v>92011.969512276206</v>
      </c>
      <c r="CE66" s="204">
        <f t="shared" si="95"/>
        <v>96318.048438678554</v>
      </c>
      <c r="CF66" s="204">
        <f t="shared" si="95"/>
        <v>100624.12736508087</v>
      </c>
      <c r="CG66" s="204">
        <f t="shared" si="95"/>
        <v>104930.20629148322</v>
      </c>
      <c r="CH66" s="204">
        <f t="shared" si="95"/>
        <v>109236.28521788554</v>
      </c>
      <c r="CI66" s="204">
        <f t="shared" si="95"/>
        <v>113542.36414428786</v>
      </c>
      <c r="CJ66" s="204">
        <f t="shared" si="95"/>
        <v>127534.63350900782</v>
      </c>
      <c r="CK66" s="204">
        <f t="shared" si="95"/>
        <v>141526.90287372775</v>
      </c>
      <c r="CL66" s="204">
        <f t="shared" si="95"/>
        <v>155519.17223844767</v>
      </c>
      <c r="CM66" s="204">
        <f t="shared" si="95"/>
        <v>169511.44160316762</v>
      </c>
      <c r="CN66" s="204">
        <f t="shared" si="95"/>
        <v>183503.71096788754</v>
      </c>
      <c r="CO66" s="204">
        <f t="shared" si="95"/>
        <v>197495.98033260746</v>
      </c>
      <c r="CP66" s="204">
        <f t="shared" si="95"/>
        <v>211488.24969732741</v>
      </c>
      <c r="CQ66" s="204">
        <f t="shared" si="95"/>
        <v>225480.51906204736</v>
      </c>
      <c r="CR66" s="204">
        <f t="shared" si="95"/>
        <v>239472.78842676728</v>
      </c>
      <c r="CS66" s="204">
        <f t="shared" si="95"/>
        <v>253465.0577914872</v>
      </c>
      <c r="CT66" s="204">
        <f t="shared" si="95"/>
        <v>267457.32715620717</v>
      </c>
      <c r="CU66" s="204">
        <f t="shared" si="95"/>
        <v>281449.59652092704</v>
      </c>
      <c r="CV66" s="204">
        <f t="shared" si="95"/>
        <v>295441.86588564701</v>
      </c>
      <c r="CW66" s="204">
        <f t="shared" si="95"/>
        <v>309434.13525036693</v>
      </c>
      <c r="CX66" s="204">
        <f t="shared" si="95"/>
        <v>312105.83525036694</v>
      </c>
      <c r="CY66" s="204">
        <f t="shared" si="95"/>
        <v>314777.53525036696</v>
      </c>
      <c r="CZ66" s="204">
        <f t="shared" si="95"/>
        <v>317449.23525036691</v>
      </c>
      <c r="DA66" s="204">
        <f t="shared" si="95"/>
        <v>320120.93525036692</v>
      </c>
    </row>
    <row r="67" spans="1:105" s="204" customFormat="1">
      <c r="A67" s="204" t="str">
        <f>Income!A81</f>
        <v>Self - employment</v>
      </c>
      <c r="F67" s="204">
        <f t="shared" ref="F67:BQ67" si="96">IF(F$22&lt;=$E$24,IF(F$22&lt;=$D$24,IF(F$22&lt;=$C$24,IF(F$22&lt;=$B$24,IF(F11=0,0,IF($B33+($B$24-F$22)*F50&lt;0,0,$B33+($B$24-F$22)*F50)),$B33+(F$22-$B$24)*F50),$C33+(F$22-$C$24)*F50),$D33+(F$22-$D$24)*F50),IF($E33+(F$22-$E$24)*F50&lt;0,0,$E33+(F$22-$E$24)*F50))</f>
        <v>0</v>
      </c>
      <c r="G67" s="204">
        <f t="shared" si="96"/>
        <v>0</v>
      </c>
      <c r="H67" s="204">
        <f t="shared" si="96"/>
        <v>0</v>
      </c>
      <c r="I67" s="204">
        <f t="shared" si="96"/>
        <v>0</v>
      </c>
      <c r="J67" s="204">
        <f t="shared" si="96"/>
        <v>0</v>
      </c>
      <c r="K67" s="204">
        <f t="shared" si="96"/>
        <v>0</v>
      </c>
      <c r="L67" s="204">
        <f t="shared" si="88"/>
        <v>0</v>
      </c>
      <c r="M67" s="204">
        <f t="shared" si="96"/>
        <v>0</v>
      </c>
      <c r="N67" s="204">
        <f t="shared" si="96"/>
        <v>0</v>
      </c>
      <c r="O67" s="204">
        <f t="shared" si="96"/>
        <v>0</v>
      </c>
      <c r="P67" s="204">
        <f t="shared" si="96"/>
        <v>0</v>
      </c>
      <c r="Q67" s="204">
        <f t="shared" si="96"/>
        <v>0</v>
      </c>
      <c r="R67" s="204">
        <f t="shared" si="96"/>
        <v>0</v>
      </c>
      <c r="S67" s="204">
        <f t="shared" si="96"/>
        <v>0</v>
      </c>
      <c r="T67" s="204">
        <f t="shared" si="96"/>
        <v>0</v>
      </c>
      <c r="U67" s="204">
        <f t="shared" si="96"/>
        <v>0</v>
      </c>
      <c r="V67" s="204">
        <f t="shared" si="96"/>
        <v>0</v>
      </c>
      <c r="W67" s="204">
        <f t="shared" si="96"/>
        <v>0</v>
      </c>
      <c r="X67" s="204">
        <f t="shared" si="96"/>
        <v>0</v>
      </c>
      <c r="Y67" s="204">
        <f t="shared" si="96"/>
        <v>0</v>
      </c>
      <c r="Z67" s="204">
        <f t="shared" si="96"/>
        <v>0</v>
      </c>
      <c r="AA67" s="204">
        <f t="shared" si="96"/>
        <v>0</v>
      </c>
      <c r="AB67" s="204">
        <f t="shared" si="96"/>
        <v>0</v>
      </c>
      <c r="AC67" s="204">
        <f t="shared" si="96"/>
        <v>0</v>
      </c>
      <c r="AD67" s="204">
        <f t="shared" si="96"/>
        <v>129.79736072050002</v>
      </c>
      <c r="AE67" s="204">
        <f t="shared" si="96"/>
        <v>389.39208216150007</v>
      </c>
      <c r="AF67" s="204">
        <f t="shared" si="96"/>
        <v>648.98680360250012</v>
      </c>
      <c r="AG67" s="204">
        <f t="shared" si="96"/>
        <v>908.58152504350016</v>
      </c>
      <c r="AH67" s="204">
        <f t="shared" si="96"/>
        <v>1168.1762464845001</v>
      </c>
      <c r="AI67" s="204">
        <f t="shared" si="96"/>
        <v>1427.7709679255004</v>
      </c>
      <c r="AJ67" s="204">
        <f t="shared" si="96"/>
        <v>1687.3656893665002</v>
      </c>
      <c r="AK67" s="204">
        <f t="shared" si="96"/>
        <v>1946.9604108075005</v>
      </c>
      <c r="AL67" s="204">
        <f t="shared" si="96"/>
        <v>2206.5551322485003</v>
      </c>
      <c r="AM67" s="204">
        <f t="shared" si="96"/>
        <v>2466.1498536895006</v>
      </c>
      <c r="AN67" s="204">
        <f t="shared" si="96"/>
        <v>2725.7445751305004</v>
      </c>
      <c r="AO67" s="204">
        <f t="shared" si="96"/>
        <v>2985.3392965715007</v>
      </c>
      <c r="AP67" s="204">
        <f t="shared" si="96"/>
        <v>3244.9340180125005</v>
      </c>
      <c r="AQ67" s="204">
        <f t="shared" si="96"/>
        <v>3504.5287394535007</v>
      </c>
      <c r="AR67" s="204">
        <f t="shared" si="96"/>
        <v>3764.1234608945006</v>
      </c>
      <c r="AS67" s="204">
        <f t="shared" si="96"/>
        <v>4023.7181823355008</v>
      </c>
      <c r="AT67" s="204">
        <f t="shared" si="96"/>
        <v>4283.3129037765011</v>
      </c>
      <c r="AU67" s="204">
        <f t="shared" si="96"/>
        <v>4542.9076252175009</v>
      </c>
      <c r="AV67" s="204">
        <f t="shared" si="96"/>
        <v>4802.5023466585008</v>
      </c>
      <c r="AW67" s="204">
        <f t="shared" si="96"/>
        <v>5062.0970680995006</v>
      </c>
      <c r="AX67" s="204">
        <f t="shared" si="96"/>
        <v>5321.6917895405013</v>
      </c>
      <c r="AY67" s="204">
        <f t="shared" si="96"/>
        <v>5581.2865109815011</v>
      </c>
      <c r="AZ67" s="204">
        <f t="shared" si="96"/>
        <v>5840.8812324225009</v>
      </c>
      <c r="BA67" s="204">
        <f t="shared" si="96"/>
        <v>6100.4759538635008</v>
      </c>
      <c r="BB67" s="204">
        <f t="shared" si="96"/>
        <v>6360.0706753045015</v>
      </c>
      <c r="BC67" s="204">
        <f t="shared" si="96"/>
        <v>6619.6653967455013</v>
      </c>
      <c r="BD67" s="204">
        <f t="shared" si="96"/>
        <v>6879.2601181865011</v>
      </c>
      <c r="BE67" s="204">
        <f t="shared" si="96"/>
        <v>7138.854839627501</v>
      </c>
      <c r="BF67" s="204">
        <f t="shared" si="96"/>
        <v>7398.4495610685017</v>
      </c>
      <c r="BG67" s="204">
        <f t="shared" si="96"/>
        <v>7658.0442825095015</v>
      </c>
      <c r="BH67" s="204">
        <f t="shared" si="96"/>
        <v>7917.6390039505013</v>
      </c>
      <c r="BI67" s="204">
        <f t="shared" si="96"/>
        <v>8177.2337253915011</v>
      </c>
      <c r="BJ67" s="204">
        <f t="shared" si="96"/>
        <v>8436.8284468325019</v>
      </c>
      <c r="BK67" s="204">
        <f t="shared" si="96"/>
        <v>8696.4231682735008</v>
      </c>
      <c r="BL67" s="204">
        <f t="shared" si="96"/>
        <v>8956.0178897145015</v>
      </c>
      <c r="BM67" s="204">
        <f t="shared" si="96"/>
        <v>9215.6126111555022</v>
      </c>
      <c r="BN67" s="204">
        <f t="shared" si="96"/>
        <v>9168.6982423491136</v>
      </c>
      <c r="BO67" s="204">
        <f t="shared" si="96"/>
        <v>8815.2747832953391</v>
      </c>
      <c r="BP67" s="204">
        <f t="shared" si="96"/>
        <v>8461.8513242415611</v>
      </c>
      <c r="BQ67" s="204">
        <f t="shared" si="96"/>
        <v>8108.4278651877858</v>
      </c>
      <c r="BR67" s="204">
        <f t="shared" ref="BR67:DA67" si="97">IF(BR$22&lt;=$E$24,IF(BR$22&lt;=$D$24,IF(BR$22&lt;=$C$24,IF(BR$22&lt;=$B$24,IF(BR11=0,0,IF($B33+($B$24-BR$22)*BR50&lt;0,0,$B33+($B$24-BR$22)*BR50)),$B33+(BR$22-$B$24)*BR50),$C33+(BR$22-$C$24)*BR50),$D33+(BR$22-$D$24)*BR50),IF($E33+(BR$22-$E$24)*BR50&lt;0,0,$E33+(BR$22-$E$24)*BR50))</f>
        <v>7755.0044061340095</v>
      </c>
      <c r="BS67" s="204">
        <f t="shared" si="97"/>
        <v>7401.5809470802333</v>
      </c>
      <c r="BT67" s="204">
        <f t="shared" si="97"/>
        <v>7048.157488026457</v>
      </c>
      <c r="BU67" s="204">
        <f t="shared" si="97"/>
        <v>6694.7340289726808</v>
      </c>
      <c r="BV67" s="204">
        <f t="shared" si="97"/>
        <v>6341.3105699189045</v>
      </c>
      <c r="BW67" s="204">
        <f t="shared" si="97"/>
        <v>5987.8871108651283</v>
      </c>
      <c r="BX67" s="204">
        <f t="shared" si="97"/>
        <v>5634.4636518113521</v>
      </c>
      <c r="BY67" s="204">
        <f t="shared" si="97"/>
        <v>5281.0401927575758</v>
      </c>
      <c r="BZ67" s="204">
        <f t="shared" si="97"/>
        <v>4927.6167337037996</v>
      </c>
      <c r="CA67" s="204">
        <f t="shared" si="97"/>
        <v>4574.1932746500233</v>
      </c>
      <c r="CB67" s="204">
        <f t="shared" si="97"/>
        <v>4220.7698155962471</v>
      </c>
      <c r="CC67" s="204">
        <f t="shared" si="97"/>
        <v>3867.3463565424709</v>
      </c>
      <c r="CD67" s="204">
        <f t="shared" si="97"/>
        <v>3513.9228974886946</v>
      </c>
      <c r="CE67" s="204">
        <f t="shared" si="97"/>
        <v>3160.4994384349184</v>
      </c>
      <c r="CF67" s="204">
        <f t="shared" si="97"/>
        <v>2807.0759793811421</v>
      </c>
      <c r="CG67" s="204">
        <f t="shared" si="97"/>
        <v>2453.6525203273659</v>
      </c>
      <c r="CH67" s="204">
        <f t="shared" si="97"/>
        <v>2100.2290612735897</v>
      </c>
      <c r="CI67" s="204">
        <f t="shared" si="97"/>
        <v>1746.8056022198134</v>
      </c>
      <c r="CJ67" s="204">
        <f t="shared" si="97"/>
        <v>1622.0337734898269</v>
      </c>
      <c r="CK67" s="204">
        <f t="shared" si="97"/>
        <v>1497.2619447598402</v>
      </c>
      <c r="CL67" s="204">
        <f t="shared" si="97"/>
        <v>1372.4901160298537</v>
      </c>
      <c r="CM67" s="204">
        <f t="shared" si="97"/>
        <v>1247.7182872998669</v>
      </c>
      <c r="CN67" s="204">
        <f t="shared" si="97"/>
        <v>1122.9464585698802</v>
      </c>
      <c r="CO67" s="204">
        <f t="shared" si="97"/>
        <v>998.17462983989344</v>
      </c>
      <c r="CP67" s="204">
        <f t="shared" si="97"/>
        <v>873.40280110990682</v>
      </c>
      <c r="CQ67" s="204">
        <f t="shared" si="97"/>
        <v>748.63097237992008</v>
      </c>
      <c r="CR67" s="204">
        <f t="shared" si="97"/>
        <v>623.85914364993346</v>
      </c>
      <c r="CS67" s="204">
        <f t="shared" si="97"/>
        <v>499.08731491994672</v>
      </c>
      <c r="CT67" s="204">
        <f t="shared" si="97"/>
        <v>374.31548618995998</v>
      </c>
      <c r="CU67" s="204">
        <f t="shared" si="97"/>
        <v>249.54365745997325</v>
      </c>
      <c r="CV67" s="204">
        <f t="shared" si="97"/>
        <v>124.77182872998651</v>
      </c>
      <c r="CW67" s="204">
        <f t="shared" si="97"/>
        <v>0</v>
      </c>
      <c r="CX67" s="204">
        <f t="shared" si="97"/>
        <v>829.53</v>
      </c>
      <c r="CY67" s="204">
        <f t="shared" si="97"/>
        <v>1659.06</v>
      </c>
      <c r="CZ67" s="204">
        <f t="shared" si="97"/>
        <v>2488.59</v>
      </c>
      <c r="DA67" s="204">
        <f t="shared" si="97"/>
        <v>3318.12</v>
      </c>
    </row>
    <row r="68" spans="1:105" s="204" customFormat="1">
      <c r="A68" s="204" t="str">
        <f>Income!A82</f>
        <v>Small business/petty trading</v>
      </c>
      <c r="F68" s="204">
        <f t="shared" ref="F68:BQ68" si="98">IF(F$22&lt;=$E$24,IF(F$22&lt;=$D$24,IF(F$22&lt;=$C$24,IF(F$22&lt;=$B$24,IF(F12=0,0,IF($B34+($B$24-F$22)*F51&lt;0,0,$B34+($B$24-F$22)*F51)),$B34+(F$22-$B$24)*F51),$C34+(F$22-$C$24)*F51),$D34+(F$22-$D$24)*F51),IF($E34+(F$22-$E$24)*F51&lt;0,0,$E34+(F$22-$E$24)*F51))</f>
        <v>0</v>
      </c>
      <c r="G68" s="204">
        <f t="shared" si="98"/>
        <v>0</v>
      </c>
      <c r="H68" s="204">
        <f t="shared" si="98"/>
        <v>0</v>
      </c>
      <c r="I68" s="204">
        <f t="shared" si="98"/>
        <v>0</v>
      </c>
      <c r="J68" s="204">
        <f t="shared" si="98"/>
        <v>0</v>
      </c>
      <c r="K68" s="204">
        <f t="shared" si="98"/>
        <v>0</v>
      </c>
      <c r="L68" s="204">
        <f t="shared" si="88"/>
        <v>0</v>
      </c>
      <c r="M68" s="204">
        <f t="shared" si="98"/>
        <v>0</v>
      </c>
      <c r="N68" s="204">
        <f t="shared" si="98"/>
        <v>0</v>
      </c>
      <c r="O68" s="204">
        <f t="shared" si="98"/>
        <v>0</v>
      </c>
      <c r="P68" s="204">
        <f t="shared" si="98"/>
        <v>0</v>
      </c>
      <c r="Q68" s="204">
        <f t="shared" si="98"/>
        <v>0</v>
      </c>
      <c r="R68" s="204">
        <f t="shared" si="98"/>
        <v>0</v>
      </c>
      <c r="S68" s="204">
        <f t="shared" si="98"/>
        <v>0</v>
      </c>
      <c r="T68" s="204">
        <f t="shared" si="98"/>
        <v>0</v>
      </c>
      <c r="U68" s="204">
        <f t="shared" si="98"/>
        <v>0</v>
      </c>
      <c r="V68" s="204">
        <f t="shared" si="98"/>
        <v>0</v>
      </c>
      <c r="W68" s="204">
        <f t="shared" si="98"/>
        <v>0</v>
      </c>
      <c r="X68" s="204">
        <f t="shared" si="98"/>
        <v>0</v>
      </c>
      <c r="Y68" s="204">
        <f t="shared" si="98"/>
        <v>0</v>
      </c>
      <c r="Z68" s="204">
        <f t="shared" si="98"/>
        <v>0</v>
      </c>
      <c r="AA68" s="204">
        <f t="shared" si="98"/>
        <v>0</v>
      </c>
      <c r="AB68" s="204">
        <f t="shared" si="98"/>
        <v>0</v>
      </c>
      <c r="AC68" s="204">
        <f t="shared" si="98"/>
        <v>0</v>
      </c>
      <c r="AD68" s="204">
        <f t="shared" si="98"/>
        <v>19.408951135775705</v>
      </c>
      <c r="AE68" s="204">
        <f t="shared" si="98"/>
        <v>58.226853407327113</v>
      </c>
      <c r="AF68" s="204">
        <f t="shared" si="98"/>
        <v>97.044755678878531</v>
      </c>
      <c r="AG68" s="204">
        <f t="shared" si="98"/>
        <v>135.86265795042993</v>
      </c>
      <c r="AH68" s="204">
        <f t="shared" si="98"/>
        <v>174.68056022198135</v>
      </c>
      <c r="AI68" s="204">
        <f t="shared" si="98"/>
        <v>213.49846249353277</v>
      </c>
      <c r="AJ68" s="204">
        <f t="shared" si="98"/>
        <v>252.31636476508416</v>
      </c>
      <c r="AK68" s="204">
        <f t="shared" si="98"/>
        <v>291.13426703663561</v>
      </c>
      <c r="AL68" s="204">
        <f t="shared" si="98"/>
        <v>329.95216930818697</v>
      </c>
      <c r="AM68" s="204">
        <f t="shared" si="98"/>
        <v>368.77007157973839</v>
      </c>
      <c r="AN68" s="204">
        <f t="shared" si="98"/>
        <v>407.5879738512898</v>
      </c>
      <c r="AO68" s="204">
        <f t="shared" si="98"/>
        <v>446.40587612284122</v>
      </c>
      <c r="AP68" s="204">
        <f t="shared" si="98"/>
        <v>485.22377839439264</v>
      </c>
      <c r="AQ68" s="204">
        <f t="shared" si="98"/>
        <v>524.041680665944</v>
      </c>
      <c r="AR68" s="204">
        <f t="shared" si="98"/>
        <v>562.85958293749547</v>
      </c>
      <c r="AS68" s="204">
        <f t="shared" si="98"/>
        <v>601.67748520904684</v>
      </c>
      <c r="AT68" s="204">
        <f t="shared" si="98"/>
        <v>640.49538748059831</v>
      </c>
      <c r="AU68" s="204">
        <f t="shared" si="98"/>
        <v>679.31328975214967</v>
      </c>
      <c r="AV68" s="204">
        <f t="shared" si="98"/>
        <v>718.13119202370115</v>
      </c>
      <c r="AW68" s="204">
        <f t="shared" si="98"/>
        <v>756.94909429525251</v>
      </c>
      <c r="AX68" s="204">
        <f t="shared" si="98"/>
        <v>795.76699656680387</v>
      </c>
      <c r="AY68" s="204">
        <f t="shared" si="98"/>
        <v>834.58489883835534</v>
      </c>
      <c r="AZ68" s="204">
        <f t="shared" si="98"/>
        <v>873.4028011099067</v>
      </c>
      <c r="BA68" s="204">
        <f t="shared" si="98"/>
        <v>912.22070338145818</v>
      </c>
      <c r="BB68" s="204">
        <f t="shared" si="98"/>
        <v>951.03860565300954</v>
      </c>
      <c r="BC68" s="204">
        <f t="shared" si="98"/>
        <v>989.85650792456101</v>
      </c>
      <c r="BD68" s="204">
        <f t="shared" si="98"/>
        <v>1028.6744101961124</v>
      </c>
      <c r="BE68" s="204">
        <f t="shared" si="98"/>
        <v>1067.4923124676639</v>
      </c>
      <c r="BF68" s="204">
        <f t="shared" si="98"/>
        <v>1106.3102147392151</v>
      </c>
      <c r="BG68" s="204">
        <f t="shared" si="98"/>
        <v>1145.1281170107666</v>
      </c>
      <c r="BH68" s="204">
        <f t="shared" si="98"/>
        <v>1183.946019282318</v>
      </c>
      <c r="BI68" s="204">
        <f t="shared" si="98"/>
        <v>1222.7639215538695</v>
      </c>
      <c r="BJ68" s="204">
        <f t="shared" si="98"/>
        <v>1261.5818238254208</v>
      </c>
      <c r="BK68" s="204">
        <f t="shared" si="98"/>
        <v>1300.3997260969722</v>
      </c>
      <c r="BL68" s="204">
        <f t="shared" si="98"/>
        <v>1339.2176283685237</v>
      </c>
      <c r="BM68" s="204">
        <f t="shared" si="98"/>
        <v>1378.0355306400752</v>
      </c>
      <c r="BN68" s="204">
        <f t="shared" si="98"/>
        <v>1364.9457728973427</v>
      </c>
      <c r="BO68" s="204">
        <f t="shared" si="98"/>
        <v>1299.9483551403264</v>
      </c>
      <c r="BP68" s="204">
        <f t="shared" si="98"/>
        <v>1234.95093738331</v>
      </c>
      <c r="BQ68" s="204">
        <f t="shared" si="98"/>
        <v>1169.9535196262937</v>
      </c>
      <c r="BR68" s="204">
        <f t="shared" ref="BR68:DA68" si="99">IF(BR$22&lt;=$E$24,IF(BR$22&lt;=$D$24,IF(BR$22&lt;=$C$24,IF(BR$22&lt;=$B$24,IF(BR12=0,0,IF($B34+($B$24-BR$22)*BR51&lt;0,0,$B34+($B$24-BR$22)*BR51)),$B34+(BR$22-$B$24)*BR51),$C34+(BR$22-$C$24)*BR51),$D34+(BR$22-$D$24)*BR51),IF($E34+(BR$22-$E$24)*BR51&lt;0,0,$E34+(BR$22-$E$24)*BR51))</f>
        <v>1104.9561018692773</v>
      </c>
      <c r="BS68" s="204">
        <f t="shared" si="99"/>
        <v>1039.9586841122609</v>
      </c>
      <c r="BT68" s="204">
        <f t="shared" si="99"/>
        <v>974.96126635524479</v>
      </c>
      <c r="BU68" s="204">
        <f t="shared" si="99"/>
        <v>909.96384859822842</v>
      </c>
      <c r="BV68" s="204">
        <f t="shared" si="99"/>
        <v>844.96643084121206</v>
      </c>
      <c r="BW68" s="204">
        <f t="shared" si="99"/>
        <v>779.96901308419581</v>
      </c>
      <c r="BX68" s="204">
        <f t="shared" si="99"/>
        <v>714.97159532717944</v>
      </c>
      <c r="BY68" s="204">
        <f t="shared" si="99"/>
        <v>649.97417757016308</v>
      </c>
      <c r="BZ68" s="204">
        <f t="shared" si="99"/>
        <v>584.97675981314683</v>
      </c>
      <c r="CA68" s="204">
        <f t="shared" si="99"/>
        <v>519.97934205613046</v>
      </c>
      <c r="CB68" s="204">
        <f t="shared" si="99"/>
        <v>454.9819242991141</v>
      </c>
      <c r="CC68" s="204">
        <f t="shared" si="99"/>
        <v>389.98450654209785</v>
      </c>
      <c r="CD68" s="204">
        <f t="shared" si="99"/>
        <v>324.9870887850816</v>
      </c>
      <c r="CE68" s="204">
        <f t="shared" si="99"/>
        <v>259.98967102806523</v>
      </c>
      <c r="CF68" s="204">
        <f t="shared" si="99"/>
        <v>194.99225327104887</v>
      </c>
      <c r="CG68" s="204">
        <f t="shared" si="99"/>
        <v>129.9948355140325</v>
      </c>
      <c r="CH68" s="204">
        <f t="shared" si="99"/>
        <v>64.997417757016137</v>
      </c>
      <c r="CI68" s="204">
        <f t="shared" si="99"/>
        <v>0</v>
      </c>
      <c r="CJ68" s="204">
        <f t="shared" si="99"/>
        <v>0</v>
      </c>
      <c r="CK68" s="204">
        <f t="shared" si="99"/>
        <v>0</v>
      </c>
      <c r="CL68" s="204">
        <f t="shared" si="99"/>
        <v>0</v>
      </c>
      <c r="CM68" s="204">
        <f t="shared" si="99"/>
        <v>0</v>
      </c>
      <c r="CN68" s="204">
        <f t="shared" si="99"/>
        <v>0</v>
      </c>
      <c r="CO68" s="204">
        <f t="shared" si="99"/>
        <v>0</v>
      </c>
      <c r="CP68" s="204">
        <f t="shared" si="99"/>
        <v>0</v>
      </c>
      <c r="CQ68" s="204">
        <f t="shared" si="99"/>
        <v>0</v>
      </c>
      <c r="CR68" s="204">
        <f t="shared" si="99"/>
        <v>0</v>
      </c>
      <c r="CS68" s="204">
        <f t="shared" si="99"/>
        <v>0</v>
      </c>
      <c r="CT68" s="204">
        <f t="shared" si="99"/>
        <v>0</v>
      </c>
      <c r="CU68" s="204">
        <f t="shared" si="99"/>
        <v>0</v>
      </c>
      <c r="CV68" s="204">
        <f t="shared" si="99"/>
        <v>0</v>
      </c>
      <c r="CW68" s="204">
        <f t="shared" si="99"/>
        <v>0</v>
      </c>
      <c r="CX68" s="204">
        <f t="shared" si="99"/>
        <v>6203.5</v>
      </c>
      <c r="CY68" s="204">
        <f t="shared" si="99"/>
        <v>12407</v>
      </c>
      <c r="CZ68" s="204">
        <f t="shared" si="99"/>
        <v>18610.5</v>
      </c>
      <c r="DA68" s="204">
        <f t="shared" si="99"/>
        <v>24814</v>
      </c>
    </row>
    <row r="69" spans="1:105" s="204" customFormat="1">
      <c r="A69" s="204" t="str">
        <f>Income!A83</f>
        <v>Food transfer - official</v>
      </c>
      <c r="F69" s="204">
        <f t="shared" ref="F69:BQ70" si="100">IF(F$22&lt;=$E$24,IF(F$22&lt;=$D$24,IF(F$22&lt;=$C$24,IF(F$22&lt;=$B$24,IF(F13=0,0,IF($B35+($B$24-F$22)*F52&lt;0,0,$B35+($B$24-F$22)*F52)),$B35+(F$22-$B$24)*F52),$C35+(F$22-$C$24)*F52),$D35+(F$22-$D$24)*F52),IF($E35+(F$22-$E$24)*F52&lt;0,0,$E35+(F$22-$E$24)*F52))</f>
        <v>1008.3916845262437</v>
      </c>
      <c r="G69" s="204">
        <f t="shared" si="100"/>
        <v>1008.3916845262437</v>
      </c>
      <c r="H69" s="204">
        <f t="shared" si="100"/>
        <v>1008.3916845262437</v>
      </c>
      <c r="I69" s="204">
        <f t="shared" si="100"/>
        <v>1008.3916845262437</v>
      </c>
      <c r="J69" s="204">
        <f t="shared" si="100"/>
        <v>1008.3916845262437</v>
      </c>
      <c r="K69" s="204">
        <f t="shared" si="100"/>
        <v>1008.3916845262437</v>
      </c>
      <c r="L69" s="204">
        <f t="shared" si="88"/>
        <v>1008.3916845262437</v>
      </c>
      <c r="M69" s="204">
        <f t="shared" si="100"/>
        <v>1008.3916845262437</v>
      </c>
      <c r="N69" s="204">
        <f t="shared" si="100"/>
        <v>1008.3916845262437</v>
      </c>
      <c r="O69" s="204">
        <f t="shared" si="100"/>
        <v>1008.3916845262437</v>
      </c>
      <c r="P69" s="204">
        <f t="shared" si="100"/>
        <v>1008.3916845262437</v>
      </c>
      <c r="Q69" s="204">
        <f t="shared" si="100"/>
        <v>1008.3916845262437</v>
      </c>
      <c r="R69" s="204">
        <f t="shared" si="100"/>
        <v>1008.3916845262437</v>
      </c>
      <c r="S69" s="204">
        <f t="shared" si="100"/>
        <v>1008.3916845262437</v>
      </c>
      <c r="T69" s="204">
        <f t="shared" si="100"/>
        <v>1008.3916845262437</v>
      </c>
      <c r="U69" s="204">
        <f t="shared" si="100"/>
        <v>1008.3916845262437</v>
      </c>
      <c r="V69" s="204">
        <f t="shared" si="100"/>
        <v>1008.3916845262437</v>
      </c>
      <c r="W69" s="204">
        <f t="shared" si="100"/>
        <v>1008.3916845262437</v>
      </c>
      <c r="X69" s="204">
        <f t="shared" si="100"/>
        <v>1008.3916845262437</v>
      </c>
      <c r="Y69" s="204">
        <f t="shared" si="100"/>
        <v>1008.3916845262437</v>
      </c>
      <c r="Z69" s="204">
        <f t="shared" si="100"/>
        <v>1008.3916845262437</v>
      </c>
      <c r="AA69" s="204">
        <f t="shared" si="100"/>
        <v>1008.3916845262437</v>
      </c>
      <c r="AB69" s="204">
        <f t="shared" si="100"/>
        <v>1008.3916845262437</v>
      </c>
      <c r="AC69" s="204">
        <f t="shared" si="100"/>
        <v>1008.3916845262437</v>
      </c>
      <c r="AD69" s="204">
        <f t="shared" si="100"/>
        <v>1006.0574445157663</v>
      </c>
      <c r="AE69" s="204">
        <f t="shared" si="100"/>
        <v>1001.3889644948115</v>
      </c>
      <c r="AF69" s="204">
        <f t="shared" si="100"/>
        <v>996.72048447385657</v>
      </c>
      <c r="AG69" s="204">
        <f t="shared" si="100"/>
        <v>992.05200445290177</v>
      </c>
      <c r="AH69" s="204">
        <f t="shared" si="100"/>
        <v>987.38352443194697</v>
      </c>
      <c r="AI69" s="204">
        <f t="shared" si="100"/>
        <v>982.71504441099205</v>
      </c>
      <c r="AJ69" s="204">
        <f t="shared" si="100"/>
        <v>978.04656439003725</v>
      </c>
      <c r="AK69" s="204">
        <f t="shared" si="100"/>
        <v>973.37808436908244</v>
      </c>
      <c r="AL69" s="204">
        <f t="shared" si="100"/>
        <v>968.70960434812764</v>
      </c>
      <c r="AM69" s="204">
        <f t="shared" si="100"/>
        <v>964.04112432717272</v>
      </c>
      <c r="AN69" s="204">
        <f t="shared" si="100"/>
        <v>959.37264430621792</v>
      </c>
      <c r="AO69" s="204">
        <f t="shared" si="100"/>
        <v>954.70416428526312</v>
      </c>
      <c r="AP69" s="204">
        <f t="shared" si="100"/>
        <v>950.0356842643082</v>
      </c>
      <c r="AQ69" s="204">
        <f t="shared" si="100"/>
        <v>945.3672042433534</v>
      </c>
      <c r="AR69" s="204">
        <f t="shared" si="100"/>
        <v>940.6987242223986</v>
      </c>
      <c r="AS69" s="204">
        <f t="shared" si="100"/>
        <v>936.03024420144379</v>
      </c>
      <c r="AT69" s="204">
        <f t="shared" si="100"/>
        <v>931.36176418048888</v>
      </c>
      <c r="AU69" s="204">
        <f t="shared" si="100"/>
        <v>926.69328415953407</v>
      </c>
      <c r="AV69" s="204">
        <f t="shared" si="100"/>
        <v>922.02480413857927</v>
      </c>
      <c r="AW69" s="204">
        <f t="shared" si="100"/>
        <v>917.35632411762435</v>
      </c>
      <c r="AX69" s="204">
        <f t="shared" si="100"/>
        <v>912.68784409666955</v>
      </c>
      <c r="AY69" s="204">
        <f t="shared" si="100"/>
        <v>908.01936407571475</v>
      </c>
      <c r="AZ69" s="204">
        <f t="shared" si="100"/>
        <v>903.35088405475994</v>
      </c>
      <c r="BA69" s="204">
        <f t="shared" si="100"/>
        <v>898.68240403380503</v>
      </c>
      <c r="BB69" s="204">
        <f t="shared" si="100"/>
        <v>894.01392401285023</v>
      </c>
      <c r="BC69" s="204">
        <f t="shared" si="100"/>
        <v>889.34544399189542</v>
      </c>
      <c r="BD69" s="204">
        <f t="shared" si="100"/>
        <v>884.67696397094051</v>
      </c>
      <c r="BE69" s="204">
        <f t="shared" si="100"/>
        <v>880.0084839499857</v>
      </c>
      <c r="BF69" s="204">
        <f t="shared" si="100"/>
        <v>875.3400039290309</v>
      </c>
      <c r="BG69" s="204">
        <f t="shared" si="100"/>
        <v>870.6715239080761</v>
      </c>
      <c r="BH69" s="204">
        <f t="shared" si="100"/>
        <v>866.00304388712129</v>
      </c>
      <c r="BI69" s="204">
        <f t="shared" si="100"/>
        <v>861.33456386616638</v>
      </c>
      <c r="BJ69" s="204">
        <f t="shared" si="100"/>
        <v>856.66608384521157</v>
      </c>
      <c r="BK69" s="204">
        <f t="shared" si="100"/>
        <v>851.99760382425666</v>
      </c>
      <c r="BL69" s="204">
        <f t="shared" si="100"/>
        <v>847.32912380330185</v>
      </c>
      <c r="BM69" s="204">
        <f t="shared" si="100"/>
        <v>842.66064378234705</v>
      </c>
      <c r="BN69" s="204">
        <f t="shared" si="100"/>
        <v>820.78392926554716</v>
      </c>
      <c r="BO69" s="204">
        <f t="shared" si="100"/>
        <v>781.69898025290195</v>
      </c>
      <c r="BP69" s="204">
        <f t="shared" si="100"/>
        <v>742.61403124025696</v>
      </c>
      <c r="BQ69" s="204">
        <f t="shared" si="100"/>
        <v>703.52908222761175</v>
      </c>
      <c r="BR69" s="204">
        <f t="shared" ref="BR69:DA69" si="101">IF(BR$22&lt;=$E$24,IF(BR$22&lt;=$D$24,IF(BR$22&lt;=$C$24,IF(BR$22&lt;=$B$24,IF(BR13=0,0,IF($B35+($B$24-BR$22)*BR52&lt;0,0,$B35+($B$24-BR$22)*BR52)),$B35+(BR$22-$B$24)*BR52),$C35+(BR$22-$C$24)*BR52),$D35+(BR$22-$D$24)*BR52),IF($E35+(BR$22-$E$24)*BR52&lt;0,0,$E35+(BR$22-$E$24)*BR52))</f>
        <v>664.44413321496677</v>
      </c>
      <c r="BS69" s="204">
        <f t="shared" si="101"/>
        <v>625.35918420232156</v>
      </c>
      <c r="BT69" s="204">
        <f t="shared" si="101"/>
        <v>586.27423518967657</v>
      </c>
      <c r="BU69" s="204">
        <f t="shared" si="101"/>
        <v>547.18928617703136</v>
      </c>
      <c r="BV69" s="204">
        <f t="shared" si="101"/>
        <v>508.10433716438632</v>
      </c>
      <c r="BW69" s="204">
        <f t="shared" si="101"/>
        <v>469.01938815174123</v>
      </c>
      <c r="BX69" s="204">
        <f t="shared" si="101"/>
        <v>429.93443913909613</v>
      </c>
      <c r="BY69" s="204">
        <f t="shared" si="101"/>
        <v>390.84949012645103</v>
      </c>
      <c r="BZ69" s="204">
        <f t="shared" si="101"/>
        <v>351.76454111380593</v>
      </c>
      <c r="CA69" s="204">
        <f t="shared" si="101"/>
        <v>312.67959210116089</v>
      </c>
      <c r="CB69" s="204">
        <f t="shared" si="101"/>
        <v>273.59464308851568</v>
      </c>
      <c r="CC69" s="204">
        <f t="shared" si="101"/>
        <v>234.5096940758707</v>
      </c>
      <c r="CD69" s="204">
        <f t="shared" si="101"/>
        <v>195.42474506322549</v>
      </c>
      <c r="CE69" s="204">
        <f t="shared" si="101"/>
        <v>156.3397960505805</v>
      </c>
      <c r="CF69" s="204">
        <f t="shared" si="101"/>
        <v>117.25484703793529</v>
      </c>
      <c r="CG69" s="204">
        <f t="shared" si="101"/>
        <v>78.169898025290308</v>
      </c>
      <c r="CH69" s="204">
        <f t="shared" si="101"/>
        <v>39.084949012645097</v>
      </c>
      <c r="CI69" s="204">
        <f t="shared" si="101"/>
        <v>1.1368683772161603E-13</v>
      </c>
      <c r="CJ69" s="204">
        <f t="shared" si="101"/>
        <v>0</v>
      </c>
      <c r="CK69" s="204">
        <f t="shared" si="101"/>
        <v>0</v>
      </c>
      <c r="CL69" s="204">
        <f t="shared" si="101"/>
        <v>0</v>
      </c>
      <c r="CM69" s="204">
        <f t="shared" si="101"/>
        <v>0</v>
      </c>
      <c r="CN69" s="204">
        <f t="shared" si="101"/>
        <v>0</v>
      </c>
      <c r="CO69" s="204">
        <f t="shared" si="101"/>
        <v>0</v>
      </c>
      <c r="CP69" s="204">
        <f t="shared" si="101"/>
        <v>0</v>
      </c>
      <c r="CQ69" s="204">
        <f t="shared" si="101"/>
        <v>0</v>
      </c>
      <c r="CR69" s="204">
        <f t="shared" si="101"/>
        <v>0</v>
      </c>
      <c r="CS69" s="204">
        <f t="shared" si="101"/>
        <v>0</v>
      </c>
      <c r="CT69" s="204">
        <f t="shared" si="101"/>
        <v>0</v>
      </c>
      <c r="CU69" s="204">
        <f t="shared" si="101"/>
        <v>0</v>
      </c>
      <c r="CV69" s="204">
        <f t="shared" si="101"/>
        <v>0</v>
      </c>
      <c r="CW69" s="204">
        <f t="shared" si="101"/>
        <v>0</v>
      </c>
      <c r="CX69" s="204">
        <f t="shared" si="101"/>
        <v>14.730000000000004</v>
      </c>
      <c r="CY69" s="204">
        <f t="shared" si="101"/>
        <v>29.460000000000008</v>
      </c>
      <c r="CZ69" s="204">
        <f t="shared" si="101"/>
        <v>44.190000000000012</v>
      </c>
      <c r="DA69" s="204">
        <f t="shared" si="101"/>
        <v>58.920000000000016</v>
      </c>
    </row>
    <row r="70" spans="1:105" s="204" customFormat="1">
      <c r="A70" s="204" t="str">
        <f>Income!A85</f>
        <v>Cash transfer - official</v>
      </c>
      <c r="F70" s="204">
        <f t="shared" si="100"/>
        <v>29433.674397403858</v>
      </c>
      <c r="G70" s="204">
        <f t="shared" si="100"/>
        <v>29433.674397403858</v>
      </c>
      <c r="H70" s="204">
        <f t="shared" si="100"/>
        <v>29433.674397403858</v>
      </c>
      <c r="I70" s="204">
        <f t="shared" si="100"/>
        <v>29433.674397403858</v>
      </c>
      <c r="J70" s="204">
        <f t="shared" si="100"/>
        <v>29433.674397403858</v>
      </c>
      <c r="K70" s="204">
        <f t="shared" si="100"/>
        <v>29433.674397403858</v>
      </c>
      <c r="L70" s="204">
        <f t="shared" si="100"/>
        <v>29433.674397403858</v>
      </c>
      <c r="M70" s="204">
        <f t="shared" si="100"/>
        <v>29433.674397403858</v>
      </c>
      <c r="N70" s="204">
        <f t="shared" si="100"/>
        <v>29433.674397403858</v>
      </c>
      <c r="O70" s="204">
        <f t="shared" si="100"/>
        <v>29433.674397403858</v>
      </c>
      <c r="P70" s="204">
        <f t="shared" si="100"/>
        <v>29433.674397403858</v>
      </c>
      <c r="Q70" s="204">
        <f t="shared" si="100"/>
        <v>29433.674397403858</v>
      </c>
      <c r="R70" s="204">
        <f t="shared" si="100"/>
        <v>29433.674397403858</v>
      </c>
      <c r="S70" s="204">
        <f t="shared" si="100"/>
        <v>29433.674397403858</v>
      </c>
      <c r="T70" s="204">
        <f t="shared" si="100"/>
        <v>29433.674397403858</v>
      </c>
      <c r="U70" s="204">
        <f t="shared" si="100"/>
        <v>29433.674397403858</v>
      </c>
      <c r="V70" s="204">
        <f t="shared" si="100"/>
        <v>29433.674397403858</v>
      </c>
      <c r="W70" s="204">
        <f t="shared" si="100"/>
        <v>29433.674397403858</v>
      </c>
      <c r="X70" s="204">
        <f t="shared" si="100"/>
        <v>29433.674397403858</v>
      </c>
      <c r="Y70" s="204">
        <f t="shared" si="100"/>
        <v>29433.674397403858</v>
      </c>
      <c r="Z70" s="204">
        <f t="shared" si="100"/>
        <v>29433.674397403858</v>
      </c>
      <c r="AA70" s="204">
        <f t="shared" si="100"/>
        <v>29433.674397403858</v>
      </c>
      <c r="AB70" s="204">
        <f t="shared" si="100"/>
        <v>29433.674397403858</v>
      </c>
      <c r="AC70" s="204">
        <f t="shared" si="100"/>
        <v>29433.674397403858</v>
      </c>
      <c r="AD70" s="204">
        <f t="shared" si="100"/>
        <v>29433.674397403858</v>
      </c>
      <c r="AE70" s="204">
        <f t="shared" si="100"/>
        <v>29433.674397403858</v>
      </c>
      <c r="AF70" s="204">
        <f t="shared" si="100"/>
        <v>29433.674397403858</v>
      </c>
      <c r="AG70" s="204">
        <f t="shared" si="100"/>
        <v>29433.674397403858</v>
      </c>
      <c r="AH70" s="204">
        <f t="shared" si="100"/>
        <v>29433.674397403858</v>
      </c>
      <c r="AI70" s="204">
        <f t="shared" si="100"/>
        <v>29433.674397403858</v>
      </c>
      <c r="AJ70" s="204">
        <f t="shared" si="100"/>
        <v>29433.674397403858</v>
      </c>
      <c r="AK70" s="204">
        <f t="shared" si="100"/>
        <v>29433.674397403858</v>
      </c>
      <c r="AL70" s="204">
        <f t="shared" si="100"/>
        <v>29433.674397403858</v>
      </c>
      <c r="AM70" s="204">
        <f t="shared" si="100"/>
        <v>29433.674397403858</v>
      </c>
      <c r="AN70" s="204">
        <f t="shared" si="100"/>
        <v>29433.674397403858</v>
      </c>
      <c r="AO70" s="204">
        <f t="shared" si="100"/>
        <v>29433.674397403858</v>
      </c>
      <c r="AP70" s="204">
        <f t="shared" si="100"/>
        <v>29433.674397403858</v>
      </c>
      <c r="AQ70" s="204">
        <f t="shared" si="100"/>
        <v>29433.674397403858</v>
      </c>
      <c r="AR70" s="204">
        <f t="shared" si="100"/>
        <v>29433.674397403858</v>
      </c>
      <c r="AS70" s="204">
        <f t="shared" si="100"/>
        <v>29433.674397403858</v>
      </c>
      <c r="AT70" s="204">
        <f t="shared" si="100"/>
        <v>29433.674397403858</v>
      </c>
      <c r="AU70" s="204">
        <f t="shared" si="100"/>
        <v>29433.674397403858</v>
      </c>
      <c r="AV70" s="204">
        <f t="shared" si="100"/>
        <v>29433.674397403858</v>
      </c>
      <c r="AW70" s="204">
        <f t="shared" si="100"/>
        <v>29433.674397403858</v>
      </c>
      <c r="AX70" s="204">
        <f t="shared" si="100"/>
        <v>29433.674397403858</v>
      </c>
      <c r="AY70" s="204">
        <f t="shared" si="100"/>
        <v>29433.674397403858</v>
      </c>
      <c r="AZ70" s="204">
        <f t="shared" si="100"/>
        <v>29433.674397403858</v>
      </c>
      <c r="BA70" s="204">
        <f t="shared" si="100"/>
        <v>29433.674397403858</v>
      </c>
      <c r="BB70" s="204">
        <f t="shared" si="100"/>
        <v>29433.674397403858</v>
      </c>
      <c r="BC70" s="204">
        <f t="shared" si="100"/>
        <v>29433.674397403858</v>
      </c>
      <c r="BD70" s="204">
        <f t="shared" si="100"/>
        <v>29433.674397403858</v>
      </c>
      <c r="BE70" s="204">
        <f t="shared" si="100"/>
        <v>29433.674397403858</v>
      </c>
      <c r="BF70" s="204">
        <f t="shared" si="100"/>
        <v>29433.674397403858</v>
      </c>
      <c r="BG70" s="204">
        <f t="shared" si="100"/>
        <v>29433.674397403858</v>
      </c>
      <c r="BH70" s="204">
        <f t="shared" si="100"/>
        <v>29433.674397403858</v>
      </c>
      <c r="BI70" s="204">
        <f t="shared" si="100"/>
        <v>29433.674397403858</v>
      </c>
      <c r="BJ70" s="204">
        <f t="shared" si="100"/>
        <v>29433.674397403858</v>
      </c>
      <c r="BK70" s="204">
        <f t="shared" si="100"/>
        <v>29433.674397403858</v>
      </c>
      <c r="BL70" s="204">
        <f t="shared" si="100"/>
        <v>29433.674397403858</v>
      </c>
      <c r="BM70" s="204">
        <f t="shared" si="100"/>
        <v>29433.674397403858</v>
      </c>
      <c r="BN70" s="204">
        <f t="shared" si="100"/>
        <v>29007.128843373437</v>
      </c>
      <c r="BO70" s="204">
        <f t="shared" si="100"/>
        <v>28154.037735312599</v>
      </c>
      <c r="BP70" s="204">
        <f t="shared" si="100"/>
        <v>27300.94662725176</v>
      </c>
      <c r="BQ70" s="204">
        <f t="shared" si="100"/>
        <v>26447.855519190922</v>
      </c>
      <c r="BR70" s="204">
        <f t="shared" ref="BR70:DA70" si="102">IF(BR$22&lt;=$E$24,IF(BR$22&lt;=$D$24,IF(BR$22&lt;=$C$24,IF(BR$22&lt;=$B$24,IF(BR14=0,0,IF($B36+($B$24-BR$22)*BR53&lt;0,0,$B36+($B$24-BR$22)*BR53)),$B36+(BR$22-$B$24)*BR53),$C36+(BR$22-$C$24)*BR53),$D36+(BR$22-$D$24)*BR53),IF($E36+(BR$22-$E$24)*BR53&lt;0,0,$E36+(BR$22-$E$24)*BR53))</f>
        <v>25594.764411130083</v>
      </c>
      <c r="BS70" s="204">
        <f t="shared" si="102"/>
        <v>24741.673303069241</v>
      </c>
      <c r="BT70" s="204">
        <f t="shared" si="102"/>
        <v>23888.582195008403</v>
      </c>
      <c r="BU70" s="204">
        <f t="shared" si="102"/>
        <v>23035.491086947564</v>
      </c>
      <c r="BV70" s="204">
        <f t="shared" si="102"/>
        <v>22182.399978886726</v>
      </c>
      <c r="BW70" s="204">
        <f t="shared" si="102"/>
        <v>21329.308870825887</v>
      </c>
      <c r="BX70" s="204">
        <f t="shared" si="102"/>
        <v>20476.217762765045</v>
      </c>
      <c r="BY70" s="204">
        <f t="shared" si="102"/>
        <v>19623.126654704207</v>
      </c>
      <c r="BZ70" s="204">
        <f t="shared" si="102"/>
        <v>18770.035546643368</v>
      </c>
      <c r="CA70" s="204">
        <f t="shared" si="102"/>
        <v>17916.944438582526</v>
      </c>
      <c r="CB70" s="204">
        <f t="shared" si="102"/>
        <v>17063.853330521692</v>
      </c>
      <c r="CC70" s="204">
        <f t="shared" si="102"/>
        <v>16210.762222460849</v>
      </c>
      <c r="CD70" s="204">
        <f t="shared" si="102"/>
        <v>15357.671114400011</v>
      </c>
      <c r="CE70" s="204">
        <f t="shared" si="102"/>
        <v>14504.580006339171</v>
      </c>
      <c r="CF70" s="204">
        <f t="shared" si="102"/>
        <v>13651.488898278332</v>
      </c>
      <c r="CG70" s="204">
        <f t="shared" si="102"/>
        <v>12798.397790217492</v>
      </c>
      <c r="CH70" s="204">
        <f t="shared" si="102"/>
        <v>11945.306682156654</v>
      </c>
      <c r="CI70" s="204">
        <f t="shared" si="102"/>
        <v>11092.215574095815</v>
      </c>
      <c r="CJ70" s="204">
        <f t="shared" si="102"/>
        <v>11205.401447300876</v>
      </c>
      <c r="CK70" s="204">
        <f t="shared" si="102"/>
        <v>11318.587320505936</v>
      </c>
      <c r="CL70" s="204">
        <f t="shared" si="102"/>
        <v>11431.773193710995</v>
      </c>
      <c r="CM70" s="204">
        <f t="shared" si="102"/>
        <v>11544.959066916053</v>
      </c>
      <c r="CN70" s="204">
        <f t="shared" si="102"/>
        <v>11658.144940121114</v>
      </c>
      <c r="CO70" s="204">
        <f t="shared" si="102"/>
        <v>11771.330813326173</v>
      </c>
      <c r="CP70" s="204">
        <f t="shared" si="102"/>
        <v>11884.516686531231</v>
      </c>
      <c r="CQ70" s="204">
        <f t="shared" si="102"/>
        <v>11997.702559736292</v>
      </c>
      <c r="CR70" s="204">
        <f t="shared" si="102"/>
        <v>12110.88843294135</v>
      </c>
      <c r="CS70" s="204">
        <f t="shared" si="102"/>
        <v>12224.074306146411</v>
      </c>
      <c r="CT70" s="204">
        <f t="shared" si="102"/>
        <v>12337.26017935147</v>
      </c>
      <c r="CU70" s="204">
        <f t="shared" si="102"/>
        <v>12450.446052556528</v>
      </c>
      <c r="CV70" s="204">
        <f t="shared" si="102"/>
        <v>12563.631925761589</v>
      </c>
      <c r="CW70" s="204">
        <f t="shared" si="102"/>
        <v>12676.817798966647</v>
      </c>
      <c r="CX70" s="204">
        <f t="shared" si="102"/>
        <v>11548.987798966647</v>
      </c>
      <c r="CY70" s="204">
        <f t="shared" si="102"/>
        <v>10421.157798966648</v>
      </c>
      <c r="CZ70" s="204">
        <f t="shared" si="102"/>
        <v>9293.3277989666476</v>
      </c>
      <c r="DA70" s="204">
        <f t="shared" si="102"/>
        <v>8165.4977989666477</v>
      </c>
    </row>
    <row r="71" spans="1:105" s="204" customFormat="1">
      <c r="A71" s="204" t="str">
        <f>Income!A86</f>
        <v>Cash transfer - gifts</v>
      </c>
      <c r="F71" s="204">
        <f t="shared" ref="F71:BQ71" si="103">IF(F$22&lt;=$E$24,IF(F$22&lt;=$D$24,IF(F$22&lt;=$C$24,IF(F$22&lt;=$B$24,IF(F15=0,0,IF($B37+($B$24-F$22)*F54&lt;0,0,$B37+($B$24-F$22)*F54)),$B37+(F$22-$B$24)*F54),$C37+(F$22-$C$24)*F54),$D37+(F$22-$D$24)*F54),IF($E37+(F$22-$E$24)*F54&lt;0,0,$E37+(F$22-$E$24)*F54))</f>
        <v>0</v>
      </c>
      <c r="G71" s="204">
        <f t="shared" si="103"/>
        <v>0</v>
      </c>
      <c r="H71" s="204">
        <f t="shared" si="103"/>
        <v>0</v>
      </c>
      <c r="I71" s="204">
        <f t="shared" si="103"/>
        <v>0</v>
      </c>
      <c r="J71" s="204">
        <f t="shared" si="103"/>
        <v>0</v>
      </c>
      <c r="K71" s="204">
        <f t="shared" si="103"/>
        <v>0</v>
      </c>
      <c r="L71" s="204">
        <f>IF(L$22&lt;=$E$24,IF(L$22&lt;=$D$24,IF(L$22&lt;=$C$24,IF(L$22&lt;=$B$24,IF(L15=0,0,IF($B37+($B$24-L$22)*L54&lt;0,0,$B37+($B$24-L$22)*L54)),$B37+(L$22-$B$24)*L54),$C37+(L$22-$C$24)*L54),$D37+(L$22-$D$24)*L54),IF($E37+(L$22-$E$24)*L54&lt;0,0,$E37+(L$22-$E$24)*L54))</f>
        <v>0</v>
      </c>
      <c r="M71" s="204">
        <f t="shared" si="103"/>
        <v>0</v>
      </c>
      <c r="N71" s="204">
        <f t="shared" si="103"/>
        <v>0</v>
      </c>
      <c r="O71" s="204">
        <f t="shared" si="103"/>
        <v>0</v>
      </c>
      <c r="P71" s="204">
        <f t="shared" si="103"/>
        <v>0</v>
      </c>
      <c r="Q71" s="204">
        <f t="shared" si="103"/>
        <v>0</v>
      </c>
      <c r="R71" s="204">
        <f t="shared" si="103"/>
        <v>0</v>
      </c>
      <c r="S71" s="204">
        <f t="shared" si="103"/>
        <v>0</v>
      </c>
      <c r="T71" s="204">
        <f t="shared" si="103"/>
        <v>0</v>
      </c>
      <c r="U71" s="204">
        <f t="shared" si="103"/>
        <v>0</v>
      </c>
      <c r="V71" s="204">
        <f t="shared" si="103"/>
        <v>0</v>
      </c>
      <c r="W71" s="204">
        <f t="shared" si="103"/>
        <v>0</v>
      </c>
      <c r="X71" s="204">
        <f t="shared" si="103"/>
        <v>0</v>
      </c>
      <c r="Y71" s="204">
        <f t="shared" si="103"/>
        <v>0</v>
      </c>
      <c r="Z71" s="204">
        <f t="shared" si="103"/>
        <v>0</v>
      </c>
      <c r="AA71" s="204">
        <f t="shared" si="103"/>
        <v>0</v>
      </c>
      <c r="AB71" s="204">
        <f t="shared" si="103"/>
        <v>0</v>
      </c>
      <c r="AC71" s="204">
        <f t="shared" si="103"/>
        <v>0</v>
      </c>
      <c r="AD71" s="204">
        <f t="shared" si="103"/>
        <v>97.044755678878531</v>
      </c>
      <c r="AE71" s="204">
        <f t="shared" si="103"/>
        <v>291.13426703663561</v>
      </c>
      <c r="AF71" s="204">
        <f t="shared" si="103"/>
        <v>485.22377839439264</v>
      </c>
      <c r="AG71" s="204">
        <f t="shared" si="103"/>
        <v>679.31328975214967</v>
      </c>
      <c r="AH71" s="204">
        <f t="shared" si="103"/>
        <v>873.40280110990682</v>
      </c>
      <c r="AI71" s="204">
        <f t="shared" si="103"/>
        <v>1067.4923124676639</v>
      </c>
      <c r="AJ71" s="204">
        <f t="shared" si="103"/>
        <v>1261.581823825421</v>
      </c>
      <c r="AK71" s="204">
        <f t="shared" si="103"/>
        <v>1455.6713351831779</v>
      </c>
      <c r="AL71" s="204">
        <f t="shared" si="103"/>
        <v>1649.7608465409351</v>
      </c>
      <c r="AM71" s="204">
        <f t="shared" si="103"/>
        <v>1843.850357898692</v>
      </c>
      <c r="AN71" s="204">
        <f t="shared" si="103"/>
        <v>2037.9398692564491</v>
      </c>
      <c r="AO71" s="204">
        <f t="shared" si="103"/>
        <v>2232.0293806142063</v>
      </c>
      <c r="AP71" s="204">
        <f t="shared" si="103"/>
        <v>2426.1188919719634</v>
      </c>
      <c r="AQ71" s="204">
        <f t="shared" si="103"/>
        <v>2620.2084033297201</v>
      </c>
      <c r="AR71" s="204">
        <f t="shared" si="103"/>
        <v>2814.2979146874773</v>
      </c>
      <c r="AS71" s="204">
        <f t="shared" si="103"/>
        <v>3008.3874260452344</v>
      </c>
      <c r="AT71" s="204">
        <f t="shared" si="103"/>
        <v>3202.4769374029916</v>
      </c>
      <c r="AU71" s="204">
        <f t="shared" si="103"/>
        <v>3396.5664487607487</v>
      </c>
      <c r="AV71" s="204">
        <f t="shared" si="103"/>
        <v>3590.6559601185058</v>
      </c>
      <c r="AW71" s="204">
        <f t="shared" si="103"/>
        <v>3784.7454714762625</v>
      </c>
      <c r="AX71" s="204">
        <f t="shared" si="103"/>
        <v>3978.8349828340197</v>
      </c>
      <c r="AY71" s="204">
        <f t="shared" si="103"/>
        <v>4172.9244941917768</v>
      </c>
      <c r="AZ71" s="204">
        <f t="shared" si="103"/>
        <v>4367.014005549534</v>
      </c>
      <c r="BA71" s="204">
        <f t="shared" si="103"/>
        <v>4561.1035169072911</v>
      </c>
      <c r="BB71" s="204">
        <f t="shared" si="103"/>
        <v>4755.1930282650483</v>
      </c>
      <c r="BC71" s="204">
        <f t="shared" si="103"/>
        <v>4949.2825396228054</v>
      </c>
      <c r="BD71" s="204">
        <f t="shared" si="103"/>
        <v>5143.3720509805626</v>
      </c>
      <c r="BE71" s="204">
        <f t="shared" si="103"/>
        <v>5337.4615623383188</v>
      </c>
      <c r="BF71" s="204">
        <f t="shared" si="103"/>
        <v>5531.5510736960759</v>
      </c>
      <c r="BG71" s="204">
        <f t="shared" si="103"/>
        <v>5725.6405850538331</v>
      </c>
      <c r="BH71" s="204">
        <f t="shared" si="103"/>
        <v>5919.7300964115902</v>
      </c>
      <c r="BI71" s="204">
        <f t="shared" si="103"/>
        <v>6113.8196077693474</v>
      </c>
      <c r="BJ71" s="204">
        <f t="shared" si="103"/>
        <v>6307.9091191271045</v>
      </c>
      <c r="BK71" s="204">
        <f t="shared" si="103"/>
        <v>6501.9986304848617</v>
      </c>
      <c r="BL71" s="204">
        <f t="shared" si="103"/>
        <v>6696.0881418426188</v>
      </c>
      <c r="BM71" s="204">
        <f t="shared" si="103"/>
        <v>6890.177653200376</v>
      </c>
      <c r="BN71" s="204">
        <f t="shared" si="103"/>
        <v>6824.728864486714</v>
      </c>
      <c r="BO71" s="204">
        <f t="shared" si="103"/>
        <v>6499.7417757016319</v>
      </c>
      <c r="BP71" s="204">
        <f t="shared" si="103"/>
        <v>6174.7546869165508</v>
      </c>
      <c r="BQ71" s="204">
        <f t="shared" si="103"/>
        <v>5849.7675981314687</v>
      </c>
      <c r="BR71" s="204">
        <f>IF(BR$22&lt;=$E$24,IF(BR$22&lt;=$D$24,IF(BR$22&lt;=$C$24,IF(BR$22&lt;=$B$24,IF(BR15=0,0,IF($B37+($B$24-BR$22)*BR54&lt;0,0,$B37+($B$24-BR$22)*BR54)),$B37+(BR$22-$B$24)*BR54),$C37+(BR$22-$C$24)*BR54),$D37+(BR$22-$D$24)*BR54),IF($E37+(BR$22-$E$24)*BR54&lt;0,0,$E37+(BR$22-$E$24)*BR54))</f>
        <v>5524.7805093463876</v>
      </c>
      <c r="BS71" s="204">
        <f>IF(BS$22&lt;=$E$24,IF(BS$22&lt;=$D$24,IF(BS$22&lt;=$C$24,IF(BS$22&lt;=$B$24,IF(BS15=0,0,IF($B37+($B$24-BS$22)*BS54&lt;0,0,$B37+($B$24-BS$22)*BS54)),$B37+(BS$22-$B$24)*BS54),$C37+(BS$22-$C$24)*BS54),$D37+(BS$22-$D$24)*BS54),IF($E37+(BS$22-$E$24)*BS54&lt;0,0,$E37+(BS$22-$E$24)*BS54))</f>
        <v>5199.7934205613055</v>
      </c>
      <c r="BT71" s="204">
        <f>IF(BT$22&lt;=$E$24,IF(BT$22&lt;=$D$24,IF(BT$22&lt;=$C$24,IF(BT$22&lt;=$B$24,IF(BT15=0,0,IF($B37+($B$24-BT$22)*BT54&lt;0,0,$B37+($B$24-BT$22)*BT54)),$B37+(BT$22-$B$24)*BT54),$C37+(BT$22-$C$24)*BT54),$D37+(BT$22-$D$24)*BT54),IF($E37+(BT$22-$E$24)*BT54&lt;0,0,$E37+(BT$22-$E$24)*BT54))</f>
        <v>4874.8063317762244</v>
      </c>
      <c r="BU71" s="204">
        <f t="shared" ref="BU71:DA71" si="104">IF(BU$22&lt;=$E$24,IF(BU$22&lt;=$D$24,IF(BU$22&lt;=$C$24,IF(BU$22&lt;=$B$24,IF(BU15=0,0,IF($B37+($B$24-BU$22)*BU54&lt;0,0,$B37+($B$24-BU$22)*BU54)),$B37+(BU$22-$B$24)*BU54),$C37+(BU$22-$C$24)*BU54),$D37+(BU$22-$D$24)*BU54),IF($E37+(BU$22-$E$24)*BU54&lt;0,0,$E37+(BU$22-$E$24)*BU54))</f>
        <v>4549.8192429911423</v>
      </c>
      <c r="BV71" s="204">
        <f t="shared" si="104"/>
        <v>4224.8321542060612</v>
      </c>
      <c r="BW71" s="204">
        <f t="shared" si="104"/>
        <v>3899.8450654209792</v>
      </c>
      <c r="BX71" s="204">
        <f t="shared" si="104"/>
        <v>3574.857976635898</v>
      </c>
      <c r="BY71" s="204">
        <f t="shared" si="104"/>
        <v>3249.870887850816</v>
      </c>
      <c r="BZ71" s="204">
        <f t="shared" si="104"/>
        <v>2924.8837990657348</v>
      </c>
      <c r="CA71" s="204">
        <f t="shared" si="104"/>
        <v>2599.8967102806528</v>
      </c>
      <c r="CB71" s="204">
        <f t="shared" si="104"/>
        <v>2274.9096214955716</v>
      </c>
      <c r="CC71" s="204">
        <f t="shared" si="104"/>
        <v>1949.9225327104896</v>
      </c>
      <c r="CD71" s="204">
        <f t="shared" si="104"/>
        <v>1624.9354439254084</v>
      </c>
      <c r="CE71" s="204">
        <f t="shared" si="104"/>
        <v>1299.9483551403264</v>
      </c>
      <c r="CF71" s="204">
        <f t="shared" si="104"/>
        <v>974.96126635524524</v>
      </c>
      <c r="CG71" s="204">
        <f t="shared" si="104"/>
        <v>649.97417757016319</v>
      </c>
      <c r="CH71" s="204">
        <f t="shared" si="104"/>
        <v>324.98708878508205</v>
      </c>
      <c r="CI71" s="204">
        <f t="shared" si="104"/>
        <v>0</v>
      </c>
      <c r="CJ71" s="204">
        <f t="shared" si="104"/>
        <v>0</v>
      </c>
      <c r="CK71" s="204">
        <f t="shared" si="104"/>
        <v>0</v>
      </c>
      <c r="CL71" s="204">
        <f t="shared" si="104"/>
        <v>0</v>
      </c>
      <c r="CM71" s="204">
        <f t="shared" si="104"/>
        <v>0</v>
      </c>
      <c r="CN71" s="204">
        <f t="shared" si="104"/>
        <v>0</v>
      </c>
      <c r="CO71" s="204">
        <f t="shared" si="104"/>
        <v>0</v>
      </c>
      <c r="CP71" s="204">
        <f t="shared" si="104"/>
        <v>0</v>
      </c>
      <c r="CQ71" s="204">
        <f t="shared" si="104"/>
        <v>0</v>
      </c>
      <c r="CR71" s="204">
        <f t="shared" si="104"/>
        <v>0</v>
      </c>
      <c r="CS71" s="204">
        <f t="shared" si="104"/>
        <v>0</v>
      </c>
      <c r="CT71" s="204">
        <f t="shared" si="104"/>
        <v>0</v>
      </c>
      <c r="CU71" s="204">
        <f t="shared" si="104"/>
        <v>0</v>
      </c>
      <c r="CV71" s="204">
        <f t="shared" si="104"/>
        <v>0</v>
      </c>
      <c r="CW71" s="204">
        <f t="shared" si="104"/>
        <v>0</v>
      </c>
      <c r="CX71" s="204">
        <f t="shared" si="104"/>
        <v>296.33</v>
      </c>
      <c r="CY71" s="204">
        <f t="shared" si="104"/>
        <v>592.66</v>
      </c>
      <c r="CZ71" s="204">
        <f t="shared" si="104"/>
        <v>888.99</v>
      </c>
      <c r="DA71" s="204">
        <f t="shared" si="104"/>
        <v>1185.32</v>
      </c>
    </row>
    <row r="72" spans="1:105" s="204" customFormat="1">
      <c r="A72" s="204" t="str">
        <f>Income!A88</f>
        <v>TOTAL</v>
      </c>
      <c r="F72" s="204">
        <f>SUM(F59:F71)</f>
        <v>56579.53132909874</v>
      </c>
      <c r="G72" s="204">
        <f t="shared" ref="G72:BR72" si="105">SUM(G59:G71)</f>
        <v>56239.271329098738</v>
      </c>
      <c r="H72" s="204">
        <f t="shared" si="105"/>
        <v>55899.011329098736</v>
      </c>
      <c r="I72" s="204">
        <f t="shared" si="105"/>
        <v>55558.751329098741</v>
      </c>
      <c r="J72" s="204">
        <f t="shared" si="105"/>
        <v>55218.491329098739</v>
      </c>
      <c r="K72" s="204">
        <f t="shared" si="105"/>
        <v>54878.231329098737</v>
      </c>
      <c r="L72" s="204">
        <f t="shared" si="105"/>
        <v>54537.971329098742</v>
      </c>
      <c r="M72" s="204">
        <f t="shared" si="105"/>
        <v>54197.71132909874</v>
      </c>
      <c r="N72" s="204">
        <f t="shared" si="105"/>
        <v>53857.451329098738</v>
      </c>
      <c r="O72" s="204">
        <f t="shared" si="105"/>
        <v>53517.191329098743</v>
      </c>
      <c r="P72" s="204">
        <f t="shared" si="105"/>
        <v>53176.931329098741</v>
      </c>
      <c r="Q72" s="204">
        <f t="shared" si="105"/>
        <v>52836.671329098739</v>
      </c>
      <c r="R72" s="204">
        <f t="shared" si="105"/>
        <v>52496.411329098744</v>
      </c>
      <c r="S72" s="204">
        <f t="shared" si="105"/>
        <v>52156.151329098735</v>
      </c>
      <c r="T72" s="204">
        <f t="shared" si="105"/>
        <v>51815.89132909874</v>
      </c>
      <c r="U72" s="204">
        <f t="shared" si="105"/>
        <v>51475.631329098745</v>
      </c>
      <c r="V72" s="204">
        <f t="shared" si="105"/>
        <v>51135.371329098736</v>
      </c>
      <c r="W72" s="204">
        <f t="shared" si="105"/>
        <v>50795.111329098741</v>
      </c>
      <c r="X72" s="204">
        <f t="shared" si="105"/>
        <v>50454.851329098739</v>
      </c>
      <c r="Y72" s="204">
        <f t="shared" si="105"/>
        <v>50114.591329098737</v>
      </c>
      <c r="Z72" s="204">
        <f t="shared" si="105"/>
        <v>49774.331329098743</v>
      </c>
      <c r="AA72" s="204">
        <f t="shared" si="105"/>
        <v>49434.071329098741</v>
      </c>
      <c r="AB72" s="204">
        <f t="shared" si="105"/>
        <v>49093.811329098738</v>
      </c>
      <c r="AC72" s="204">
        <f t="shared" si="105"/>
        <v>48753.551329098744</v>
      </c>
      <c r="AD72" s="204">
        <f t="shared" si="105"/>
        <v>49374.317978831612</v>
      </c>
      <c r="AE72" s="204">
        <f t="shared" si="105"/>
        <v>50956.111278297351</v>
      </c>
      <c r="AF72" s="204">
        <f t="shared" si="105"/>
        <v>52537.904577763089</v>
      </c>
      <c r="AG72" s="204">
        <f t="shared" si="105"/>
        <v>54119.697877228835</v>
      </c>
      <c r="AH72" s="204">
        <f t="shared" si="105"/>
        <v>55701.491176694581</v>
      </c>
      <c r="AI72" s="204">
        <f t="shared" si="105"/>
        <v>57283.284476160326</v>
      </c>
      <c r="AJ72" s="204">
        <f t="shared" si="105"/>
        <v>58865.077775626058</v>
      </c>
      <c r="AK72" s="204">
        <f t="shared" si="105"/>
        <v>60446.871075091804</v>
      </c>
      <c r="AL72" s="204">
        <f t="shared" si="105"/>
        <v>62028.664374557549</v>
      </c>
      <c r="AM72" s="204">
        <f t="shared" si="105"/>
        <v>63610.457674023295</v>
      </c>
      <c r="AN72" s="204">
        <f t="shared" si="105"/>
        <v>65192.250973489026</v>
      </c>
      <c r="AO72" s="204">
        <f t="shared" si="105"/>
        <v>66774.044272954765</v>
      </c>
      <c r="AP72" s="204">
        <f t="shared" si="105"/>
        <v>68355.837572420511</v>
      </c>
      <c r="AQ72" s="204">
        <f t="shared" si="105"/>
        <v>69937.630871886242</v>
      </c>
      <c r="AR72" s="204">
        <f t="shared" si="105"/>
        <v>71519.424171351988</v>
      </c>
      <c r="AS72" s="204">
        <f t="shared" si="105"/>
        <v>73101.217470817719</v>
      </c>
      <c r="AT72" s="204">
        <f t="shared" si="105"/>
        <v>74683.010770283479</v>
      </c>
      <c r="AU72" s="204">
        <f t="shared" si="105"/>
        <v>76264.804069749211</v>
      </c>
      <c r="AV72" s="204">
        <f t="shared" si="105"/>
        <v>77846.597369214956</v>
      </c>
      <c r="AW72" s="204">
        <f t="shared" si="105"/>
        <v>79428.390668680702</v>
      </c>
      <c r="AX72" s="204">
        <f t="shared" si="105"/>
        <v>81010.183968146433</v>
      </c>
      <c r="AY72" s="204">
        <f t="shared" si="105"/>
        <v>82591.977267612179</v>
      </c>
      <c r="AZ72" s="204">
        <f t="shared" si="105"/>
        <v>84173.770567077911</v>
      </c>
      <c r="BA72" s="204">
        <f t="shared" si="105"/>
        <v>85755.563866543656</v>
      </c>
      <c r="BB72" s="204">
        <f t="shared" si="105"/>
        <v>87337.357166009402</v>
      </c>
      <c r="BC72" s="204">
        <f t="shared" si="105"/>
        <v>88919.150465475148</v>
      </c>
      <c r="BD72" s="204">
        <f t="shared" si="105"/>
        <v>90500.943764940894</v>
      </c>
      <c r="BE72" s="204">
        <f t="shared" si="105"/>
        <v>92082.737064406625</v>
      </c>
      <c r="BF72" s="204">
        <f t="shared" si="105"/>
        <v>93664.530363872371</v>
      </c>
      <c r="BG72" s="204">
        <f t="shared" si="105"/>
        <v>95246.323663338117</v>
      </c>
      <c r="BH72" s="204">
        <f t="shared" si="105"/>
        <v>96828.116962803848</v>
      </c>
      <c r="BI72" s="204">
        <f t="shared" si="105"/>
        <v>98409.910262269594</v>
      </c>
      <c r="BJ72" s="204">
        <f t="shared" si="105"/>
        <v>99991.703561735339</v>
      </c>
      <c r="BK72" s="204">
        <f t="shared" si="105"/>
        <v>101573.49686120107</v>
      </c>
      <c r="BL72" s="204">
        <f t="shared" si="105"/>
        <v>103155.29016066682</v>
      </c>
      <c r="BM72" s="204">
        <f t="shared" si="105"/>
        <v>104737.08346013256</v>
      </c>
      <c r="BN72" s="204">
        <f t="shared" si="105"/>
        <v>106634.44590339786</v>
      </c>
      <c r="BO72" s="204">
        <f t="shared" si="105"/>
        <v>108847.37749046278</v>
      </c>
      <c r="BP72" s="204">
        <f t="shared" si="105"/>
        <v>111060.30907752768</v>
      </c>
      <c r="BQ72" s="204">
        <f t="shared" si="105"/>
        <v>113273.24066459257</v>
      </c>
      <c r="BR72" s="204">
        <f t="shared" si="105"/>
        <v>115486.17225165748</v>
      </c>
      <c r="BS72" s="204">
        <f t="shared" ref="BS72:DA72" si="106">SUM(BS59:BS71)</f>
        <v>117699.10383872237</v>
      </c>
      <c r="BT72" s="204">
        <f t="shared" si="106"/>
        <v>119912.03542578725</v>
      </c>
      <c r="BU72" s="204">
        <f t="shared" si="106"/>
        <v>122124.96701285215</v>
      </c>
      <c r="BV72" s="204">
        <f t="shared" si="106"/>
        <v>124337.89859991705</v>
      </c>
      <c r="BW72" s="204">
        <f t="shared" si="106"/>
        <v>126550.83018698193</v>
      </c>
      <c r="BX72" s="204">
        <f t="shared" si="106"/>
        <v>128763.76177404683</v>
      </c>
      <c r="BY72" s="204">
        <f t="shared" si="106"/>
        <v>130976.69336111173</v>
      </c>
      <c r="BZ72" s="204">
        <f t="shared" si="106"/>
        <v>133189.62494817664</v>
      </c>
      <c r="CA72" s="204">
        <f t="shared" si="106"/>
        <v>135402.55653524151</v>
      </c>
      <c r="CB72" s="204">
        <f t="shared" si="106"/>
        <v>137615.48812230641</v>
      </c>
      <c r="CC72" s="204">
        <f t="shared" si="106"/>
        <v>139828.41970937129</v>
      </c>
      <c r="CD72" s="204">
        <f t="shared" si="106"/>
        <v>142041.35129643619</v>
      </c>
      <c r="CE72" s="204">
        <f t="shared" si="106"/>
        <v>144254.28288350109</v>
      </c>
      <c r="CF72" s="204">
        <f t="shared" si="106"/>
        <v>146467.21447056596</v>
      </c>
      <c r="CG72" s="204">
        <f t="shared" si="106"/>
        <v>148680.14605763086</v>
      </c>
      <c r="CH72" s="204">
        <f t="shared" si="106"/>
        <v>150893.07764469579</v>
      </c>
      <c r="CI72" s="204">
        <f t="shared" si="106"/>
        <v>153106.00923176063</v>
      </c>
      <c r="CJ72" s="204">
        <f t="shared" si="106"/>
        <v>170009.80114207181</v>
      </c>
      <c r="CK72" s="204">
        <f t="shared" si="106"/>
        <v>186913.5930523829</v>
      </c>
      <c r="CL72" s="204">
        <f t="shared" si="106"/>
        <v>203817.38496269402</v>
      </c>
      <c r="CM72" s="204">
        <f t="shared" si="106"/>
        <v>220721.17687300511</v>
      </c>
      <c r="CN72" s="204">
        <f t="shared" si="106"/>
        <v>237624.9687833162</v>
      </c>
      <c r="CO72" s="204">
        <f t="shared" si="106"/>
        <v>254528.76069362732</v>
      </c>
      <c r="CP72" s="204">
        <f t="shared" si="106"/>
        <v>271432.55260393844</v>
      </c>
      <c r="CQ72" s="204">
        <f t="shared" si="106"/>
        <v>288336.34451424953</v>
      </c>
      <c r="CR72" s="204">
        <f t="shared" si="106"/>
        <v>305240.13642456062</v>
      </c>
      <c r="CS72" s="204">
        <f t="shared" si="106"/>
        <v>322143.92833487171</v>
      </c>
      <c r="CT72" s="204">
        <f t="shared" si="106"/>
        <v>339047.72024518292</v>
      </c>
      <c r="CU72" s="204">
        <f t="shared" si="106"/>
        <v>355951.5121554939</v>
      </c>
      <c r="CV72" s="204">
        <f t="shared" si="106"/>
        <v>372855.3040658051</v>
      </c>
      <c r="CW72" s="204">
        <f t="shared" si="106"/>
        <v>389759.09597611619</v>
      </c>
      <c r="CX72" s="204">
        <f t="shared" si="106"/>
        <v>399538.89697611623</v>
      </c>
      <c r="CY72" s="204">
        <f t="shared" si="106"/>
        <v>409318.69797611615</v>
      </c>
      <c r="CZ72" s="204">
        <f t="shared" si="106"/>
        <v>419098.49897611619</v>
      </c>
      <c r="DA72" s="204">
        <f t="shared" si="106"/>
        <v>428878.29997611616</v>
      </c>
    </row>
    <row r="73" spans="1:105">
      <c r="A73" s="201" t="str">
        <f>Income!A89</f>
        <v>Food Poverty line</v>
      </c>
    </row>
    <row r="74" spans="1:105">
      <c r="A74" s="201" t="str">
        <f>Income!A90</f>
        <v>Lower Bound Poverty line</v>
      </c>
    </row>
    <row r="96" spans="4:15">
      <c r="D96" s="211"/>
      <c r="E96" s="211"/>
      <c r="F96" s="211"/>
      <c r="G96" s="211"/>
      <c r="H96" s="211"/>
      <c r="I96" s="211"/>
      <c r="J96" s="211"/>
      <c r="K96" s="211"/>
      <c r="L96" s="211"/>
      <c r="M96" s="211"/>
      <c r="N96" s="211"/>
      <c r="O96" s="211"/>
    </row>
    <row r="97" spans="1:31">
      <c r="C97" s="210"/>
      <c r="D97" s="212"/>
      <c r="E97" s="212"/>
      <c r="F97" s="212"/>
      <c r="G97" s="212"/>
      <c r="H97" s="212"/>
      <c r="I97" s="212"/>
      <c r="J97" s="212"/>
      <c r="K97" s="212"/>
      <c r="L97" s="212"/>
      <c r="M97" s="212"/>
      <c r="N97" s="212"/>
      <c r="O97" s="212"/>
    </row>
    <row r="98" spans="1:31">
      <c r="C98" s="210"/>
      <c r="D98" s="212"/>
      <c r="E98" s="212"/>
      <c r="F98" s="212"/>
      <c r="G98" s="212"/>
      <c r="H98" s="212"/>
      <c r="I98" s="212"/>
      <c r="J98" s="212"/>
      <c r="K98" s="212"/>
      <c r="L98" s="212"/>
      <c r="M98" s="212"/>
      <c r="N98" s="212"/>
      <c r="O98" s="212"/>
    </row>
    <row r="99" spans="1:31">
      <c r="C99" s="210"/>
      <c r="D99" s="212"/>
      <c r="E99" s="212"/>
      <c r="F99" s="212"/>
      <c r="G99" s="212"/>
      <c r="H99" s="212"/>
      <c r="I99" s="212"/>
      <c r="J99" s="212"/>
      <c r="K99" s="212"/>
      <c r="L99" s="212"/>
      <c r="M99" s="212"/>
      <c r="N99" s="212"/>
      <c r="O99" s="212"/>
    </row>
    <row r="100" spans="1:31">
      <c r="C100" s="210"/>
      <c r="D100" s="212"/>
      <c r="E100" s="212"/>
      <c r="F100" s="212"/>
      <c r="G100" s="212"/>
      <c r="H100" s="212"/>
      <c r="I100" s="212"/>
      <c r="J100" s="212"/>
      <c r="K100" s="212"/>
      <c r="L100" s="212"/>
      <c r="M100" s="212"/>
      <c r="N100" s="212"/>
      <c r="O100" s="212"/>
    </row>
    <row r="101" spans="1:31">
      <c r="C101" s="210"/>
      <c r="D101" s="212"/>
      <c r="E101" s="212"/>
      <c r="F101" s="212"/>
      <c r="G101" s="212"/>
      <c r="H101" s="212"/>
      <c r="I101" s="212"/>
      <c r="J101" s="212"/>
      <c r="K101" s="212"/>
      <c r="L101" s="212"/>
      <c r="M101" s="212"/>
      <c r="N101" s="212"/>
      <c r="O101" s="212"/>
    </row>
    <row r="107" spans="1:31">
      <c r="B107" s="214">
        <f>A23</f>
        <v>0</v>
      </c>
      <c r="C107" s="214">
        <f>B23</f>
        <v>47</v>
      </c>
      <c r="D107" s="214">
        <f>C23</f>
        <v>72</v>
      </c>
      <c r="E107" s="214">
        <f>D23</f>
        <v>90</v>
      </c>
      <c r="F107" s="214">
        <f>E23</f>
        <v>100</v>
      </c>
      <c r="AD107" s="201" t="s">
        <v>117</v>
      </c>
    </row>
    <row r="108" spans="1:31">
      <c r="A108" s="213" t="str">
        <f t="shared" ref="A108:A120" si="107">A42</f>
        <v>Own crops Consumed</v>
      </c>
      <c r="B108" s="212">
        <v>0</v>
      </c>
      <c r="C108" s="212">
        <f>AD42</f>
        <v>67.287459173329708</v>
      </c>
      <c r="D108" s="212">
        <f>BU42</f>
        <v>37.137141772561357</v>
      </c>
      <c r="E108" s="212">
        <f>CR42</f>
        <v>-136.07915108785105</v>
      </c>
      <c r="F108" s="212">
        <f xml:space="preserve"> 0.0529*F107^2 - 5.8907*F107 + 166.43</f>
        <v>106.36000000000007</v>
      </c>
    </row>
    <row r="109" spans="1:31">
      <c r="A109" s="213" t="str">
        <f t="shared" si="107"/>
        <v>Own crops sold</v>
      </c>
      <c r="B109" s="212">
        <f xml:space="preserve"> 0.2249*B107^2 + 18.644*B107 + 340.26</f>
        <v>340.26</v>
      </c>
      <c r="C109" s="212">
        <f>AD43</f>
        <v>62.149078949348485</v>
      </c>
      <c r="D109" s="212">
        <f t="shared" ref="D109:D120" si="108">BU43</f>
        <v>182.80523744160831</v>
      </c>
      <c r="E109" s="212">
        <f t="shared" ref="E109:E120" si="109">CR43</f>
        <v>852.23615159321253</v>
      </c>
      <c r="F109" s="212">
        <f xml:space="preserve"> 0.2249*F107^2 - 18.644*F107 + 340.26</f>
        <v>724.86000000000013</v>
      </c>
      <c r="AD109" s="217" t="s">
        <v>120</v>
      </c>
      <c r="AE109" s="201">
        <f>(0.0000001/7+0.00002/6+0.0039/5+0.2271/4+1.2857/3+16.311/2+13342)</f>
        <v>13350.641625014287</v>
      </c>
    </row>
    <row r="110" spans="1:31">
      <c r="A110" s="213" t="str">
        <f t="shared" si="107"/>
        <v>Animal products consumed</v>
      </c>
      <c r="B110" s="212">
        <v>0</v>
      </c>
      <c r="C110" s="212">
        <f t="shared" ref="C110:C120" si="110">AD44</f>
        <v>7.3607821004785388</v>
      </c>
      <c r="D110" s="212">
        <f t="shared" si="108"/>
        <v>15.427685739665778</v>
      </c>
      <c r="E110" s="212">
        <f t="shared" si="109"/>
        <v>133.36253743143803</v>
      </c>
      <c r="F110" s="212">
        <f xml:space="preserve"> -0.005*F107^2 + 0.7378*F107 - 15.349</f>
        <v>8.4310000000000009</v>
      </c>
      <c r="AD110" s="217" t="s">
        <v>118</v>
      </c>
      <c r="AE110" s="201">
        <f>(0.5*(DA72-F72))</f>
        <v>186149.38432350871</v>
      </c>
    </row>
    <row r="111" spans="1:31">
      <c r="A111" s="213" t="str">
        <f t="shared" si="107"/>
        <v>Animal products sold</v>
      </c>
      <c r="B111" s="212">
        <v>0</v>
      </c>
      <c r="C111" s="212">
        <f t="shared" si="110"/>
        <v>0</v>
      </c>
      <c r="D111" s="212">
        <f t="shared" si="108"/>
        <v>0</v>
      </c>
      <c r="E111" s="212">
        <f t="shared" si="109"/>
        <v>0</v>
      </c>
      <c r="F111" s="212">
        <v>0</v>
      </c>
      <c r="AD111" s="217" t="s">
        <v>119</v>
      </c>
      <c r="AE111" s="212">
        <f>AE109/AE110</f>
        <v>7.1720041801547021E-2</v>
      </c>
    </row>
    <row r="112" spans="1:31">
      <c r="A112" s="213" t="str">
        <f t="shared" si="107"/>
        <v>Animals sold</v>
      </c>
      <c r="B112" s="212">
        <v>0</v>
      </c>
      <c r="C112" s="212">
        <f t="shared" si="110"/>
        <v>80.870629732398783</v>
      </c>
      <c r="D112" s="212">
        <f t="shared" si="108"/>
        <v>460.39837577886561</v>
      </c>
      <c r="E112" s="212">
        <f t="shared" si="109"/>
        <v>2073.5889631793029</v>
      </c>
      <c r="F112" s="212">
        <v>0</v>
      </c>
    </row>
    <row r="113" spans="1:31">
      <c r="A113" s="213" t="str">
        <f t="shared" si="107"/>
        <v>Wild foods consumed and sold</v>
      </c>
      <c r="B113" s="212">
        <v>0</v>
      </c>
      <c r="C113" s="212">
        <f t="shared" si="110"/>
        <v>36.394029739668525</v>
      </c>
      <c r="D113" s="212">
        <f t="shared" si="108"/>
        <v>-157.75414934775836</v>
      </c>
      <c r="E113" s="212">
        <f t="shared" si="109"/>
        <v>0</v>
      </c>
      <c r="F113" s="212">
        <f xml:space="preserve"> 0.0898*F107^2 - 11.826*F107 + 336.79</f>
        <v>52.189999999999884</v>
      </c>
      <c r="AD113" s="217" t="s">
        <v>121</v>
      </c>
      <c r="AE113" s="201">
        <v>0.57299999999999995</v>
      </c>
    </row>
    <row r="114" spans="1:31">
      <c r="A114" s="213" t="str">
        <f t="shared" si="107"/>
        <v>Labour - casual</v>
      </c>
      <c r="B114" s="212">
        <v>0</v>
      </c>
      <c r="C114" s="212">
        <f t="shared" si="110"/>
        <v>257.62913064789268</v>
      </c>
      <c r="D114" s="212">
        <f t="shared" si="108"/>
        <v>-995.57760805302053</v>
      </c>
      <c r="E114" s="212">
        <f t="shared" si="109"/>
        <v>0</v>
      </c>
      <c r="F114" s="212">
        <v>0</v>
      </c>
      <c r="AD114" s="217" t="s">
        <v>122</v>
      </c>
      <c r="AE114" s="201">
        <v>0.51500000000000001</v>
      </c>
    </row>
    <row r="115" spans="1:31">
      <c r="A115" s="213" t="str">
        <f t="shared" si="107"/>
        <v>Labour - formal emp</v>
      </c>
      <c r="B115" s="212">
        <v>0</v>
      </c>
      <c r="C115" s="212">
        <f t="shared" si="110"/>
        <v>582.26853407327121</v>
      </c>
      <c r="D115" s="212">
        <f t="shared" si="108"/>
        <v>4306.0789264023306</v>
      </c>
      <c r="E115" s="212">
        <f t="shared" si="109"/>
        <v>13992.269364719932</v>
      </c>
      <c r="F115" s="212">
        <f xml:space="preserve"> -2.582*F107^2 + 352.49*F107 - 6757.3</f>
        <v>2671.7</v>
      </c>
    </row>
    <row r="116" spans="1:31">
      <c r="A116" s="213" t="str">
        <f t="shared" si="107"/>
        <v>Self - employment</v>
      </c>
      <c r="B116" s="212">
        <v>0</v>
      </c>
      <c r="C116" s="212">
        <f t="shared" si="110"/>
        <v>259.59472144100005</v>
      </c>
      <c r="D116" s="212">
        <f t="shared" si="108"/>
        <v>-353.42345905377624</v>
      </c>
      <c r="E116" s="212">
        <f t="shared" si="109"/>
        <v>-124.77182872998669</v>
      </c>
      <c r="F116" s="212">
        <f xml:space="preserve"> 0.025*F107^2 - 2.8902*F107 + 868.55</f>
        <v>829.53</v>
      </c>
    </row>
    <row r="117" spans="1:31">
      <c r="A117" s="213" t="str">
        <f t="shared" si="107"/>
        <v>Small business/petty trading</v>
      </c>
      <c r="B117" s="212">
        <v>0</v>
      </c>
      <c r="C117" s="212">
        <f t="shared" si="110"/>
        <v>38.817902271551411</v>
      </c>
      <c r="D117" s="212">
        <f t="shared" si="108"/>
        <v>-64.997417757016322</v>
      </c>
      <c r="E117" s="212">
        <f t="shared" si="109"/>
        <v>0</v>
      </c>
      <c r="F117" s="212">
        <f xml:space="preserve"> 1.6289*F107^2 - 121.84*F107 + 2098.5</f>
        <v>6203.5</v>
      </c>
    </row>
    <row r="118" spans="1:31">
      <c r="A118" s="213" t="str">
        <f t="shared" si="107"/>
        <v>Food transfer - official</v>
      </c>
      <c r="B118" s="212">
        <f xml:space="preserve"> 0</f>
        <v>0</v>
      </c>
      <c r="C118" s="212">
        <f t="shared" si="110"/>
        <v>-4.6684800209548349</v>
      </c>
      <c r="D118" s="212">
        <f t="shared" si="108"/>
        <v>-39.084949012645097</v>
      </c>
      <c r="E118" s="212">
        <f t="shared" si="109"/>
        <v>0</v>
      </c>
      <c r="F118" s="212">
        <f>0.0411*F107^2 - 5.0851*F107 + 112.24</f>
        <v>14.730000000000004</v>
      </c>
    </row>
    <row r="119" spans="1:31">
      <c r="A119" s="213" t="str">
        <f t="shared" si="107"/>
        <v>Cash transfer - official</v>
      </c>
      <c r="B119" s="212">
        <v>0</v>
      </c>
      <c r="C119" s="212">
        <f t="shared" si="110"/>
        <v>0</v>
      </c>
      <c r="D119" s="212">
        <f t="shared" si="108"/>
        <v>-853.09110806083925</v>
      </c>
      <c r="E119" s="212">
        <f t="shared" si="109"/>
        <v>113.18587320505932</v>
      </c>
      <c r="F119" s="212">
        <f xml:space="preserve"> -0.4727*F107^2 + 44.988*F107 - 899.63</f>
        <v>-1127.83</v>
      </c>
    </row>
    <row r="120" spans="1:31">
      <c r="A120" s="213" t="str">
        <f t="shared" si="107"/>
        <v>Cash transfer - gifts</v>
      </c>
      <c r="B120" s="212">
        <v>0</v>
      </c>
      <c r="C120" s="212">
        <f t="shared" si="110"/>
        <v>194.08951135775706</v>
      </c>
      <c r="D120" s="212">
        <f t="shared" si="108"/>
        <v>-324.9870887850816</v>
      </c>
      <c r="E120" s="212">
        <f t="shared" si="109"/>
        <v>0</v>
      </c>
      <c r="F120" s="212">
        <f xml:space="preserve"> 0.1467*F107^2 - 15.6*F107 + 389.33</f>
        <v>296.33</v>
      </c>
    </row>
  </sheetData>
  <pageMargins left="0.7" right="0.7" top="0.75" bottom="0.75" header="0.3" footer="0.3"/>
  <pageSetup paperSize="9"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V.Poor</vt:lpstr>
      <vt:lpstr>Poor</vt:lpstr>
      <vt:lpstr>Middle</vt:lpstr>
      <vt:lpstr>Rich</vt:lpstr>
      <vt:lpstr>Food</vt:lpstr>
      <vt:lpstr>Income</vt:lpstr>
      <vt:lpstr>Expenditure</vt:lpstr>
      <vt:lpstr>Percentiles</vt:lpstr>
    </vt:vector>
  </TitlesOfParts>
  <Manager/>
  <Company>SAVAC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 Outcome Forecast Analysis Spreadsheet</dc:title>
  <dc:subject>Spreadsheet for analysing and forecasting food insecurity and living standards risks</dc:subject>
  <dc:creator>Mark Lawrence; Charles Rethman (total income, FPL, LBPL, UBPLs); SAVAC</dc:creator>
  <cp:keywords/>
  <dc:description/>
  <cp:lastModifiedBy>Charles Rethman</cp:lastModifiedBy>
  <cp:lastPrinted>2011-04-19T10:12:05Z</cp:lastPrinted>
  <dcterms:created xsi:type="dcterms:W3CDTF">2006-01-21T10:30:34Z</dcterms:created>
  <dcterms:modified xsi:type="dcterms:W3CDTF">2016-08-08T18:28:29Z</dcterms:modified>
  <cp:category/>
</cp:coreProperties>
</file>