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<sst xmlns="http://schemas.openxmlformats.org/spreadsheetml/2006/main" count="790" uniqueCount="145">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</sst>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0.00624109539227895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0.0527164893988521</c:v>
                </c:pt>
                <c:pt idx="2" formatCode="0.0%">
                  <c:v>0.213210329695446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094280"/>
        <c:axId val="-2133090968"/>
      </c:barChart>
      <c:catAx>
        <c:axId val="-213309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09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09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094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0.0724756178797166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-0.00160900078454185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-0.00111736165593184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160760"/>
        <c:axId val="-2134157736"/>
      </c:barChart>
      <c:catAx>
        <c:axId val="-213416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5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15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6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0.0222793167893135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0.00673404307634187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0.00053872344610735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2452856"/>
        <c:axId val="-2132449864"/>
      </c:barChart>
      <c:catAx>
        <c:axId val="-213245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44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44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452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2307608"/>
        <c:axId val="-2132304584"/>
      </c:barChart>
      <c:catAx>
        <c:axId val="-213230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30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30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30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1351.960179676463</c:v>
                </c:pt>
                <c:pt idx="6">
                  <c:v>6814.063825363341</c:v>
                </c:pt>
                <c:pt idx="7">
                  <c:v>926.4055515339641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419.9999999999999</c:v>
                </c:pt>
                <c:pt idx="6">
                  <c:v>5252.442579698882</c:v>
                </c:pt>
                <c:pt idx="7">
                  <c:v>3241.768428563791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4277.5</c:v>
                </c:pt>
                <c:pt idx="6">
                  <c:v>20733.12149409287</c:v>
                </c:pt>
                <c:pt idx="7">
                  <c:v>19386.80504597076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183528"/>
        <c:axId val="-21321801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83528"/>
        <c:axId val="-2132180152"/>
      </c:lineChart>
      <c:catAx>
        <c:axId val="-213218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18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18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18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064632"/>
        <c:axId val="-21320614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64632"/>
        <c:axId val="-2132061400"/>
      </c:lineChart>
      <c:catAx>
        <c:axId val="-21320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06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06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06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323384"/>
        <c:axId val="21413267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23384"/>
        <c:axId val="2141326728"/>
      </c:lineChart>
      <c:catAx>
        <c:axId val="2141323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32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32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32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0.10619454573156</c:v>
                </c:pt>
                <c:pt idx="2">
                  <c:v>0.0776836839148793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0.0192073766098115</c:v>
                </c:pt>
                <c:pt idx="2">
                  <c:v>0.0776836839148793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-0.344854738053252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410392"/>
        <c:axId val="2141413736"/>
      </c:barChart>
      <c:catAx>
        <c:axId val="214141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413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41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41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0.0930796373970454</c:v>
                </c:pt>
                <c:pt idx="2">
                  <c:v>0.0683211023018879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-8.78889906676527E-17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-0.0942380909520094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208744"/>
        <c:axId val="-2131421960"/>
      </c:barChart>
      <c:catAx>
        <c:axId val="-213120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42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42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20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0.258921375147643</c:v>
                </c:pt>
                <c:pt idx="2">
                  <c:v>0.237254805370555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2040552"/>
        <c:axId val="-2132037048"/>
      </c:barChart>
      <c:catAx>
        <c:axId val="-213204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037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03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04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0.153393787035374</c:v>
                </c:pt>
                <c:pt idx="2">
                  <c:v>0.153393787035374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-1.08134764537305</c:v>
                </c:pt>
                <c:pt idx="2">
                  <c:v>-1.08134764537305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970536"/>
        <c:axId val="-2131967160"/>
      </c:barChart>
      <c:catAx>
        <c:axId val="-213197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96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96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97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0.250859304913911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0.0936676329286439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-0.0020766187234804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0.217383588493726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0.117937490753931</c:v>
                </c:pt>
                <c:pt idx="2" formatCode="0.0%">
                  <c:v>0.286662761900334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2953160"/>
        <c:axId val="-2132949848"/>
      </c:barChart>
      <c:catAx>
        <c:axId val="-213295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94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94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95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991768"/>
        <c:axId val="-21309883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91768"/>
        <c:axId val="-21309883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91768"/>
        <c:axId val="-2130988344"/>
      </c:scatterChart>
      <c:catAx>
        <c:axId val="-2130991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0988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0988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09917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890312"/>
        <c:axId val="-21308869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90312"/>
        <c:axId val="-2130886936"/>
      </c:lineChart>
      <c:catAx>
        <c:axId val="-2130890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0886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08869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08903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65944"/>
        <c:axId val="-21314692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72904"/>
        <c:axId val="-2131475800"/>
      </c:scatterChart>
      <c:valAx>
        <c:axId val="-21314659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1469288"/>
        <c:crosses val="autoZero"/>
        <c:crossBetween val="midCat"/>
      </c:valAx>
      <c:valAx>
        <c:axId val="-2131469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1465944"/>
        <c:crosses val="autoZero"/>
        <c:crossBetween val="midCat"/>
      </c:valAx>
      <c:valAx>
        <c:axId val="-21314729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1475800"/>
        <c:crosses val="autoZero"/>
        <c:crossBetween val="midCat"/>
      </c:valAx>
      <c:valAx>
        <c:axId val="-21314758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14729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61800"/>
        <c:axId val="-21318560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61800"/>
        <c:axId val="-2131856056"/>
      </c:lineChart>
      <c:catAx>
        <c:axId val="-213186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1856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1856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18618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0.0293472119285028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0.00730410035853244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0.031696311993687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0.456923340051697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0.189950277010233</c:v>
                </c:pt>
                <c:pt idx="2" formatCode="0.0%">
                  <c:v>0.429153049677544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2822648"/>
        <c:axId val="-2133547784"/>
      </c:barChart>
      <c:catAx>
        <c:axId val="-213282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54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54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82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675736"/>
        <c:axId val="-2133679080"/>
      </c:barChart>
      <c:catAx>
        <c:axId val="-213367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67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67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675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0.0249643815691158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-0.0323019347790327</c:v>
                </c:pt>
                <c:pt idx="1">
                  <c:v>-0.934878909818274</c:v>
                </c:pt>
                <c:pt idx="2">
                  <c:v>-0.891629357106753</c:v>
                </c:pt>
                <c:pt idx="3">
                  <c:v>-0.913254133462513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769080"/>
        <c:axId val="-2133772472"/>
      </c:barChart>
      <c:catAx>
        <c:axId val="-21337690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772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77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769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0.117170982090906</c:v>
                </c:pt>
                <c:pt idx="1">
                  <c:v>-0.0390569940303021</c:v>
                </c:pt>
                <c:pt idx="2">
                  <c:v>-0.0390569940303021</c:v>
                </c:pt>
                <c:pt idx="3">
                  <c:v>-0.0390569940303021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426664"/>
        <c:axId val="2138805160"/>
      </c:barChart>
      <c:catAx>
        <c:axId val="-213142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805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80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42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0.468129669141311</c:v>
                </c:pt>
                <c:pt idx="1">
                  <c:v>0.468129669141311</c:v>
                </c:pt>
                <c:pt idx="2">
                  <c:v>0.0671778813730224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0.0117799728423861</c:v>
                </c:pt>
                <c:pt idx="1">
                  <c:v>0.0117799728423861</c:v>
                </c:pt>
                <c:pt idx="2">
                  <c:v>0.00169045815796041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0.174793588091873</c:v>
                </c:pt>
                <c:pt idx="1">
                  <c:v>0.174793588091873</c:v>
                </c:pt>
                <c:pt idx="2">
                  <c:v>0.0250833555308288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0.217383588493726</c:v>
                </c:pt>
                <c:pt idx="1">
                  <c:v>0.217383588493726</c:v>
                </c:pt>
                <c:pt idx="2">
                  <c:v>0.217383588493726</c:v>
                </c:pt>
                <c:pt idx="3">
                  <c:v>0.217383588493726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0.550453011619345</c:v>
                </c:pt>
                <c:pt idx="3">
                  <c:v>0.596198035981993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335672"/>
        <c:axId val="-2131332296"/>
      </c:barChart>
      <c:catAx>
        <c:axId val="-2131335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332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133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33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0.117388847714011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0.0292164014341298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0.456923340051697</c:v>
                </c:pt>
                <c:pt idx="1">
                  <c:v>0.456923340051697</c:v>
                </c:pt>
                <c:pt idx="2">
                  <c:v>0.456923340051697</c:v>
                </c:pt>
                <c:pt idx="3">
                  <c:v>0.456923340051697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0.3090976019198</c:v>
                </c:pt>
                <c:pt idx="1">
                  <c:v>0.499891057792723</c:v>
                </c:pt>
                <c:pt idx="2">
                  <c:v>0.489077608228589</c:v>
                </c:pt>
                <c:pt idx="3">
                  <c:v>0.418545930769062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230232"/>
        <c:axId val="-2131226856"/>
      </c:barChart>
      <c:catAx>
        <c:axId val="-213123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226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122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23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0.00553408621918733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353336"/>
        <c:axId val="-2134245160"/>
      </c:barChart>
      <c:catAx>
        <c:axId val="-213435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24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24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35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7646.9995872137933</v>
      </c>
      <c r="T23" s="179">
        <f>SUM(T7:T22)</f>
        <v>7646.9995872137933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0.68939859227895406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28322.407384848266</v>
      </c>
      <c r="T30" s="233">
        <f t="shared" si="24"/>
        <v>28322.407384848266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0.11717098209090626</v>
      </c>
      <c r="AB30" s="122">
        <f>IF($Y30=0,0,AC30/($Y$30))</f>
        <v>0</v>
      </c>
      <c r="AC30" s="187">
        <f>IF(AC79*4/$I$83+SUM(AC6:AC29)&lt;1,AC79*4/$I$83,1-SUM(AC6:AC29))</f>
        <v>-3.9056994030302064E-2</v>
      </c>
      <c r="AD30" s="122">
        <f>IF($Y30=0,0,AE30/($Y$30))</f>
        <v>0</v>
      </c>
      <c r="AE30" s="187">
        <f>IF(AE79*4/$I$83+SUM(AE6:AE29)&lt;1,AE79*4/$I$83,1-SUM(AE6:AE29))</f>
        <v>-3.9056994030302064E-2</v>
      </c>
      <c r="AF30" s="122">
        <f>IF($Y30=0,0,AG30/($Y$30))</f>
        <v>0</v>
      </c>
      <c r="AG30" s="187">
        <f>IF(AG79*4/$I$83+SUM(AG6:AG29)&lt;1,AG79*4/$I$83,1-SUM(AG6:AG29))</f>
        <v>-3.9056994030302064E-2</v>
      </c>
      <c r="AH30" s="123">
        <f t="shared" si="12"/>
        <v>0</v>
      </c>
      <c r="AI30" s="183">
        <f t="shared" si="13"/>
        <v>1.7347234759768071E-17</v>
      </c>
      <c r="AJ30" s="120">
        <f t="shared" si="14"/>
        <v>3.9056994030302099E-2</v>
      </c>
      <c r="AK30" s="119">
        <f t="shared" si="15"/>
        <v>-3.9056994030302064E-2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0.63297071483817258</v>
      </c>
      <c r="K31" s="22" t="str">
        <f t="shared" si="4"/>
        <v/>
      </c>
      <c r="L31" s="22">
        <f>(1-SUM(L6:L30))</f>
        <v>0.61001945818063219</v>
      </c>
      <c r="M31" s="240">
        <f t="shared" si="6"/>
        <v>0.63297071483817258</v>
      </c>
      <c r="N31" s="167">
        <f>M31*I83</f>
        <v>10756.954609662967</v>
      </c>
      <c r="P31" s="22"/>
      <c r="Q31" s="237" t="s">
        <v>142</v>
      </c>
      <c r="R31" s="233">
        <f t="shared" si="24"/>
        <v>3038.5228533498084</v>
      </c>
      <c r="S31" s="233">
        <f t="shared" si="24"/>
        <v>46705.234051514926</v>
      </c>
      <c r="T31" s="233">
        <f>IF(T25&gt;T$23,T25-T$23,0)</f>
        <v>46705.234051514926</v>
      </c>
      <c r="V31" s="56"/>
      <c r="W31" s="129" t="s">
        <v>84</v>
      </c>
      <c r="X31" s="130"/>
      <c r="Y31" s="121">
        <f>M31*4</f>
        <v>2.5318828593526903</v>
      </c>
      <c r="Z31" s="131"/>
      <c r="AA31" s="132">
        <f>1-AA32+IF($Y32&lt;0,$Y32/4,0)</f>
        <v>0.45386529640142037</v>
      </c>
      <c r="AB31" s="131"/>
      <c r="AC31" s="133">
        <f>1-AC32+IF($Y32&lt;0,$Y32/4,0)</f>
        <v>0.69537260104068599</v>
      </c>
      <c r="AD31" s="134"/>
      <c r="AE31" s="133">
        <f>1-AE32+IF($Y32&lt;0,$Y32/4,0)</f>
        <v>0.69537260104068599</v>
      </c>
      <c r="AF31" s="134"/>
      <c r="AG31" s="133">
        <f>1-AG32+IF($Y32&lt;0,$Y32/4,0)</f>
        <v>0.68727236086989785</v>
      </c>
      <c r="AH31" s="123"/>
      <c r="AI31" s="182">
        <f>SUM(AA31,AC31,AE31,AG31)/4</f>
        <v>0.63297071483817247</v>
      </c>
      <c r="AJ31" s="135">
        <f t="shared" si="14"/>
        <v>0.57461894872105312</v>
      </c>
      <c r="AK31" s="136">
        <f t="shared" si="15"/>
        <v>0.69132248095529192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0.36702928516182742</v>
      </c>
      <c r="J32" s="17"/>
      <c r="L32" s="22">
        <f>SUM(L6:L30)</f>
        <v>0.38998054181936781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79443.154051514939</v>
      </c>
      <c r="T32" s="233">
        <f t="shared" si="24"/>
        <v>79443.154051514939</v>
      </c>
      <c r="V32" s="56"/>
      <c r="W32" s="110"/>
      <c r="X32" s="118"/>
      <c r="Y32" s="115">
        <f>SUM(Y6:Y31)</f>
        <v>4</v>
      </c>
      <c r="Z32" s="137"/>
      <c r="AA32" s="138">
        <f>SUM(AA6:AA30)</f>
        <v>0.54613470359857963</v>
      </c>
      <c r="AB32" s="137"/>
      <c r="AC32" s="139">
        <f>SUM(AC6:AC30)</f>
        <v>0.30462739895931401</v>
      </c>
      <c r="AD32" s="137"/>
      <c r="AE32" s="139">
        <f>SUM(AE6:AE30)</f>
        <v>0.30462739895931401</v>
      </c>
      <c r="AF32" s="137"/>
      <c r="AG32" s="139">
        <f>SUM(AG6:AG30)</f>
        <v>0.31272763913010215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-38.900999000188413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30110.125185412588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663.75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663.75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0.72616268629915603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4271.25</v>
      </c>
      <c r="J65" s="39">
        <f>SUM(J37:J64)</f>
        <v>4271.2500000000009</v>
      </c>
      <c r="K65" s="40">
        <f>SUM(K37:K64)</f>
        <v>1</v>
      </c>
      <c r="L65" s="22">
        <f>SUM(L37:L64)</f>
        <v>0.15339378703537437</v>
      </c>
      <c r="M65" s="24">
        <f>SUM(M37:M64)</f>
        <v>0.1533937870353744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1565.625</v>
      </c>
      <c r="AB65" s="137"/>
      <c r="AC65" s="153">
        <f>SUM(AC37:AC64)</f>
        <v>901.87500000000011</v>
      </c>
      <c r="AD65" s="137"/>
      <c r="AE65" s="153">
        <f>SUM(AE37:AE64)</f>
        <v>901.87500000000011</v>
      </c>
      <c r="AF65" s="137"/>
      <c r="AG65" s="153">
        <f>SUM(AG37:AG64)</f>
        <v>901.87500000000011</v>
      </c>
      <c r="AH65" s="137"/>
      <c r="AI65" s="153">
        <f>SUM(AI37:AI64)</f>
        <v>4271.2500000000009</v>
      </c>
      <c r="AJ65" s="153">
        <f>SUM(AJ37:AJ64)</f>
        <v>2467.5</v>
      </c>
      <c r="AK65" s="153">
        <f>SUM(AK37:AK64)</f>
        <v>1803.7500000000002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4271.25</v>
      </c>
      <c r="J70" s="51">
        <f t="shared" ref="J70:J77" si="44">J124*I$83</f>
        <v>4271.25</v>
      </c>
      <c r="K70" s="40">
        <f>B70/B$76</f>
        <v>0.46934309447911304</v>
      </c>
      <c r="L70" s="22">
        <f t="shared" ref="L70:L74" si="45">(L124*G$37*F$9/F$7)/B$130</f>
        <v>0.1533937870353744</v>
      </c>
      <c r="M70" s="24">
        <f>J70/B$76</f>
        <v>0.1533937870353744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1067.8125</v>
      </c>
      <c r="AB70" s="156">
        <f>Poor!AB70</f>
        <v>0.25</v>
      </c>
      <c r="AC70" s="147">
        <f>$J70*AB70</f>
        <v>1067.8125</v>
      </c>
      <c r="AD70" s="156">
        <f>Poor!AD70</f>
        <v>0.25</v>
      </c>
      <c r="AE70" s="147">
        <f>$J70*AD70</f>
        <v>1067.8125</v>
      </c>
      <c r="AF70" s="156">
        <f>Poor!AF70</f>
        <v>0.25</v>
      </c>
      <c r="AG70" s="147">
        <f>$J70*AF70</f>
        <v>1067.8125</v>
      </c>
      <c r="AH70" s="155">
        <f>SUM(Z70,AB70,AD70,AF70)</f>
        <v>1</v>
      </c>
      <c r="AI70" s="147">
        <f>SUM(AA70,AC70,AE70,AG70)</f>
        <v>4271.25</v>
      </c>
      <c r="AJ70" s="148">
        <f>(AA70+AC70)</f>
        <v>2135.625</v>
      </c>
      <c r="AK70" s="147">
        <f>(AE70+AG70)</f>
        <v>2135.625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0.48954330520141259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0.2550027973234395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497.8125</v>
      </c>
      <c r="AB74" s="156"/>
      <c r="AC74" s="147">
        <f>AC30*$I$83/4</f>
        <v>-165.93749999999989</v>
      </c>
      <c r="AD74" s="156"/>
      <c r="AE74" s="147">
        <f>AE30*$I$83/4</f>
        <v>-165.93749999999989</v>
      </c>
      <c r="AF74" s="156"/>
      <c r="AG74" s="147">
        <f>AG30*$I$83/4</f>
        <v>-165.93749999999989</v>
      </c>
      <c r="AH74" s="155"/>
      <c r="AI74" s="147">
        <f>SUM(AA74,AC74,AE74,AG74)</f>
        <v>3.4106051316484809E-13</v>
      </c>
      <c r="AJ74" s="148">
        <f>(AA74+AC74)</f>
        <v>331.87500000000011</v>
      </c>
      <c r="AK74" s="147">
        <f>(AE74+AG74)</f>
        <v>-331.87499999999977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4271.25</v>
      </c>
      <c r="J76" s="51">
        <f t="shared" si="44"/>
        <v>4271.25</v>
      </c>
      <c r="K76" s="40">
        <f>SUM(K70:K75)</f>
        <v>2.2319893945259621</v>
      </c>
      <c r="L76" s="22">
        <f>SUM(L70:L75)</f>
        <v>0.1533937870353744</v>
      </c>
      <c r="M76" s="24">
        <f>SUM(M70:M75)</f>
        <v>0.1533937870353744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1565.625</v>
      </c>
      <c r="AB76" s="137"/>
      <c r="AC76" s="153">
        <f>AC65</f>
        <v>901.87500000000011</v>
      </c>
      <c r="AD76" s="137"/>
      <c r="AE76" s="153">
        <f>AE65</f>
        <v>901.87500000000011</v>
      </c>
      <c r="AF76" s="137"/>
      <c r="AG76" s="153">
        <f>AG65</f>
        <v>901.87500000000011</v>
      </c>
      <c r="AH76" s="137"/>
      <c r="AI76" s="153">
        <f>SUM(AA76,AC76,AE76,AG76)</f>
        <v>4271.25</v>
      </c>
      <c r="AJ76" s="154">
        <f>SUM(AA76,AC76)</f>
        <v>2467.5</v>
      </c>
      <c r="AK76" s="154">
        <f>SUM(AE76,AG76)</f>
        <v>1803.7500000000002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30110.125185412591</v>
      </c>
      <c r="J77" s="100">
        <f t="shared" si="44"/>
        <v>30110.125185412591</v>
      </c>
      <c r="K77" s="40"/>
      <c r="L77" s="22">
        <f>-(L131*G$37*F$9/F$7)/B$130</f>
        <v>-1.0813476453730504</v>
      </c>
      <c r="M77" s="24">
        <f>-J77/B$76</f>
        <v>-1.0813476453730504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1928.2915772570575</v>
      </c>
      <c r="AB77" s="112"/>
      <c r="AC77" s="111">
        <f>AC31*$I$83/4</f>
        <v>2954.3592344988347</v>
      </c>
      <c r="AD77" s="112"/>
      <c r="AE77" s="111">
        <f>AE31*$I$83/4</f>
        <v>2954.3592344988347</v>
      </c>
      <c r="AF77" s="112"/>
      <c r="AG77" s="111">
        <f>AG31*$I$83/4</f>
        <v>2919.9445634082404</v>
      </c>
      <c r="AH77" s="110"/>
      <c r="AI77" s="154">
        <f>SUM(AA77,AC77,AE77,AG77)</f>
        <v>10756.954609662967</v>
      </c>
      <c r="AJ77" s="153">
        <f>SUM(AA77,AC77)</f>
        <v>4882.6508117558924</v>
      </c>
      <c r="AK77" s="160">
        <f>SUM(AE77,AG77)</f>
        <v>5874.303797907075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497.8125</v>
      </c>
      <c r="AB79" s="112"/>
      <c r="AC79" s="112">
        <f>AA79-AA74+AC65-AC70</f>
        <v>-165.93749999999989</v>
      </c>
      <c r="AD79" s="112"/>
      <c r="AE79" s="112">
        <f>AC79-AC74+AE65-AE70</f>
        <v>-165.93749999999989</v>
      </c>
      <c r="AF79" s="112"/>
      <c r="AG79" s="112">
        <f>AE79-AE74+AG65-AG70</f>
        <v>-165.93749999999989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1.9631766355298961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0.25133285988991005</v>
      </c>
      <c r="J119" s="24">
        <f>SUM(J91:J118)</f>
        <v>0.25133285988991005</v>
      </c>
      <c r="K119" s="22">
        <f>SUM(K91:K118)</f>
        <v>2.7034942342398596</v>
      </c>
      <c r="L119" s="22">
        <f>SUM(L91:L118)</f>
        <v>0.25133285988991005</v>
      </c>
      <c r="M119" s="57">
        <f t="shared" si="49"/>
        <v>0.25133285988991005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0.25133285988991005</v>
      </c>
      <c r="J124" s="236">
        <f>IF(SUMPRODUCT($B$124:$B124,$H$124:$H124)&lt;J$119,($B124*$H124),J$119)</f>
        <v>0.25133285988991005</v>
      </c>
      <c r="K124" s="29">
        <f>(B124)</f>
        <v>1.2688663498045756</v>
      </c>
      <c r="L124" s="29">
        <f>IF(SUMPRODUCT($B$124:$B124,$H$124:$H124)&lt;L$119,($B124*$H124),L$119)</f>
        <v>0.25133285988991005</v>
      </c>
      <c r="M124" s="239">
        <f t="shared" si="66"/>
        <v>0.25133285988991005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0.68939859227895406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0.25133285988991005</v>
      </c>
      <c r="J130" s="227">
        <f>(J119)</f>
        <v>0.25133285988991005</v>
      </c>
      <c r="K130" s="29">
        <f>(B130)</f>
        <v>2.7034942342398596</v>
      </c>
      <c r="L130" s="29">
        <f>(L119)</f>
        <v>0.25133285988991005</v>
      </c>
      <c r="M130" s="239">
        <f t="shared" si="66"/>
        <v>0.25133285988991005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1.7717679542272062</v>
      </c>
      <c r="J131" s="236">
        <f>IF(SUMPRODUCT($B124:$B125,$H124:$H125)&gt;(J119-J128),SUMPRODUCT($B124:$B125,$H124:$H125)+J128-J119,0)</f>
        <v>1.7717679542272062</v>
      </c>
      <c r="K131" s="29"/>
      <c r="L131" s="29">
        <f>IF(I131&lt;SUM(L126:L127),0,I131-(SUM(L126:L127)))</f>
        <v>1.7717679542272062</v>
      </c>
      <c r="M131" s="236">
        <f>IF(I131&lt;SUM(M126:M127),0,I131-(SUM(M126:M127)))</f>
        <v>1.7717679542272062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G58" sqref="G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1351.9601796764625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419.99999999999989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6.2410953922789544E-3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6.2410953922789544E-3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2.4964381569115818E-2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2.4964381569115818E-2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6.2410953922789544E-3</v>
      </c>
      <c r="AJ10" s="120">
        <f t="shared" si="14"/>
        <v>1.2482190784557909E-2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4277.5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30338.28295712412</v>
      </c>
      <c r="T23" s="179">
        <f>SUM(T7:T22)</f>
        <v>28903.5465303577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0.21321032969544618</v>
      </c>
      <c r="J30" s="230">
        <f>IF(I$32&lt;=1,I30,1-SUM(J6:J29))</f>
        <v>0.21321032969544618</v>
      </c>
      <c r="K30" s="22">
        <f t="shared" si="4"/>
        <v>0.58958408107098381</v>
      </c>
      <c r="L30" s="22">
        <f>IF(L124=L119,0,IF(K30="",0,(L119-L124)/(B119-B124)*K30))</f>
        <v>5.2716489398852068E-2</v>
      </c>
      <c r="M30" s="175">
        <f t="shared" si="6"/>
        <v>0.21321032969544618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5631.1240149379337</v>
      </c>
      <c r="T30" s="233">
        <f t="shared" si="50"/>
        <v>7065.8604417043534</v>
      </c>
      <c r="V30" s="56"/>
      <c r="W30" s="110"/>
      <c r="X30" s="118"/>
      <c r="Y30" s="183">
        <f>M30*4</f>
        <v>0.85284131878178471</v>
      </c>
      <c r="Z30" s="122">
        <f>IF($Y30=0,0,AA30/($Y$30))</f>
        <v>-3.7875668154978004E-2</v>
      </c>
      <c r="AA30" s="187">
        <f>IF(AA79*4/$I$83+SUM(AA6:AA29)&lt;1,AA79*4/$I$83,1-SUM(AA6:AA29))</f>
        <v>-3.230193477903269E-2</v>
      </c>
      <c r="AB30" s="122">
        <f>IF($Y30=0,0,AC30/($Y$30))</f>
        <v>-1.0961932650656196</v>
      </c>
      <c r="AC30" s="187">
        <f>IF(AC79*4/$I$83+SUM(AC6:AC29)&lt;1,AC79*4/$I$83,1-SUM(AC6:AC29))</f>
        <v>-0.9348789098182736</v>
      </c>
      <c r="AD30" s="122">
        <f>IF($Y30=0,0,AE30/($Y$30))</f>
        <v>-1.0454809558012192</v>
      </c>
      <c r="AE30" s="187">
        <f>IF(AE79*4/$I$83+SUM(AE6:AE29)&lt;1,AE79*4/$I$83,1-SUM(AE6:AE29))</f>
        <v>-0.89162935710675262</v>
      </c>
      <c r="AF30" s="122">
        <f>IF($Y30=0,0,AG30/($Y$30))</f>
        <v>-1.0708371104334196</v>
      </c>
      <c r="AG30" s="187">
        <f>IF(AG79*4/$I$83+SUM(AG6:AG29)&lt;1,AG79*4/$I$83,1-SUM(AG6:AG29))</f>
        <v>-0.91325413346251316</v>
      </c>
      <c r="AH30" s="123">
        <f t="shared" si="12"/>
        <v>-3.2503869994552366</v>
      </c>
      <c r="AI30" s="183">
        <f t="shared" si="13"/>
        <v>-0.69301608379164303</v>
      </c>
      <c r="AJ30" s="120">
        <f t="shared" si="14"/>
        <v>-0.48359042229865312</v>
      </c>
      <c r="AK30" s="119">
        <f t="shared" si="15"/>
        <v>-0.90244174528463295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0.36380393288778956</v>
      </c>
      <c r="K31" s="22" t="str">
        <f t="shared" si="4"/>
        <v/>
      </c>
      <c r="L31" s="22">
        <f>(1-SUM(L6:L30))</f>
        <v>0.54487203981006682</v>
      </c>
      <c r="M31" s="178">
        <f t="shared" si="6"/>
        <v>0.36380393288778956</v>
      </c>
      <c r="N31" s="167">
        <f>M31*I83</f>
        <v>7065.8604417043543</v>
      </c>
      <c r="P31" s="22"/>
      <c r="Q31" s="237" t="s">
        <v>142</v>
      </c>
      <c r="R31" s="233">
        <f t="shared" si="50"/>
        <v>0</v>
      </c>
      <c r="S31" s="233">
        <f t="shared" si="50"/>
        <v>24013.950681604609</v>
      </c>
      <c r="T31" s="233">
        <f>IF(T25&gt;T$23,T25-T$23,0)</f>
        <v>25448.687108371028</v>
      </c>
      <c r="V31" s="56"/>
      <c r="W31" s="129" t="s">
        <v>84</v>
      </c>
      <c r="X31" s="130"/>
      <c r="Y31" s="121">
        <f>M31*4</f>
        <v>1.4552157315511582</v>
      </c>
      <c r="Z31" s="131"/>
      <c r="AA31" s="132">
        <f>1-AA32+IF($Y32&lt;0,$Y32/4,0)</f>
        <v>0.40698953394383741</v>
      </c>
      <c r="AB31" s="131"/>
      <c r="AC31" s="133">
        <f>1-AC32+IF($Y32&lt;0,$Y32/4,0)</f>
        <v>1.5880030473392428</v>
      </c>
      <c r="AD31" s="134"/>
      <c r="AE31" s="133">
        <f>1-AE32+IF($Y32&lt;0,$Y32/4,0)</f>
        <v>1.5417497586376845</v>
      </c>
      <c r="AF31" s="134"/>
      <c r="AG31" s="133">
        <f>1-AG32+IF($Y32&lt;0,$Y32/4,0)</f>
        <v>1.5433790455787502</v>
      </c>
      <c r="AH31" s="123"/>
      <c r="AI31" s="182">
        <f>SUM(AA31,AC31,AE31,AG31)/4</f>
        <v>1.2700303463748788</v>
      </c>
      <c r="AJ31" s="135">
        <f t="shared" si="14"/>
        <v>0.99749629064154011</v>
      </c>
      <c r="AK31" s="136">
        <f t="shared" si="15"/>
        <v>1.5425644021082174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0.63619606711221044</v>
      </c>
      <c r="J32" s="17"/>
      <c r="L32" s="22">
        <f>SUM(L6:L30)</f>
        <v>0.45512796018993318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56751.870681604603</v>
      </c>
      <c r="T32" s="233">
        <f t="shared" si="50"/>
        <v>58186.607108371019</v>
      </c>
      <c r="V32" s="56"/>
      <c r="W32" s="110"/>
      <c r="X32" s="118"/>
      <c r="Y32" s="115">
        <f>SUM(Y6:Y31)</f>
        <v>4</v>
      </c>
      <c r="Z32" s="137"/>
      <c r="AA32" s="138">
        <f>SUM(AA6:AA30)</f>
        <v>0.59301046605616259</v>
      </c>
      <c r="AB32" s="137"/>
      <c r="AC32" s="139">
        <f>SUM(AC6:AC30)</f>
        <v>-0.5880030473392428</v>
      </c>
      <c r="AD32" s="137"/>
      <c r="AE32" s="139">
        <f>SUM(AE6:AE30)</f>
        <v>-0.54174975863768449</v>
      </c>
      <c r="AF32" s="137"/>
      <c r="AG32" s="139">
        <f>SUM(AG6:AG30)</f>
        <v>-0.54337904557875016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4.5714777861395692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3982.5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3982.5</v>
      </c>
      <c r="AJ37" s="148">
        <f>(AA37+AC37)</f>
        <v>3982.5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294.99999999999983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5.5340862191873303E-3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294.99999999999983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294.99999999999983</v>
      </c>
      <c r="AJ38" s="148">
        <f t="shared" ref="AJ38:AJ64" si="62">(AA38+AC38)</f>
        <v>294.99999999999983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0</v>
      </c>
      <c r="F49" s="26">
        <v>1.18</v>
      </c>
      <c r="G49" s="22">
        <f t="shared" si="59"/>
        <v>1.65</v>
      </c>
      <c r="H49" s="24">
        <f t="shared" si="51"/>
        <v>0</v>
      </c>
      <c r="I49" s="39">
        <f t="shared" si="52"/>
        <v>0</v>
      </c>
      <c r="J49" s="38">
        <f t="shared" si="53"/>
        <v>0</v>
      </c>
      <c r="K49" s="40">
        <f t="shared" si="54"/>
        <v>0.41308670693730537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25051.179999999997</v>
      </c>
      <c r="J65" s="39">
        <f>SUM(J37:J64)</f>
        <v>25051.179999999997</v>
      </c>
      <c r="K65" s="40">
        <f>SUM(K37:K64)</f>
        <v>1</v>
      </c>
      <c r="L65" s="22">
        <f>SUM(L37:L64)</f>
        <v>0.49846133643492285</v>
      </c>
      <c r="M65" s="24">
        <f>SUM(M37:M64)</f>
        <v>0.4699504746182418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5070.7</v>
      </c>
      <c r="AB65" s="137"/>
      <c r="AC65" s="153">
        <f>SUM(AC37:AC64)</f>
        <v>688.2</v>
      </c>
      <c r="AD65" s="137"/>
      <c r="AE65" s="153">
        <f>SUM(AE37:AE64)</f>
        <v>898.2</v>
      </c>
      <c r="AF65" s="137"/>
      <c r="AG65" s="153">
        <f>SUM(AG37:AG64)</f>
        <v>793.2</v>
      </c>
      <c r="AH65" s="137"/>
      <c r="AI65" s="153">
        <f>SUM(AI37:AI64)</f>
        <v>7450.3</v>
      </c>
      <c r="AJ65" s="153">
        <f>SUM(AJ37:AJ64)</f>
        <v>5758.9</v>
      </c>
      <c r="AK65" s="153">
        <f>SUM(AK37:AK64)</f>
        <v>1691.4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4141.0064547665579</v>
      </c>
      <c r="J71" s="51">
        <f t="shared" si="75"/>
        <v>4141.0064547665579</v>
      </c>
      <c r="K71" s="40">
        <f t="shared" ref="K71:K72" si="78">B71/B$76</f>
        <v>0.29224977801123075</v>
      </c>
      <c r="L71" s="22">
        <f t="shared" si="76"/>
        <v>0.1061945457315604</v>
      </c>
      <c r="M71" s="24">
        <f t="shared" ref="M71:M72" si="79">J71/B$76</f>
        <v>7.7683683914879342E-2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4141.0064547665579</v>
      </c>
      <c r="J74" s="51">
        <f t="shared" si="75"/>
        <v>4141.0064547665579</v>
      </c>
      <c r="K74" s="40">
        <f>B74/B$76</f>
        <v>0.1301917232581698</v>
      </c>
      <c r="L74" s="22">
        <f t="shared" si="76"/>
        <v>1.9207376609811505E-2</v>
      </c>
      <c r="M74" s="24">
        <f>J74/B$76</f>
        <v>7.7683683914879342E-2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-156.8433863083601</v>
      </c>
      <c r="AB74" s="156"/>
      <c r="AC74" s="147">
        <f>AC30*$I$83/4</f>
        <v>-4539.3433863083601</v>
      </c>
      <c r="AD74" s="156"/>
      <c r="AE74" s="147">
        <f>AE30*$I$83/4</f>
        <v>-4329.3433863083601</v>
      </c>
      <c r="AF74" s="156"/>
      <c r="AG74" s="147">
        <f>AG30*$I$83/4</f>
        <v>-4434.3433863083601</v>
      </c>
      <c r="AH74" s="155"/>
      <c r="AI74" s="147">
        <f>SUM(AA74,AC74,AE74,AG74)</f>
        <v>-13459.87354523344</v>
      </c>
      <c r="AJ74" s="148">
        <f>(AA74+AC74)</f>
        <v>-4696.1867726167202</v>
      </c>
      <c r="AK74" s="147">
        <f>(AE74+AG74)</f>
        <v>-8763.6867726167202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25051.18</v>
      </c>
      <c r="J76" s="51">
        <f t="shared" si="75"/>
        <v>25051.18</v>
      </c>
      <c r="K76" s="40">
        <f>SUM(K70:K75)</f>
        <v>1.310443569453007</v>
      </c>
      <c r="L76" s="22">
        <f>SUM(L70:L75)</f>
        <v>0.51766871304473439</v>
      </c>
      <c r="M76" s="24">
        <f>SUM(M70:M75)</f>
        <v>0.54763415853312114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5070.7</v>
      </c>
      <c r="AB76" s="137"/>
      <c r="AC76" s="153">
        <f>AC65</f>
        <v>688.2</v>
      </c>
      <c r="AD76" s="137"/>
      <c r="AE76" s="153">
        <f>AE65</f>
        <v>898.2</v>
      </c>
      <c r="AF76" s="137"/>
      <c r="AG76" s="153">
        <f>AG65</f>
        <v>793.2</v>
      </c>
      <c r="AH76" s="137"/>
      <c r="AI76" s="153">
        <f>SUM(AA76,AC76,AE76,AG76)</f>
        <v>7450.2999999999993</v>
      </c>
      <c r="AJ76" s="154">
        <f>SUM(AA76,AC76)</f>
        <v>5758.9</v>
      </c>
      <c r="AK76" s="154">
        <f>SUM(AE76,AG76)</f>
        <v>1691.4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18382.826666666671</v>
      </c>
      <c r="J77" s="100">
        <f t="shared" si="75"/>
        <v>18382.826666666671</v>
      </c>
      <c r="K77" s="40"/>
      <c r="L77" s="22">
        <f>-(L131*G$37*F$9/F$7)/B$130</f>
        <v>-0.3448547380532524</v>
      </c>
      <c r="M77" s="24">
        <f>-J77/B$76</f>
        <v>-0.3448547380532524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1976.1545905060577</v>
      </c>
      <c r="AB77" s="112"/>
      <c r="AC77" s="111">
        <f>AC31*$I$83/4</f>
        <v>7710.6147701825212</v>
      </c>
      <c r="AD77" s="112"/>
      <c r="AE77" s="111">
        <f>AE31*$I$83/4</f>
        <v>7486.0300052922285</v>
      </c>
      <c r="AF77" s="112"/>
      <c r="AG77" s="111">
        <f>AG31*$I$83/4</f>
        <v>7493.9410757235455</v>
      </c>
      <c r="AH77" s="110"/>
      <c r="AI77" s="154">
        <f>SUM(AA77,AC77,AE77,AG77)</f>
        <v>24666.740441704351</v>
      </c>
      <c r="AJ77" s="153">
        <f>SUM(AA77,AC77)</f>
        <v>9686.7693606885787</v>
      </c>
      <c r="AK77" s="160">
        <f>SUM(AE77,AG77)</f>
        <v>14979.971081015774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-156.8433863083601</v>
      </c>
      <c r="AB79" s="112"/>
      <c r="AC79" s="112">
        <f>AA79-AA74+AC65-AC70</f>
        <v>-4539.3433863083601</v>
      </c>
      <c r="AD79" s="112"/>
      <c r="AE79" s="112">
        <f>AC79-AC74+AE65-AE70</f>
        <v>-4329.3433863083601</v>
      </c>
      <c r="AF79" s="112"/>
      <c r="AG79" s="112">
        <f>AE79-AE74+AG65-AG70</f>
        <v>-4434.3433863083601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1.5188831011784138E-2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1.5188831011784138E-2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</v>
      </c>
      <c r="I103" s="22">
        <f t="shared" si="88"/>
        <v>0</v>
      </c>
      <c r="J103" s="24">
        <f t="shared" si="89"/>
        <v>0</v>
      </c>
      <c r="K103" s="22">
        <f t="shared" si="90"/>
        <v>1.8706976174615366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1.2898242022569042</v>
      </c>
      <c r="J119" s="24">
        <f>SUM(J91:J118)</f>
        <v>1.2898242022569042</v>
      </c>
      <c r="K119" s="22">
        <f>SUM(K91:K118)</f>
        <v>4.5285834330792314</v>
      </c>
      <c r="L119" s="22">
        <f>SUM(L91:L118)</f>
        <v>1.368075000127106</v>
      </c>
      <c r="M119" s="57">
        <f t="shared" si="80"/>
        <v>1.2898242022569042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0.21321032969544618</v>
      </c>
      <c r="J125" s="236">
        <f>IF(SUMPRODUCT($B$124:$B125,$H$124:$H125)&lt;J$119,($B125*$H125),IF(SUMPRODUCT($B$124:$B124,$H$124:$H124)&lt;J$119,J$119-SUMPRODUCT($B$124:$B124,$H$124:$H124),0))</f>
        <v>0.21321032969544618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0.29146112756564801</v>
      </c>
      <c r="M125" s="239">
        <f t="shared" si="93"/>
        <v>0.21321032969544618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0.21321032969544618</v>
      </c>
      <c r="J128" s="227">
        <f>(J30)</f>
        <v>0.21321032969544618</v>
      </c>
      <c r="K128" s="29">
        <f>(B128)</f>
        <v>0.58958408107098381</v>
      </c>
      <c r="L128" s="29">
        <f>IF(L124=L119,0,(L119-L124)/(B119-B124)*K128)</f>
        <v>5.2716489398852068E-2</v>
      </c>
      <c r="M128" s="239">
        <f t="shared" si="93"/>
        <v>0.21321032969544618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1.2898242022569042</v>
      </c>
      <c r="J130" s="227">
        <f>(J119)</f>
        <v>1.2898242022569042</v>
      </c>
      <c r="K130" s="29">
        <f>(B130)</f>
        <v>4.5285834330792314</v>
      </c>
      <c r="L130" s="29">
        <f>(L119)</f>
        <v>1.368075000127106</v>
      </c>
      <c r="M130" s="239">
        <f t="shared" si="93"/>
        <v>1.2898242022569042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0.94648694155565871</v>
      </c>
      <c r="J131" s="236">
        <f>IF(SUMPRODUCT($B124:$B125,$H124:$H125)&gt;(J119-J128),SUMPRODUCT($B124:$B125,$H124:$H125)+J128-J119,0)</f>
        <v>0.94648694155565871</v>
      </c>
      <c r="K131" s="29"/>
      <c r="L131" s="29">
        <f>IF(I131&lt;SUM(L126:L127),0,I131-(SUM(L126:L127)))</f>
        <v>0.94648694155565871</v>
      </c>
      <c r="M131" s="236">
        <f>IF(I131&lt;SUM(M126:M127),0,I131-(SUM(M126:M127)))</f>
        <v>0.94648694155565871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6814.0638253633415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0.25085930491391095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0.25085930491391095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5252.4425796988826</v>
      </c>
      <c r="U8" s="222">
        <v>2</v>
      </c>
      <c r="V8" s="56"/>
      <c r="W8" s="115"/>
      <c r="X8" s="118">
        <f>Poor!X8</f>
        <v>1</v>
      </c>
      <c r="Y8" s="183">
        <f t="shared" si="9"/>
        <v>1.0034372196556438</v>
      </c>
      <c r="Z8" s="125">
        <f>IF($Y8=0,0,AA8/$Y8)</f>
        <v>0.46652611640413527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0.46812966914131071</v>
      </c>
      <c r="AB8" s="125">
        <f>IF($Y8=0,0,AC8/$Y8)</f>
        <v>0.46652611640413527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0.46812966914131071</v>
      </c>
      <c r="AD8" s="125">
        <f>IF($Y8=0,0,AE8/$Y8)</f>
        <v>6.6947767191729513E-2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6.7177881373022386E-2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0.25085930491391095</v>
      </c>
      <c r="AJ8" s="120">
        <f t="shared" si="14"/>
        <v>0.46812966914131071</v>
      </c>
      <c r="AK8" s="119">
        <f t="shared" si="15"/>
        <v>3.3588940686511193E-2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0.46652611640413527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1.1779972842386098E-2</v>
      </c>
      <c r="AB9" s="125">
        <f>IF($Y9=0,0,AC9/$Y9)</f>
        <v>0.46652611640413527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1.1779972842386098E-2</v>
      </c>
      <c r="AD9" s="125">
        <f>IF($Y9=0,0,AE9/$Y9)</f>
        <v>6.6947767191729485E-2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1.6904581579604144E-3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1.1779972842386098E-2</v>
      </c>
      <c r="AK9" s="119">
        <f t="shared" si="15"/>
        <v>8.4522907898020722E-4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9.366763292864394E-2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9.366763292864394E-2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0.37467053171457576</v>
      </c>
      <c r="Z10" s="125">
        <f>IF($Y10=0,0,AA10/$Y10)</f>
        <v>0.46652611640413533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0.17479358809187345</v>
      </c>
      <c r="AB10" s="125">
        <f>IF($Y10=0,0,AC10/$Y10)</f>
        <v>0.46652611640413533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0.17479358809187345</v>
      </c>
      <c r="AD10" s="125">
        <f>IF($Y10=0,0,AE10/$Y10)</f>
        <v>6.6947767191729318E-2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2.5083355530828855E-2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9.366763292864394E-2</v>
      </c>
      <c r="AJ10" s="120">
        <f t="shared" si="14"/>
        <v>0.17479358809187345</v>
      </c>
      <c r="AK10" s="119">
        <f t="shared" si="15"/>
        <v>1.2541677765414427E-2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20733.121494092873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54530.861451792851</v>
      </c>
      <c r="T23" s="179">
        <f>SUM(T7:T22)</f>
        <v>61238.276422542811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-2.0766187234804011E-3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-2.0766187234804011E-3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-8.3064748939216046E-3</v>
      </c>
      <c r="Z27" s="156">
        <f>Poor!Z27</f>
        <v>0.25</v>
      </c>
      <c r="AA27" s="121">
        <f t="shared" si="16"/>
        <v>-2.0766187234804011E-3</v>
      </c>
      <c r="AB27" s="156">
        <f>Poor!AB27</f>
        <v>0.25</v>
      </c>
      <c r="AC27" s="121">
        <f t="shared" si="7"/>
        <v>-2.0766187234804011E-3</v>
      </c>
      <c r="AD27" s="156">
        <f>Poor!AD27</f>
        <v>0.25</v>
      </c>
      <c r="AE27" s="121">
        <f t="shared" si="8"/>
        <v>-2.0766187234804011E-3</v>
      </c>
      <c r="AF27" s="122">
        <f t="shared" si="10"/>
        <v>0.25</v>
      </c>
      <c r="AG27" s="121">
        <f t="shared" si="11"/>
        <v>-2.0766187234804011E-3</v>
      </c>
      <c r="AH27" s="123">
        <f t="shared" si="12"/>
        <v>1</v>
      </c>
      <c r="AI27" s="183">
        <f t="shared" si="13"/>
        <v>-2.0766187234804011E-3</v>
      </c>
      <c r="AJ27" s="120">
        <f t="shared" si="14"/>
        <v>-2.0766187234804011E-3</v>
      </c>
      <c r="AK27" s="119">
        <f t="shared" si="15"/>
        <v>-2.0766187234804011E-3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0.21738358849372641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0.21738358849372641</v>
      </c>
      <c r="N29" s="228"/>
      <c r="P29" s="22"/>
      <c r="V29" s="56"/>
      <c r="W29" s="110"/>
      <c r="X29" s="118"/>
      <c r="Y29" s="183">
        <f t="shared" si="9"/>
        <v>0.86953435397490564</v>
      </c>
      <c r="Z29" s="156">
        <f>Poor!Z29</f>
        <v>0.25</v>
      </c>
      <c r="AA29" s="121">
        <f t="shared" si="16"/>
        <v>0.21738358849372641</v>
      </c>
      <c r="AB29" s="156">
        <f>Poor!AB29</f>
        <v>0.25</v>
      </c>
      <c r="AC29" s="121">
        <f t="shared" si="7"/>
        <v>0.21738358849372641</v>
      </c>
      <c r="AD29" s="156">
        <f>Poor!AD29</f>
        <v>0.25</v>
      </c>
      <c r="AE29" s="121">
        <f t="shared" si="8"/>
        <v>0.21738358849372641</v>
      </c>
      <c r="AF29" s="122">
        <f t="shared" si="10"/>
        <v>0.25</v>
      </c>
      <c r="AG29" s="121">
        <f t="shared" si="11"/>
        <v>0.21738358849372641</v>
      </c>
      <c r="AH29" s="123">
        <f t="shared" si="12"/>
        <v>1</v>
      </c>
      <c r="AI29" s="183">
        <f t="shared" si="13"/>
        <v>0.21738358849372641</v>
      </c>
      <c r="AJ29" s="120">
        <f t="shared" si="14"/>
        <v>0.21738358849372641</v>
      </c>
      <c r="AK29" s="119">
        <f t="shared" si="15"/>
        <v>0.21738358849372641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1.5731067511404102</v>
      </c>
      <c r="J30" s="230">
        <f>IF(I$32&lt;=1,I30,1-SUM(J6:J29))</f>
        <v>0.28666276190033435</v>
      </c>
      <c r="K30" s="22">
        <f t="shared" si="4"/>
        <v>0.54316672549368428</v>
      </c>
      <c r="L30" s="22">
        <f>IF(L124=L119,0,IF(K30="",0,(L119-L124)/(B119-B124)*K30))</f>
        <v>0.11793749075393085</v>
      </c>
      <c r="M30" s="175">
        <f t="shared" si="6"/>
        <v>0.28666276190033435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1.1466510476013374</v>
      </c>
      <c r="Z30" s="122">
        <f>IF($Y30=0,0,AA30/($Y$30))</f>
        <v>9.682309425763103E-17</v>
      </c>
      <c r="AA30" s="187">
        <f>IF(AA79*4/$I$84+SUM(AA6:AA29)&lt;1,AA79*4/$I$84,1-SUM(AA6:AA29))</f>
        <v>1.1102230246251565E-16</v>
      </c>
      <c r="AB30" s="122">
        <f>IF($Y30=0,0,AC30/($Y$30))</f>
        <v>9.682309425763103E-17</v>
      </c>
      <c r="AC30" s="187">
        <f>IF(AC79*4/$I$84+SUM(AC6:AC29)&lt;1,AC79*4/$I$84,1-SUM(AC6:AC29))</f>
        <v>1.1102230246251565E-16</v>
      </c>
      <c r="AD30" s="122">
        <f>IF($Y30=0,0,AE30/($Y$30))</f>
        <v>0.48005276999557051</v>
      </c>
      <c r="AE30" s="187">
        <f>IF(AE79*4/$I$84+SUM(AE6:AE29)&lt;1,AE79*4/$I$84,1-SUM(AE6:AE29))</f>
        <v>0.55045301161934479</v>
      </c>
      <c r="AF30" s="122">
        <f>IF($Y30=0,0,AG30/($Y$30))</f>
        <v>0.51994723000442955</v>
      </c>
      <c r="AG30" s="187">
        <f>IF(AG79*4/$I$84+SUM(AG6:AG29)&lt;1,AG79*4/$I$84,1-SUM(AG6:AG29))</f>
        <v>0.59619803598199261</v>
      </c>
      <c r="AH30" s="123">
        <f t="shared" si="12"/>
        <v>1.0000000000000002</v>
      </c>
      <c r="AI30" s="183">
        <f t="shared" si="13"/>
        <v>0.28666276190033441</v>
      </c>
      <c r="AJ30" s="120">
        <f t="shared" si="14"/>
        <v>1.1102230246251565E-16</v>
      </c>
      <c r="AK30" s="119">
        <f t="shared" si="15"/>
        <v>0.5733255238006687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0.39305281725769214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2.2594023371561782</v>
      </c>
      <c r="J32" s="17"/>
      <c r="L32" s="22">
        <f>SUM(L6:L30)</f>
        <v>0.60694718274230786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32559.292186935883</v>
      </c>
      <c r="T32" s="233">
        <f t="shared" si="24"/>
        <v>25851.877216185923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1.1370683505640959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4.805601983819837E-2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453.6488272725926</v>
      </c>
      <c r="AF37" s="122">
        <f t="shared" ref="AF37:AF64" si="29">1-SUM(Z37,AB37,AD37)</f>
        <v>0.9519439801618016</v>
      </c>
      <c r="AG37" s="147">
        <f>$J37*AF37</f>
        <v>8986.3511727274072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6223.4813073312662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7.2475617879716625E-2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4.805601983819837E-2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299.07574116776806</v>
      </c>
      <c r="AF38" s="122">
        <f t="shared" si="29"/>
        <v>0.9519439801618016</v>
      </c>
      <c r="AG38" s="147">
        <f t="shared" ref="AG38:AG64" si="36">$J38*AF38</f>
        <v>5924.4055661634975</v>
      </c>
      <c r="AH38" s="123">
        <f t="shared" ref="AH38:AI58" si="37">SUM(Z38,AB38,AD38,AF38)</f>
        <v>1</v>
      </c>
      <c r="AI38" s="112">
        <f t="shared" si="37"/>
        <v>6223.4813073312653</v>
      </c>
      <c r="AJ38" s="148">
        <f t="shared" ref="AJ38:AJ64" si="38">(AA38+AC38)</f>
        <v>0</v>
      </c>
      <c r="AK38" s="147">
        <f t="shared" ref="AK38:AK64" si="39">(AE38+AG38)</f>
        <v>6223.4813073312653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0.46652611640413527</v>
      </c>
      <c r="AA39" s="147">
        <f t="shared" ref="AA39:AA64" si="40">$J39*Z39</f>
        <v>440.40065388550374</v>
      </c>
      <c r="AB39" s="122">
        <f>AB8</f>
        <v>0.46652611640413527</v>
      </c>
      <c r="AC39" s="147">
        <f t="shared" ref="AC39:AC64" si="41">$J39*AB39</f>
        <v>440.40065388550374</v>
      </c>
      <c r="AD39" s="122">
        <f>AD8</f>
        <v>6.6947767191729513E-2</v>
      </c>
      <c r="AE39" s="147">
        <f t="shared" ref="AE39:AE64" si="42">$J39*AD39</f>
        <v>63.19869222899267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944.00000000000011</v>
      </c>
      <c r="AJ39" s="148">
        <f t="shared" si="38"/>
        <v>880.80130777100749</v>
      </c>
      <c r="AK39" s="147">
        <f t="shared" si="39"/>
        <v>63.19869222899267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0.46652611640413527</v>
      </c>
      <c r="AA40" s="147">
        <f t="shared" si="40"/>
        <v>715.65106256394358</v>
      </c>
      <c r="AB40" s="122">
        <f>AB9</f>
        <v>0.46652611640413527</v>
      </c>
      <c r="AC40" s="147">
        <f t="shared" si="41"/>
        <v>715.65106256394358</v>
      </c>
      <c r="AD40" s="122">
        <f>AD9</f>
        <v>6.6947767191729485E-2</v>
      </c>
      <c r="AE40" s="147">
        <f t="shared" si="42"/>
        <v>102.69787487211305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1431.3021251278872</v>
      </c>
      <c r="AK40" s="147">
        <f t="shared" si="39"/>
        <v>102.69787487211305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-138.16489736860865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-1.6090007845418499E-3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-138.16489736860865</v>
      </c>
      <c r="AH41" s="123">
        <f t="shared" si="37"/>
        <v>1</v>
      </c>
      <c r="AI41" s="112">
        <f t="shared" si="37"/>
        <v>-138.16489736860865</v>
      </c>
      <c r="AJ41" s="148">
        <f t="shared" si="38"/>
        <v>0</v>
      </c>
      <c r="AK41" s="147">
        <f t="shared" si="39"/>
        <v>-138.16489736860865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-95.947845394867187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-1.1173616559318411E-3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-23.986961348716797</v>
      </c>
      <c r="AB43" s="156">
        <f>Poor!AB43</f>
        <v>0.25</v>
      </c>
      <c r="AC43" s="147">
        <f t="shared" si="41"/>
        <v>-23.986961348716797</v>
      </c>
      <c r="AD43" s="156">
        <f>Poor!AD43</f>
        <v>0.25</v>
      </c>
      <c r="AE43" s="147">
        <f t="shared" si="42"/>
        <v>-23.986961348716797</v>
      </c>
      <c r="AF43" s="122">
        <f t="shared" si="29"/>
        <v>0.25</v>
      </c>
      <c r="AG43" s="147">
        <f t="shared" si="36"/>
        <v>-23.986961348716797</v>
      </c>
      <c r="AH43" s="123">
        <f t="shared" si="37"/>
        <v>1</v>
      </c>
      <c r="AI43" s="112">
        <f t="shared" si="37"/>
        <v>-95.947845394867187</v>
      </c>
      <c r="AJ43" s="148">
        <f t="shared" si="38"/>
        <v>-47.973922697433593</v>
      </c>
      <c r="AK43" s="147">
        <f t="shared" si="39"/>
        <v>-47.973922697433593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8.8738791195993941E-2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45030.400000000001</v>
      </c>
      <c r="J65" s="39">
        <f>SUM(J37:J64)</f>
        <v>45119.768564567785</v>
      </c>
      <c r="K65" s="40">
        <f>SUM(K37:K64)</f>
        <v>1</v>
      </c>
      <c r="L65" s="22">
        <f>SUM(L37:L64)</f>
        <v>0.51680913008035401</v>
      </c>
      <c r="M65" s="24">
        <f>SUM(M37:M64)</f>
        <v>0.52544274559878634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7935.16475510073</v>
      </c>
      <c r="AB65" s="137"/>
      <c r="AC65" s="153">
        <f>SUM(AC37:AC64)</f>
        <v>6727.66475510073</v>
      </c>
      <c r="AD65" s="137"/>
      <c r="AE65" s="153">
        <f>SUM(AE37:AE64)</f>
        <v>8905.2341741927485</v>
      </c>
      <c r="AF65" s="137"/>
      <c r="AG65" s="153">
        <f>SUM(AG37:AG64)</f>
        <v>21551.70488017358</v>
      </c>
      <c r="AH65" s="137"/>
      <c r="AI65" s="153">
        <f>SUM(AI37:AI64)</f>
        <v>45119.768564567785</v>
      </c>
      <c r="AJ65" s="153">
        <f>SUM(AJ37:AJ64)</f>
        <v>14662.82951020146</v>
      </c>
      <c r="AK65" s="153">
        <f>SUM(AK37:AK64)</f>
        <v>30456.939054366328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5866.7330546631156</v>
      </c>
      <c r="K72" s="40">
        <f t="shared" si="47"/>
        <v>0.28270641667637125</v>
      </c>
      <c r="L72" s="22">
        <f t="shared" si="45"/>
        <v>9.3079637397045403E-2</v>
      </c>
      <c r="M72" s="24">
        <f t="shared" si="48"/>
        <v>6.8321102301887912E-2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26733.998147920738</v>
      </c>
      <c r="J74" s="51">
        <f t="shared" si="44"/>
        <v>4871.6603244920861</v>
      </c>
      <c r="K74" s="40">
        <f>B74/B$76</f>
        <v>6.514985729326056E-2</v>
      </c>
      <c r="L74" s="22">
        <f t="shared" si="45"/>
        <v>2.3340821605952255E-2</v>
      </c>
      <c r="M74" s="24">
        <f>J74/B$76</f>
        <v>5.6732972219542169E-2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8.7355764567959832E-13</v>
      </c>
      <c r="AB74" s="156"/>
      <c r="AC74" s="147">
        <f>AC30*$I$84/4</f>
        <v>8.7355764567959832E-13</v>
      </c>
      <c r="AD74" s="156"/>
      <c r="AE74" s="147">
        <f>AE30*$I$84/4</f>
        <v>4331.1337111729345</v>
      </c>
      <c r="AF74" s="156"/>
      <c r="AG74" s="147">
        <f>AG30*$I$84/4</f>
        <v>4691.0696420394597</v>
      </c>
      <c r="AH74" s="155"/>
      <c r="AI74" s="147">
        <f>SUM(AA74,AC74,AE74,AG74)</f>
        <v>9022.2033532123969</v>
      </c>
      <c r="AJ74" s="148">
        <f>(AA74+AC74)</f>
        <v>1.7471152913591966E-12</v>
      </c>
      <c r="AK74" s="147">
        <f>(AE74+AG74)</f>
        <v>9022.2033532123933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-7.5470276286313373E-12</v>
      </c>
      <c r="K75" s="40">
        <f>B75/B$76</f>
        <v>9.1992429895463829E-2</v>
      </c>
      <c r="L75" s="22">
        <f t="shared" si="45"/>
        <v>0</v>
      </c>
      <c r="M75" s="24">
        <f>J75/B$76</f>
        <v>-8.7888990667652704E-17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17805.662417992549</v>
      </c>
      <c r="AB75" s="158"/>
      <c r="AC75" s="149">
        <f>AA75+AC65-SUM(AC70,AC74)</f>
        <v>19959.226710073464</v>
      </c>
      <c r="AD75" s="158"/>
      <c r="AE75" s="149">
        <f>AC75+AE65-SUM(AE70,AE74)</f>
        <v>19959.226710073464</v>
      </c>
      <c r="AF75" s="158"/>
      <c r="AG75" s="149">
        <f>IF(SUM(AG6:AG29)+((AG65-AG70-$J$75)*4/I$83)&lt;1,0,AG65-AG70-$J$75-(1-SUM(AG6:AG29))*I$83/4)</f>
        <v>14444.598125911632</v>
      </c>
      <c r="AH75" s="134"/>
      <c r="AI75" s="149">
        <f>AI76-SUM(AI70,AI74)</f>
        <v>17801.163359276128</v>
      </c>
      <c r="AJ75" s="151">
        <f>AJ76-SUM(AJ70,AJ74)</f>
        <v>5514.6285841618283</v>
      </c>
      <c r="AK75" s="149">
        <f>AJ75+AK76-SUM(AK70,AK74)</f>
        <v>17801.163359276132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45030.399999999994</v>
      </c>
      <c r="J76" s="51">
        <f t="shared" si="44"/>
        <v>45119.768564567792</v>
      </c>
      <c r="K76" s="40">
        <f>SUM(K70:K75)</f>
        <v>0.99999999999999989</v>
      </c>
      <c r="L76" s="22">
        <f>SUM(L70:L75)</f>
        <v>0.51680913008035412</v>
      </c>
      <c r="M76" s="24">
        <f>SUM(M70:M75)</f>
        <v>0.52544274559878645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7935.16475510073</v>
      </c>
      <c r="AB76" s="137"/>
      <c r="AC76" s="153">
        <f>AC65</f>
        <v>6727.66475510073</v>
      </c>
      <c r="AD76" s="137"/>
      <c r="AE76" s="153">
        <f>AE65</f>
        <v>8905.2341741927485</v>
      </c>
      <c r="AF76" s="137"/>
      <c r="AG76" s="153">
        <f>AG65</f>
        <v>21551.70488017358</v>
      </c>
      <c r="AH76" s="137"/>
      <c r="AI76" s="153">
        <f>SUM(AA76,AC76,AE76,AG76)</f>
        <v>45119.768564567785</v>
      </c>
      <c r="AJ76" s="154">
        <f>SUM(AA76,AC76)</f>
        <v>14662.82951020146</v>
      </c>
      <c r="AK76" s="154">
        <f>SUM(AE76,AG76)</f>
        <v>30456.939054366328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-9.4238090952009412E-2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14444.598125911632</v>
      </c>
      <c r="AB78" s="112"/>
      <c r="AC78" s="112">
        <f>IF(AA75&lt;0,0,AA75)</f>
        <v>17805.662417992549</v>
      </c>
      <c r="AD78" s="112"/>
      <c r="AE78" s="112">
        <f>AC75</f>
        <v>19959.226710073464</v>
      </c>
      <c r="AF78" s="112"/>
      <c r="AG78" s="112">
        <f>AE75</f>
        <v>19959.226710073464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17805.662417992549</v>
      </c>
      <c r="AB79" s="112"/>
      <c r="AC79" s="112">
        <f>AA79-AA74+AC65-AC70</f>
        <v>19959.226710073464</v>
      </c>
      <c r="AD79" s="112"/>
      <c r="AE79" s="112">
        <f>AC79-AC74+AE65-AE70</f>
        <v>24290.360421246398</v>
      </c>
      <c r="AF79" s="112"/>
      <c r="AG79" s="112">
        <f>AE79-AE74+AG65-AG70</f>
        <v>36936.831127227226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0.36620786782393056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0.36620786782393056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-8.1300272267013918E-3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-8.1300272267013918E-3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-5.6458522407648593E-3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-5.6458522407648593E-3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</v>
      </c>
      <c r="I103" s="22">
        <f t="shared" si="58"/>
        <v>0</v>
      </c>
      <c r="J103" s="24">
        <f t="shared" si="59"/>
        <v>0</v>
      </c>
      <c r="K103" s="22">
        <f t="shared" si="60"/>
        <v>0.73983214454687474</v>
      </c>
      <c r="L103" s="22">
        <f t="shared" si="61"/>
        <v>0</v>
      </c>
      <c r="M103" s="226">
        <f t="shared" si="62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2.6497206237018682</v>
      </c>
      <c r="J119" s="24">
        <f>SUM(J91:J118)</f>
        <v>2.6549793317889807</v>
      </c>
      <c r="K119" s="22">
        <f>SUM(K91:K118)</f>
        <v>8.3371897968819066</v>
      </c>
      <c r="L119" s="22">
        <f>SUM(L91:L118)</f>
        <v>2.6113550340856619</v>
      </c>
      <c r="M119" s="57">
        <f t="shared" si="49"/>
        <v>2.6549793317889807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0.3452157557715303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0.47031672921461487</v>
      </c>
      <c r="M126" s="57">
        <f t="shared" si="65"/>
        <v>0.3452157557715303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1.5731067511404102</v>
      </c>
      <c r="J128" s="227">
        <f>(J30)</f>
        <v>0.28666276190033435</v>
      </c>
      <c r="K128" s="22">
        <f>(B128)</f>
        <v>0.54316672549368428</v>
      </c>
      <c r="L128" s="22">
        <f>IF(L124=L119,0,(L119-L124)/(B119-B124)*K128)</f>
        <v>0.11793749075393085</v>
      </c>
      <c r="M128" s="57">
        <f t="shared" si="63"/>
        <v>0.28666276190033435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2.6497206237018682</v>
      </c>
      <c r="J130" s="227">
        <f>(J119)</f>
        <v>2.6549793317889807</v>
      </c>
      <c r="K130" s="22">
        <f>(B130)</f>
        <v>8.3371897968819066</v>
      </c>
      <c r="L130" s="22">
        <f>(L119)</f>
        <v>2.6113550340856619</v>
      </c>
      <c r="M130" s="57">
        <f t="shared" si="63"/>
        <v>2.6549793317889807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0.47617021234104362</v>
      </c>
      <c r="M131" s="236">
        <f>IF(I131&lt;SUM(M126:M127),0,I131-(SUM(M126:M127)))</f>
        <v>0.60127118578412819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926.40555153396406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2.9347211928502783E-2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2.9347211928502783E-2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3241.7684285637906</v>
      </c>
      <c r="U8" s="222">
        <v>2</v>
      </c>
      <c r="V8" s="56"/>
      <c r="W8" s="115"/>
      <c r="X8" s="118">
        <f>Poor!X8</f>
        <v>1</v>
      </c>
      <c r="Y8" s="183">
        <f t="shared" si="9"/>
        <v>0.11738884771401113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0.11738884771401113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2.9347211928502783E-2</v>
      </c>
      <c r="AJ8" s="120">
        <f t="shared" si="14"/>
        <v>5.8694423857005566E-2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7.3041003585324425E-3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7.3041003585324425E-3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2.921640143412977E-2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2.921640143412977E-2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7.3041003585324425E-3</v>
      </c>
      <c r="AJ10" s="120">
        <f t="shared" si="14"/>
        <v>1.4608200717064885E-2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19386.805045970756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145899.11430827991</v>
      </c>
      <c r="T23" s="179">
        <f>SUM(T7:T22)</f>
        <v>146127.60572625403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3.1696311993687012E-2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3.1696311993687012E-2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0.12678524797474805</v>
      </c>
      <c r="Z27" s="156">
        <f>Poor!Z27</f>
        <v>0.25</v>
      </c>
      <c r="AA27" s="121">
        <f t="shared" si="16"/>
        <v>3.1696311993687012E-2</v>
      </c>
      <c r="AB27" s="156">
        <f>Poor!AB27</f>
        <v>0.25</v>
      </c>
      <c r="AC27" s="121">
        <f t="shared" si="7"/>
        <v>3.1696311993687012E-2</v>
      </c>
      <c r="AD27" s="156">
        <f>Poor!AD27</f>
        <v>0.25</v>
      </c>
      <c r="AE27" s="121">
        <f t="shared" si="8"/>
        <v>3.1696311993687012E-2</v>
      </c>
      <c r="AF27" s="122">
        <f t="shared" si="10"/>
        <v>0.25</v>
      </c>
      <c r="AG27" s="121">
        <f t="shared" si="11"/>
        <v>3.1696311993687012E-2</v>
      </c>
      <c r="AH27" s="123">
        <f t="shared" si="12"/>
        <v>1</v>
      </c>
      <c r="AI27" s="183">
        <f t="shared" si="13"/>
        <v>3.1696311993687012E-2</v>
      </c>
      <c r="AJ27" s="120">
        <f t="shared" si="14"/>
        <v>3.1696311993687012E-2</v>
      </c>
      <c r="AK27" s="119">
        <f t="shared" si="15"/>
        <v>3.1696311993687012E-2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0.45692334005169682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0.45692334005169682</v>
      </c>
      <c r="N29" s="228"/>
      <c r="P29" s="22"/>
      <c r="V29" s="56"/>
      <c r="W29" s="110"/>
      <c r="X29" s="118"/>
      <c r="Y29" s="183">
        <f t="shared" si="9"/>
        <v>1.8276933602067873</v>
      </c>
      <c r="Z29" s="156">
        <f>Poor!Z29</f>
        <v>0.25</v>
      </c>
      <c r="AA29" s="121">
        <f t="shared" si="16"/>
        <v>0.45692334005169682</v>
      </c>
      <c r="AB29" s="156">
        <f>Poor!AB29</f>
        <v>0.25</v>
      </c>
      <c r="AC29" s="121">
        <f t="shared" si="7"/>
        <v>0.45692334005169682</v>
      </c>
      <c r="AD29" s="156">
        <f>Poor!AD29</f>
        <v>0.25</v>
      </c>
      <c r="AE29" s="121">
        <f t="shared" si="8"/>
        <v>0.45692334005169682</v>
      </c>
      <c r="AF29" s="122">
        <f t="shared" si="10"/>
        <v>0.25</v>
      </c>
      <c r="AG29" s="121">
        <f t="shared" si="11"/>
        <v>0.45692334005169682</v>
      </c>
      <c r="AH29" s="123">
        <f t="shared" si="12"/>
        <v>1</v>
      </c>
      <c r="AI29" s="183">
        <f t="shared" si="13"/>
        <v>0.45692334005169682</v>
      </c>
      <c r="AJ29" s="120">
        <f t="shared" si="14"/>
        <v>0.45692334005169682</v>
      </c>
      <c r="AK29" s="119">
        <f t="shared" si="15"/>
        <v>0.45692334005169682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6.3571346937635891</v>
      </c>
      <c r="J30" s="230">
        <f>IF(I$32&lt;=1,I30,1-SUM(J6:J29))</f>
        <v>0.42915304967754353</v>
      </c>
      <c r="K30" s="22">
        <f t="shared" si="4"/>
        <v>0.5065454465753424</v>
      </c>
      <c r="L30" s="22">
        <f>IF(L124=L119,0,IF(K30="",0,(L119-L124)/(B119-B124)*K30))</f>
        <v>0.18995027701023287</v>
      </c>
      <c r="M30" s="175">
        <f t="shared" si="6"/>
        <v>0.42915304967754353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1.7166121987101741</v>
      </c>
      <c r="Z30" s="122">
        <f>IF($Y30=0,0,AA30/($Y$30))</f>
        <v>0.18006256867570303</v>
      </c>
      <c r="AA30" s="187">
        <f>IF(AA79*4/$I$83+SUM(AA6:AA29)&lt;1,AA79*4/$I$83,1-SUM(AA6:AA29))</f>
        <v>0.30909760191980029</v>
      </c>
      <c r="AB30" s="122">
        <f>IF($Y30=0,0,AC30/($Y$30))</f>
        <v>0.29120791415109992</v>
      </c>
      <c r="AC30" s="187">
        <f>IF(AC79*4/$I$83+SUM(AC6:AC29)&lt;1,AC79*4/$I$83,1-SUM(AC6:AC29))</f>
        <v>0.49989105779272325</v>
      </c>
      <c r="AD30" s="122">
        <f>IF($Y30=0,0,AE30/($Y$30))</f>
        <v>0.2849086174478262</v>
      </c>
      <c r="AE30" s="187">
        <f>IF(AE79*4/$I$83+SUM(AE6:AE29)&lt;1,AE79*4/$I$83,1-SUM(AE6:AE29))</f>
        <v>0.48907760822858881</v>
      </c>
      <c r="AF30" s="122">
        <f>IF($Y30=0,0,AG30/($Y$30))</f>
        <v>0.24382089972537099</v>
      </c>
      <c r="AG30" s="187">
        <f>IF(AG79*4/$I$83+SUM(AG6:AG29)&lt;1,AG79*4/$I$83,1-SUM(AG6:AG29))</f>
        <v>0.41854593076906199</v>
      </c>
      <c r="AH30" s="123">
        <f t="shared" si="12"/>
        <v>1.0000000000000002</v>
      </c>
      <c r="AI30" s="183">
        <f t="shared" si="13"/>
        <v>0.42915304967754359</v>
      </c>
      <c r="AJ30" s="120">
        <f t="shared" si="14"/>
        <v>0.40449432985626177</v>
      </c>
      <c r="AK30" s="119">
        <f t="shared" si="15"/>
        <v>0.4538117694988254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0.23928842741068879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6.9298606990256362</v>
      </c>
      <c r="J32" s="17"/>
      <c r="L32" s="22">
        <f>SUM(L6:L30)</f>
        <v>0.76071157258931121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4.359664133610637E-2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4784.3050459707565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2.2279316789313486E-2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4784.3050459707565</v>
      </c>
      <c r="AH38" s="123">
        <f t="shared" ref="AH38:AI58" si="35">SUM(Z38,AB38,AD38,AF38)</f>
        <v>1</v>
      </c>
      <c r="AI38" s="112">
        <f t="shared" si="35"/>
        <v>4784.3050459707565</v>
      </c>
      <c r="AJ38" s="148">
        <f t="shared" ref="AJ38:AJ64" si="36">(AA38+AC38)</f>
        <v>0</v>
      </c>
      <c r="AK38" s="147">
        <f t="shared" ref="AK38:AK64" si="37">(AE38+AG38)</f>
        <v>4784.3050459707565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1446.0818782998072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6.7340430763418758E-3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1446.0818782998072</v>
      </c>
      <c r="AH41" s="123">
        <f t="shared" si="35"/>
        <v>1</v>
      </c>
      <c r="AI41" s="112">
        <f t="shared" si="35"/>
        <v>1446.0818782998072</v>
      </c>
      <c r="AJ41" s="148">
        <f t="shared" si="36"/>
        <v>0</v>
      </c>
      <c r="AK41" s="147">
        <f t="shared" si="37"/>
        <v>1446.0818782998072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115.68655026398454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5.3872344610734991E-4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28.921637565996136</v>
      </c>
      <c r="AB43" s="156">
        <f>Poor!AB43</f>
        <v>0.25</v>
      </c>
      <c r="AC43" s="147">
        <f t="shared" si="39"/>
        <v>28.921637565996136</v>
      </c>
      <c r="AD43" s="156">
        <f>Poor!AD43</f>
        <v>0.25</v>
      </c>
      <c r="AE43" s="147">
        <f t="shared" si="40"/>
        <v>28.921637565996136</v>
      </c>
      <c r="AF43" s="122">
        <f t="shared" si="31"/>
        <v>0.25</v>
      </c>
      <c r="AG43" s="147">
        <f t="shared" si="34"/>
        <v>28.921637565996136</v>
      </c>
      <c r="AH43" s="123">
        <f t="shared" si="35"/>
        <v>1</v>
      </c>
      <c r="AI43" s="112">
        <f t="shared" si="35"/>
        <v>115.68655026398454</v>
      </c>
      <c r="AJ43" s="148">
        <f t="shared" si="36"/>
        <v>57.843275131992272</v>
      </c>
      <c r="AK43" s="147">
        <f t="shared" si="37"/>
        <v>57.843275131992272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0</v>
      </c>
      <c r="F49" s="75">
        <f>Middle!F49</f>
        <v>1.18</v>
      </c>
      <c r="G49" s="22">
        <f t="shared" si="32"/>
        <v>1.65</v>
      </c>
      <c r="H49" s="24">
        <f t="shared" si="26"/>
        <v>0</v>
      </c>
      <c r="I49" s="39">
        <f t="shared" si="27"/>
        <v>0</v>
      </c>
      <c r="J49" s="38">
        <f t="shared" si="33"/>
        <v>0</v>
      </c>
      <c r="K49" s="40">
        <f t="shared" si="28"/>
        <v>3.5484441795270605E-2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144379.5</v>
      </c>
      <c r="J65" s="39">
        <f>SUM(J37:J64)</f>
        <v>144530.57347453455</v>
      </c>
      <c r="K65" s="40">
        <f>SUM(K37:K64)</f>
        <v>1.0000000000000002</v>
      </c>
      <c r="L65" s="22">
        <f>SUM(L37:L64)</f>
        <v>0.67307494574885207</v>
      </c>
      <c r="M65" s="24">
        <f>SUM(M37:M64)</f>
        <v>0.67304287691524967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32340.421637565996</v>
      </c>
      <c r="AB65" s="137"/>
      <c r="AC65" s="153">
        <f>SUM(AC37:AC64)</f>
        <v>30504.421637565996</v>
      </c>
      <c r="AD65" s="137"/>
      <c r="AE65" s="153">
        <f>SUM(AE37:AE64)</f>
        <v>31344.421637565996</v>
      </c>
      <c r="AF65" s="137"/>
      <c r="AG65" s="153">
        <f>SUM(AG37:AG64)</f>
        <v>50341.308561836559</v>
      </c>
      <c r="AH65" s="137"/>
      <c r="AI65" s="153">
        <f>SUM(AI37:AI64)</f>
        <v>144530.57347453455</v>
      </c>
      <c r="AJ65" s="153">
        <f>SUM(AJ37:AJ64)</f>
        <v>62844.843275131992</v>
      </c>
      <c r="AK65" s="153">
        <f>SUM(AK37:AK64)</f>
        <v>81685.730199402547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123469.32645476655</v>
      </c>
      <c r="J74" s="51">
        <f>J128*I$83</f>
        <v>8335.0818477507273</v>
      </c>
      <c r="K74" s="40">
        <f>B74/B$76</f>
        <v>2.7766116637823381E-2</v>
      </c>
      <c r="L74" s="22">
        <f>(L128*G$37*F$9/F$7)/B$130</f>
        <v>1.7179898883985047E-2</v>
      </c>
      <c r="M74" s="24">
        <f>J74/B$76</f>
        <v>3.8814399827470765E-2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1500.8362476282209</v>
      </c>
      <c r="AB74" s="156"/>
      <c r="AC74" s="147">
        <f>AC30*$I$83/4</f>
        <v>2427.2417991621851</v>
      </c>
      <c r="AD74" s="156"/>
      <c r="AE74" s="147">
        <f>AE30*$I$83/4</f>
        <v>2374.7366455571323</v>
      </c>
      <c r="AF74" s="156"/>
      <c r="AG74" s="147">
        <f>AG30*$I$83/4</f>
        <v>2032.2671554031899</v>
      </c>
      <c r="AH74" s="155"/>
      <c r="AI74" s="147">
        <f>SUM(AA74,AC74,AE74,AG74)</f>
        <v>8335.0818477507273</v>
      </c>
      <c r="AJ74" s="148">
        <f>(AA74+AC74)</f>
        <v>3928.078046790406</v>
      </c>
      <c r="AK74" s="147">
        <f>(AE74+AG74)</f>
        <v>4407.0038009603222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50948.571414883714</v>
      </c>
      <c r="K75" s="40">
        <f>B75/B$76</f>
        <v>0.64878292866648568</v>
      </c>
      <c r="L75" s="22">
        <f>(L129*G$37*F$9/F$7)/B$130</f>
        <v>0.25892137514764318</v>
      </c>
      <c r="M75" s="24">
        <f>J75/B$76</f>
        <v>0.23725480537055496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25612.042003629413</v>
      </c>
      <c r="AB75" s="158"/>
      <c r="AC75" s="149">
        <f>AA75+AC65-SUM(AC70,AC74)</f>
        <v>48461.678455724861</v>
      </c>
      <c r="AD75" s="158"/>
      <c r="AE75" s="149">
        <f>AC75+AE65-SUM(AE70,AE74)</f>
        <v>72203.820061425358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115285.31808155037</v>
      </c>
      <c r="AJ75" s="151">
        <f>AJ76-SUM(AJ70,AJ74)</f>
        <v>48461.678455724861</v>
      </c>
      <c r="AK75" s="149">
        <f>AJ75+AK76-SUM(AK70,AK74)</f>
        <v>115285.31808155036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144379.5</v>
      </c>
      <c r="J76" s="51">
        <f>J130*I$83</f>
        <v>144530.57347453455</v>
      </c>
      <c r="K76" s="40">
        <f>SUM(K70:K75)</f>
        <v>0.79825713336624071</v>
      </c>
      <c r="L76" s="22">
        <f>SUM(L70:L75)</f>
        <v>0.43501836312101672</v>
      </c>
      <c r="M76" s="24">
        <f>SUM(M70:M75)</f>
        <v>0.43498629428741414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32340.421637565996</v>
      </c>
      <c r="AB76" s="137"/>
      <c r="AC76" s="153">
        <f>AC65</f>
        <v>30504.421637565996</v>
      </c>
      <c r="AD76" s="137"/>
      <c r="AE76" s="153">
        <f>AE65</f>
        <v>31344.421637565996</v>
      </c>
      <c r="AF76" s="137"/>
      <c r="AG76" s="153">
        <f>AG65</f>
        <v>50341.308561836559</v>
      </c>
      <c r="AH76" s="137"/>
      <c r="AI76" s="153">
        <f>SUM(AA76,AC76,AE76,AG76)</f>
        <v>144530.57347453455</v>
      </c>
      <c r="AJ76" s="154">
        <f>SUM(AA76,AC76)</f>
        <v>62844.843275131992</v>
      </c>
      <c r="AK76" s="154">
        <f>SUM(AE76,AG76)</f>
        <v>81685.730199402547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25612.042003629413</v>
      </c>
      <c r="AD78" s="112"/>
      <c r="AE78" s="112">
        <f>AC75</f>
        <v>48461.678455724861</v>
      </c>
      <c r="AF78" s="112"/>
      <c r="AG78" s="112">
        <f>AE75</f>
        <v>72203.820061425358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27112.878251257633</v>
      </c>
      <c r="AB79" s="112"/>
      <c r="AC79" s="112">
        <f>AA79-AA74+AC65-AC70</f>
        <v>50888.920254887053</v>
      </c>
      <c r="AD79" s="112"/>
      <c r="AE79" s="112">
        <f>AC79-AC74+AE65-AE70</f>
        <v>74578.556706982505</v>
      </c>
      <c r="AF79" s="112"/>
      <c r="AG79" s="112">
        <f>AE79-AE74+AG65-AG70</f>
        <v>117317.58523695357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0.24633220627822372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0.24633220627822372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7.4455231453217557E-2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7.4455231453217557E-2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5.9564185162574029E-3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5.9564185162574029E-3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</v>
      </c>
      <c r="I103" s="22">
        <f t="shared" si="59"/>
        <v>0</v>
      </c>
      <c r="J103" s="24">
        <f t="shared" si="60"/>
        <v>0</v>
      </c>
      <c r="K103" s="22">
        <f t="shared" si="61"/>
        <v>0.64735312647851539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7.4337485663250478</v>
      </c>
      <c r="J119" s="24">
        <f>SUM(J91:J118)</f>
        <v>7.4415269713252794</v>
      </c>
      <c r="K119" s="22">
        <f>SUM(K91:K118)</f>
        <v>18.243294630741381</v>
      </c>
      <c r="L119" s="22">
        <f>SUM(L91:L118)</f>
        <v>7.4418815417373239</v>
      </c>
      <c r="M119" s="57">
        <f t="shared" si="50"/>
        <v>7.4415269713252794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6.3571346937635891</v>
      </c>
      <c r="J128" s="227">
        <f>(J30)</f>
        <v>0.42915304967754353</v>
      </c>
      <c r="K128" s="22">
        <f>(B128)</f>
        <v>0.5065454465753424</v>
      </c>
      <c r="L128" s="22">
        <f>IF(L124=L119,0,(L119-L124)/(B119-B124)*K128)</f>
        <v>0.18995027701023287</v>
      </c>
      <c r="M128" s="57">
        <f t="shared" si="90"/>
        <v>0.42915304967754353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2.6232177678389323</v>
      </c>
      <c r="K129" s="29">
        <f>(B129)</f>
        <v>11.835938119057971</v>
      </c>
      <c r="L129" s="60">
        <f>IF(SUM(L124:L128)&gt;L130,0,L130-SUM(L124:L128))</f>
        <v>2.8627751109182871</v>
      </c>
      <c r="M129" s="57">
        <f t="shared" si="90"/>
        <v>2.6232177678389323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7.4337485663250478</v>
      </c>
      <c r="J130" s="227">
        <f>(J119)</f>
        <v>7.4415269713252794</v>
      </c>
      <c r="K130" s="22">
        <f>(B130)</f>
        <v>18.243294630741381</v>
      </c>
      <c r="L130" s="22">
        <f>(L119)</f>
        <v>7.4418815417373239</v>
      </c>
      <c r="M130" s="57">
        <f t="shared" si="90"/>
        <v>7.4415269713252794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5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1351.9601796764625</v>
      </c>
      <c r="H72" s="109">
        <f>Middle!T7</f>
        <v>6814.0638253633415</v>
      </c>
      <c r="I72" s="109">
        <f>Rich!T7</f>
        <v>926.40555153396406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419.99999999999989</v>
      </c>
      <c r="H73" s="109">
        <f>Middle!T8</f>
        <v>5252.4425796988826</v>
      </c>
      <c r="I73" s="109">
        <f>Rich!T8</f>
        <v>3241.7684285637906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4277.5</v>
      </c>
      <c r="H76" s="109">
        <f>Middle!T11</f>
        <v>20733.121494092873</v>
      </c>
      <c r="I76" s="109">
        <f>Rich!T11</f>
        <v>19386.805045970756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7646.9995872137933</v>
      </c>
      <c r="G88" s="109">
        <f>Poor!T23</f>
        <v>28903.5465303577</v>
      </c>
      <c r="H88" s="109">
        <f>Middle!T23</f>
        <v>61238.276422542811</v>
      </c>
      <c r="I88" s="109">
        <f>Rich!T23</f>
        <v>146127.60572625403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28322.407384848266</v>
      </c>
      <c r="G98" s="238">
        <f t="shared" si="0"/>
        <v>7065.8604417043534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46705.234051514926</v>
      </c>
      <c r="G99" s="238">
        <f t="shared" si="0"/>
        <v>25448.687108371028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79443.154051514939</v>
      </c>
      <c r="G100" s="238">
        <f t="shared" si="0"/>
        <v>58186.607108371019</v>
      </c>
      <c r="H100" s="238">
        <f t="shared" si="0"/>
        <v>25851.877216185923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2016-06-07T04:56:28Z</dcterms:modified>
  <cp:category/>
</cp:coreProperties>
</file>