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880" yWindow="1160" windowWidth="22080" windowHeight="1254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E50" i="7"/>
  <c r="E50" i="8"/>
  <c r="H104" i="8"/>
  <c r="I104" i="8"/>
  <c r="B105" i="8"/>
  <c r="C105" i="8"/>
  <c r="D105" i="8"/>
  <c r="F51" i="7"/>
  <c r="F51" i="8"/>
  <c r="E51" i="7"/>
  <c r="E51" i="8"/>
  <c r="H105" i="8"/>
  <c r="I105" i="8"/>
  <c r="B106" i="8"/>
  <c r="C106" i="8"/>
  <c r="D106" i="8"/>
  <c r="F52" i="7"/>
  <c r="F52" i="8"/>
  <c r="E52" i="7"/>
  <c r="E52" i="8"/>
  <c r="H106" i="8"/>
  <c r="I106" i="8"/>
  <c r="B107" i="8"/>
  <c r="C107" i="8"/>
  <c r="D107" i="8"/>
  <c r="F53" i="7"/>
  <c r="F53" i="8"/>
  <c r="E53" i="7"/>
  <c r="E53" i="8"/>
  <c r="H107" i="8"/>
  <c r="I107" i="8"/>
  <c r="B108" i="8"/>
  <c r="C108" i="8"/>
  <c r="D108" i="8"/>
  <c r="F54" i="7"/>
  <c r="F54" i="8"/>
  <c r="E54" i="7"/>
  <c r="E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E57" i="7"/>
  <c r="E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E50" i="12"/>
  <c r="H104" i="12"/>
  <c r="I104" i="12"/>
  <c r="B105" i="12"/>
  <c r="C105" i="12"/>
  <c r="D105" i="12"/>
  <c r="F51" i="12"/>
  <c r="E51" i="12"/>
  <c r="H105" i="12"/>
  <c r="I105" i="12"/>
  <c r="B106" i="12"/>
  <c r="C106" i="12"/>
  <c r="D106" i="12"/>
  <c r="F52" i="12"/>
  <c r="E52" i="12"/>
  <c r="H106" i="12"/>
  <c r="I106" i="12"/>
  <c r="B107" i="12"/>
  <c r="C107" i="12"/>
  <c r="D107" i="12"/>
  <c r="F53" i="12"/>
  <c r="E53" i="12"/>
  <c r="H107" i="12"/>
  <c r="I107" i="12"/>
  <c r="B108" i="12"/>
  <c r="C108" i="12"/>
  <c r="D108" i="12"/>
  <c r="F54" i="12"/>
  <c r="E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E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8" i="7"/>
  <c r="E59" i="7"/>
  <c r="E60" i="7"/>
  <c r="F60" i="7"/>
  <c r="E61" i="7"/>
  <c r="E62" i="7"/>
  <c r="F62" i="7"/>
  <c r="E63" i="7"/>
  <c r="F63" i="7"/>
  <c r="E64" i="7"/>
  <c r="F64" i="7"/>
  <c r="E3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8" i="8"/>
  <c r="E59" i="8"/>
  <c r="E60" i="8"/>
  <c r="F60" i="8"/>
  <c r="E61" i="8"/>
  <c r="E62" i="8"/>
  <c r="F62" i="8"/>
  <c r="E63" i="8"/>
  <c r="F63" i="8"/>
  <c r="E64" i="8"/>
  <c r="F64" i="8"/>
  <c r="E3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J38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<sst xmlns="http://schemas.openxmlformats.org/spreadsheetml/2006/main" count="849" uniqueCount="189">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</sst>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0.00719550933997509</c:v>
                </c:pt>
                <c:pt idx="2" formatCode="0.0%">
                  <c:v>0.00719550933997509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0.00571932043897883</c:v>
                </c:pt>
                <c:pt idx="2" formatCode="0.0%">
                  <c:v>0.00571932043897883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0.00272222222222222</c:v>
                </c:pt>
                <c:pt idx="2" formatCode="0.0%">
                  <c:v>0.00272222222222222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0.0369660584682441</c:v>
                </c:pt>
                <c:pt idx="2" formatCode="0.0%">
                  <c:v>0.0369660584682441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0.0046765852117061</c:v>
                </c:pt>
                <c:pt idx="2" formatCode="0.0%">
                  <c:v>0.00362711530199253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0.00113625803237858</c:v>
                </c:pt>
                <c:pt idx="2" formatCode="0.0%">
                  <c:v>0.00308651207970112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0.000680896637608966</c:v>
                </c:pt>
                <c:pt idx="2" formatCode="0.0%">
                  <c:v>0.000818194271481943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0.000151774595267746</c:v>
                </c:pt>
                <c:pt idx="2" formatCode="0.0%">
                  <c:v>0.000182129514321295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0.00125786488169365</c:v>
                </c:pt>
                <c:pt idx="2" formatCode="0.0%">
                  <c:v>0.00125786488169365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0.000597974626400996</c:v>
                </c:pt>
                <c:pt idx="2" formatCode="0.0%">
                  <c:v>0.000597974626400996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0.000161846201743462</c:v>
                </c:pt>
                <c:pt idx="2" formatCode="0.0%">
                  <c:v>0.000193135118306351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0.000762539850560398</c:v>
                </c:pt>
                <c:pt idx="2" formatCode="0.0%">
                  <c:v>0.000762539850560398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0.000703652968036529</c:v>
                </c:pt>
                <c:pt idx="2" formatCode="0.0%">
                  <c:v>0.00214155251141552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0.00850521481942715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0.000424968866749689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569832"/>
        <c:axId val="-2010566536"/>
      </c:barChart>
      <c:catAx>
        <c:axId val="-201056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56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56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56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0.0725330564965577</c:v>
                </c:pt>
                <c:pt idx="2">
                  <c:v>0.0688860241507243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0.0151110534367829</c:v>
                </c:pt>
                <c:pt idx="2">
                  <c:v>0.0198521954863663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0.00322369139984701</c:v>
                </c:pt>
                <c:pt idx="2">
                  <c:v>0.00322369139984701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0.0039442410665501</c:v>
                </c:pt>
                <c:pt idx="2">
                  <c:v>0.00215935871085621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0.0166853349360726</c:v>
                </c:pt>
                <c:pt idx="2">
                  <c:v>0.0167978366118254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0.00239044913124249</c:v>
                </c:pt>
                <c:pt idx="2">
                  <c:v>0.00130870224900376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0.000267730302699158</c:v>
                </c:pt>
                <c:pt idx="2">
                  <c:v>0.000146574651888421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8.12752704622445E-5</c:v>
                </c:pt>
                <c:pt idx="2">
                  <c:v>4.44958764661279E-5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2.39044913124249E-5</c:v>
                </c:pt>
                <c:pt idx="2">
                  <c:v>1.30870224900376E-5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7.64943721997596E-5</c:v>
                </c:pt>
                <c:pt idx="2">
                  <c:v>4.18784719681204E-5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0.204690744180964</c:v>
                </c:pt>
                <c:pt idx="2">
                  <c:v>0.204690744180964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0.0363894656321713</c:v>
                </c:pt>
                <c:pt idx="2">
                  <c:v>0.0363894656321713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0.106768659162933</c:v>
                </c:pt>
                <c:pt idx="2">
                  <c:v>0.106768659162933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0.0258217681127746</c:v>
                </c:pt>
                <c:pt idx="2">
                  <c:v>0.0258217681127746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781192"/>
        <c:axId val="-2038785848"/>
      </c:barChart>
      <c:catAx>
        <c:axId val="-203878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8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8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8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0.0442879219609991</c:v>
                </c:pt>
                <c:pt idx="2">
                  <c:v>0.0442911923004515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0.013416433855264</c:v>
                </c:pt>
                <c:pt idx="2">
                  <c:v>0.0134215028814152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0.0032856572706769</c:v>
                </c:pt>
                <c:pt idx="2">
                  <c:v>0.0032856572706769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0.00350841369580754</c:v>
                </c:pt>
                <c:pt idx="2">
                  <c:v>0.00350422322694988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0.00471686730214125</c:v>
                </c:pt>
                <c:pt idx="2">
                  <c:v>0.00471686730214124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0.000280673095664603</c:v>
                </c:pt>
                <c:pt idx="2">
                  <c:v>0.000280337858155991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0.000105252410874226</c:v>
                </c:pt>
                <c:pt idx="2">
                  <c:v>0.000105126696808496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0.0129941247992872</c:v>
                </c:pt>
                <c:pt idx="2">
                  <c:v>0.0129941247992872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0.236567323488737</c:v>
                </c:pt>
                <c:pt idx="2">
                  <c:v>0.236567323488737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0.0827985632210579</c:v>
                </c:pt>
                <c:pt idx="2">
                  <c:v>0.0827985632210579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324056"/>
        <c:axId val="-2039331256"/>
      </c:barChart>
      <c:catAx>
        <c:axId val="-203932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33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33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324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0.0377189617695947</c:v>
                </c:pt>
                <c:pt idx="2">
                  <c:v>0.0188594808847973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0.00895825342027873</c:v>
                </c:pt>
                <c:pt idx="2">
                  <c:v>0.00895825342027873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0.000187955504411201</c:v>
                </c:pt>
                <c:pt idx="2">
                  <c:v>0.000143204193837105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0.0182137834036568</c:v>
                </c:pt>
                <c:pt idx="2">
                  <c:v>0.0182137834036568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0.00555875207773942</c:v>
                </c:pt>
                <c:pt idx="2">
                  <c:v>0.00555875207773942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0.0518028385116993</c:v>
                </c:pt>
                <c:pt idx="2">
                  <c:v>0.0518028385116993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066744"/>
        <c:axId val="-2046362264"/>
      </c:barChart>
      <c:catAx>
        <c:axId val="-204606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36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36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6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ZA1XX - Affected Area without Grants</a:t>
            </a:r>
          </a:p>
        </c:rich>
      </c:tx>
      <c:layout>
        <c:manualLayout>
          <c:xMode val="edge"/>
          <c:yMode val="edge"/>
          <c:x val="0.29944664300382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350.078507144885</c:v>
                </c:pt>
                <c:pt idx="5">
                  <c:v>756.733750538874</c:v>
                </c:pt>
                <c:pt idx="6">
                  <c:v>1133.076259105986</c:v>
                </c:pt>
                <c:pt idx="7">
                  <c:v>359.3505341525637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4.48</c:v>
                </c:pt>
                <c:pt idx="5">
                  <c:v>211.68</c:v>
                </c:pt>
                <c:pt idx="6">
                  <c:v>2288.209728892974</c:v>
                </c:pt>
                <c:pt idx="7">
                  <c:v>5319.494517282825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97.67916250578088</c:v>
                </c:pt>
                <c:pt idx="5">
                  <c:v>178.0716875408501</c:v>
                </c:pt>
                <c:pt idx="6">
                  <c:v>311.5259966391596</c:v>
                </c:pt>
                <c:pt idx="7">
                  <c:v>356.3278732293507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870.2499999999999</c:v>
                </c:pt>
                <c:pt idx="5">
                  <c:v>4375.44</c:v>
                </c:pt>
                <c:pt idx="6">
                  <c:v>10888.14869819753</c:v>
                </c:pt>
                <c:pt idx="7">
                  <c:v>15021.767980776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123.1307656596991</c:v>
                </c:pt>
                <c:pt idx="6">
                  <c:v>76.99959644075097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2440.8012997782</c:v>
                </c:pt>
                <c:pt idx="5">
                  <c:v>1117.4</c:v>
                </c:pt>
                <c:pt idx="6">
                  <c:v>26893.71428571429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14791.13142857143</c:v>
                </c:pt>
                <c:pt idx="7">
                  <c:v>78648.6857142857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346600"/>
        <c:axId val="-20394171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346600"/>
        <c:axId val="-2039417128"/>
      </c:lineChart>
      <c:catAx>
        <c:axId val="-204634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41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41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34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433448"/>
        <c:axId val="-20464446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433448"/>
        <c:axId val="-2046444632"/>
      </c:lineChart>
      <c:catAx>
        <c:axId val="-204643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444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44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43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742152"/>
        <c:axId val="-2046747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42152"/>
        <c:axId val="-2046747672"/>
      </c:lineChart>
      <c:catAx>
        <c:axId val="-2046742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74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74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74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0.367903210674826</c:v>
                </c:pt>
                <c:pt idx="2">
                  <c:v>0.354322684005802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-0.453447489547395</c:v>
                </c:pt>
                <c:pt idx="2">
                  <c:v>-0.453447489547395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639496"/>
        <c:axId val="-2144010072"/>
      </c:barChart>
      <c:catAx>
        <c:axId val="-214363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1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01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63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0.0333315076003412</c:v>
                </c:pt>
                <c:pt idx="2">
                  <c:v>0.0596473564836858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0.186536549744121</c:v>
                </c:pt>
                <c:pt idx="2">
                  <c:v>0.158357314588486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0.0333315076003412</c:v>
                </c:pt>
                <c:pt idx="2">
                  <c:v>0.0596473564836858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992056"/>
        <c:axId val="-2144295512"/>
      </c:barChart>
      <c:catAx>
        <c:axId val="-214399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29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29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99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0.0240627032794066</c:v>
                </c:pt>
                <c:pt idx="2">
                  <c:v>0.0246382707694509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0.282514965958695</c:v>
                </c:pt>
                <c:pt idx="2">
                  <c:v>0.281943086413822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0.0240627032794066</c:v>
                </c:pt>
                <c:pt idx="2">
                  <c:v>0.0246382707694509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503880"/>
        <c:axId val="-2143652440"/>
      </c:barChart>
      <c:catAx>
        <c:axId val="-214350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65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65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50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0.314958125559391</c:v>
                </c:pt>
                <c:pt idx="2">
                  <c:v>0.29605389336402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-0.896588833259739</c:v>
                </c:pt>
                <c:pt idx="2">
                  <c:v>-0.896588833259739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235048"/>
        <c:axId val="-2143924936"/>
      </c:barChart>
      <c:catAx>
        <c:axId val="-214423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92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92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23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0.0139444824764277</c:v>
                </c:pt>
                <c:pt idx="2" formatCode="0.0%">
                  <c:v>0.0139444824764277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0.00864925644903042</c:v>
                </c:pt>
                <c:pt idx="2" formatCode="0.0%">
                  <c:v>0.00864925644903042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0.00261111111111111</c:v>
                </c:pt>
                <c:pt idx="2" formatCode="0.0%">
                  <c:v>0.00261111111111111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0.0185210505248176</c:v>
                </c:pt>
                <c:pt idx="2" formatCode="0.0%">
                  <c:v>0.050639205883976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0.00446090467888276</c:v>
                </c:pt>
                <c:pt idx="2" formatCode="0.0%">
                  <c:v>0.00421332979948948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0.00796574346201743</c:v>
                </c:pt>
                <c:pt idx="2" formatCode="0.0%">
                  <c:v>0.0174035877411351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0.000658389076676748</c:v>
                </c:pt>
                <c:pt idx="2" formatCode="0.0%">
                  <c:v>0.000695235026024742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8.32592065468778E-5</c:v>
                </c:pt>
                <c:pt idx="2" formatCode="0.0%">
                  <c:v>8.32592065468778E-5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0.00359389966198185</c:v>
                </c:pt>
                <c:pt idx="2" formatCode="0.0%">
                  <c:v>0.00359389966198185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0.000155239281266678</c:v>
                </c:pt>
                <c:pt idx="2" formatCode="0.0%">
                  <c:v>0.000168724170141511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0.000742366838640811</c:v>
                </c:pt>
                <c:pt idx="2" formatCode="0.0%">
                  <c:v>0.000756973026215636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0.000496886674968867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0.000961513372472276</c:v>
                </c:pt>
                <c:pt idx="2" formatCode="0.0%">
                  <c:v>0.00151529280893208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0.00558447384204364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0.0279863504966237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0.2430713898255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0.269673328399543</c:v>
                </c:pt>
                <c:pt idx="2" formatCode="0.0%">
                  <c:v>0.482585466761935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739304"/>
        <c:axId val="-2010736008"/>
      </c:barChart>
      <c:catAx>
        <c:axId val="-20107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73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73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73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1430328"/>
        <c:axId val="-20360173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430328"/>
        <c:axId val="-20360173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430328"/>
        <c:axId val="-2036017352"/>
      </c:scatterChart>
      <c:catAx>
        <c:axId val="-20314303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017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6017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4303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995800"/>
        <c:axId val="-20358829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995800"/>
        <c:axId val="-2035882984"/>
      </c:lineChart>
      <c:catAx>
        <c:axId val="-20179958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8829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882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9958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99432"/>
        <c:axId val="-21404267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275528"/>
        <c:axId val="-2138407144"/>
      </c:scatterChart>
      <c:valAx>
        <c:axId val="21344994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426776"/>
        <c:crosses val="autoZero"/>
        <c:crossBetween val="midCat"/>
      </c:valAx>
      <c:valAx>
        <c:axId val="-2140426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499432"/>
        <c:crosses val="autoZero"/>
        <c:crossBetween val="midCat"/>
      </c:valAx>
      <c:valAx>
        <c:axId val="-2068275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8407144"/>
        <c:crosses val="autoZero"/>
        <c:crossBetween val="midCat"/>
      </c:valAx>
      <c:valAx>
        <c:axId val="-21384071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275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654472"/>
        <c:axId val="-203652556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654472"/>
        <c:axId val="-2036525560"/>
      </c:lineChart>
      <c:catAx>
        <c:axId val="-203165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525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6525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6544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0.00844800747198007</c:v>
                </c:pt>
                <c:pt idx="2" formatCode="0.0%">
                  <c:v>0.00844800747198007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0.0173950330012453</c:v>
                </c:pt>
                <c:pt idx="2" formatCode="0.0%">
                  <c:v>0.0173950330012453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0.0005</c:v>
                </c:pt>
                <c:pt idx="2" formatCode="0.0%">
                  <c:v>0.0005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0.013130326120797</c:v>
                </c:pt>
                <c:pt idx="2" formatCode="0.0%">
                  <c:v>0.0132892750676658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0.00720267769613948</c:v>
                </c:pt>
                <c:pt idx="2" formatCode="0.0%">
                  <c:v>0.00720267769613948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0.00435536338729763</c:v>
                </c:pt>
                <c:pt idx="2" formatCode="0.0%">
                  <c:v>0.00436242544959818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0.000285579078455791</c:v>
                </c:pt>
                <c:pt idx="2" formatCode="0.0%">
                  <c:v>0.000285579078455791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0.000200846824408468</c:v>
                </c:pt>
                <c:pt idx="2" formatCode="0.0%">
                  <c:v>0.000200846824408468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0.00022027397260274</c:v>
                </c:pt>
                <c:pt idx="2" formatCode="0.0%">
                  <c:v>0.000221457906671151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0.0461176165582827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0.438112536261045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0.429775023296565</c:v>
                </c:pt>
                <c:pt idx="2" formatCode="0.0%">
                  <c:v>0.440055020874984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862584"/>
        <c:axId val="-2030468536"/>
      </c:barChart>
      <c:catAx>
        <c:axId val="-201686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468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46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6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0.00250269489414695</c:v>
                </c:pt>
                <c:pt idx="2" formatCode="0.0%">
                  <c:v>0.00250269489414695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0.00202602989903932</c:v>
                </c:pt>
                <c:pt idx="2" formatCode="0.0%">
                  <c:v>0.00202602989903932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0.00255555555555556</c:v>
                </c:pt>
                <c:pt idx="2" formatCode="0.0%">
                  <c:v>0.00255555555555556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0.0181999663849849</c:v>
                </c:pt>
                <c:pt idx="2" formatCode="0.0%">
                  <c:v>0.0181999663849849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0.00341932552037004</c:v>
                </c:pt>
                <c:pt idx="2" formatCode="0.0%">
                  <c:v>0.00341932552037004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0.00208174782067248</c:v>
                </c:pt>
                <c:pt idx="2" formatCode="0.0%">
                  <c:v>0.00208174782067248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0.000244403798256538</c:v>
                </c:pt>
                <c:pt idx="2" formatCode="0.0%">
                  <c:v>0.000244403798256538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0.000120034246575342</c:v>
                </c:pt>
                <c:pt idx="2" formatCode="0.0%">
                  <c:v>0.000135678704856787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0.000248443337484433</c:v>
                </c:pt>
                <c:pt idx="2" formatCode="0.0%">
                  <c:v>0.000248443337484433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0.000382420091324201</c:v>
                </c:pt>
                <c:pt idx="2" formatCode="0.0%">
                  <c:v>0.000382420091324201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0.00411542652552927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0.00143290784557908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008328"/>
        <c:axId val="-2146203368"/>
      </c:barChart>
      <c:catAx>
        <c:axId val="-21460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20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20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00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0.00489294635118306</c:v>
                </c:pt>
                <c:pt idx="1">
                  <c:v>0.00489294635118306</c:v>
                </c:pt>
                <c:pt idx="2">
                  <c:v>0.00949807232876712</c:v>
                </c:pt>
                <c:pt idx="3">
                  <c:v>0.00949807232876712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0.0228772817559153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0.0108888888888889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0.147864233872976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0.0145084612079701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0.0123460483188045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0.00219276064757161</c:v>
                </c:pt>
                <c:pt idx="3">
                  <c:v>0.00108001643835616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0.00503145952677459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0.000597974626400996</c:v>
                </c:pt>
                <c:pt idx="1">
                  <c:v>0.000597974626400996</c:v>
                </c:pt>
                <c:pt idx="2">
                  <c:v>0.000597974626400996</c:v>
                </c:pt>
                <c:pt idx="3">
                  <c:v>0.000597974626400996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0.000772540473225405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0.000897051880199253</c:v>
                </c:pt>
                <c:pt idx="1">
                  <c:v>0.000538353134495641</c:v>
                </c:pt>
                <c:pt idx="2">
                  <c:v>0.000717702507347447</c:v>
                </c:pt>
                <c:pt idx="3">
                  <c:v>0.000897051880199253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0.241545931386174</c:v>
                </c:pt>
                <c:pt idx="1">
                  <c:v>0.216011990488158</c:v>
                </c:pt>
                <c:pt idx="2">
                  <c:v>-0.383346402875922</c:v>
                </c:pt>
                <c:pt idx="3">
                  <c:v>-0.398373793064412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583384"/>
        <c:axId val="-2030454744"/>
      </c:barChart>
      <c:catAx>
        <c:axId val="-2030583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454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045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58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0.00170183252801992</c:v>
                </c:pt>
                <c:pt idx="1">
                  <c:v>0.00170183252801992</c:v>
                </c:pt>
                <c:pt idx="2">
                  <c:v>0.00330355726027397</c:v>
                </c:pt>
                <c:pt idx="3">
                  <c:v>0.00330355726027397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0.00810411959615727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0.0102222222222222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0.0727998655399395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0.0136773020814802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0.00832699128268991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0.000655002179327522</c:v>
                </c:pt>
                <c:pt idx="3">
                  <c:v>0.00032261301369863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-0.0158230005667128</c:v>
                </c:pt>
                <c:pt idx="1">
                  <c:v>-0.268286056773924</c:v>
                </c:pt>
                <c:pt idx="2">
                  <c:v>-0.268286056773924</c:v>
                </c:pt>
                <c:pt idx="3">
                  <c:v>-0.268286056773924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271304"/>
        <c:axId val="-2056591496"/>
      </c:barChart>
      <c:catAx>
        <c:axId val="-2057271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591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59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7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0.00948224808397082</c:v>
                </c:pt>
                <c:pt idx="1">
                  <c:v>0.00948224808397082</c:v>
                </c:pt>
                <c:pt idx="2">
                  <c:v>0.0184067168688845</c:v>
                </c:pt>
                <c:pt idx="3">
                  <c:v>0.0184067168688845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0.0345970257961217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0.0104444444444444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0.202556823535904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0.0168533191979579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0.0696143509645403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0.00186322986974631</c:v>
                </c:pt>
                <c:pt idx="3">
                  <c:v>0.00091771023435266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0.000333036826187511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0.0143755986479274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0.000674896680566045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0.000890503068040074</c:v>
                </c:pt>
                <c:pt idx="1">
                  <c:v>0.000534422956508239</c:v>
                </c:pt>
                <c:pt idx="2">
                  <c:v>0.000712463012274157</c:v>
                </c:pt>
                <c:pt idx="3">
                  <c:v>0.000890503068040074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0.2430713898255</c:v>
                </c:pt>
                <c:pt idx="1">
                  <c:v>0.2430713898255</c:v>
                </c:pt>
                <c:pt idx="2">
                  <c:v>0.2430713898255</c:v>
                </c:pt>
                <c:pt idx="3">
                  <c:v>0.2430713898255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0.282766458518915</c:v>
                </c:pt>
                <c:pt idx="1">
                  <c:v>0.568548914951553</c:v>
                </c:pt>
                <c:pt idx="2">
                  <c:v>0.571958774889055</c:v>
                </c:pt>
                <c:pt idx="3">
                  <c:v>0.537454331991995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843528"/>
        <c:axId val="2115410472"/>
      </c:barChart>
      <c:catAx>
        <c:axId val="-2017843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10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41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84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0.00574464508094645</c:v>
                </c:pt>
                <c:pt idx="1">
                  <c:v>0.00574464508094645</c:v>
                </c:pt>
                <c:pt idx="2">
                  <c:v>0.0111513698630137</c:v>
                </c:pt>
                <c:pt idx="3">
                  <c:v>0.0111513698630137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0.0695801320049813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0.0531571002706631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0.0288107107845579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0.0174497017983927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0.000765351930261519</c:v>
                </c:pt>
                <c:pt idx="3">
                  <c:v>0.000376964383561644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0.438112536261045</c:v>
                </c:pt>
                <c:pt idx="1">
                  <c:v>0.438112536261045</c:v>
                </c:pt>
                <c:pt idx="2">
                  <c:v>0.438112536261045</c:v>
                </c:pt>
                <c:pt idx="3">
                  <c:v>0.438112536261045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0.384798165436588</c:v>
                </c:pt>
                <c:pt idx="1">
                  <c:v>0.486215678290201</c:v>
                </c:pt>
                <c:pt idx="2">
                  <c:v>0.480043601577873</c:v>
                </c:pt>
                <c:pt idx="3">
                  <c:v>0.410048469821957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716360"/>
        <c:axId val="-2042509912"/>
      </c:barChart>
      <c:catAx>
        <c:axId val="-2017716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509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50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1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0.0840916799572776</c:v>
                </c:pt>
                <c:pt idx="2">
                  <c:v>0.0840916799572776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0.0191601296105189</c:v>
                </c:pt>
                <c:pt idx="2">
                  <c:v>0.00851561316023064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0.00363717714640359</c:v>
                </c:pt>
                <c:pt idx="2">
                  <c:v>0.00448585181389777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0.000929500826303141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0.00132959031240754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0.00113156622332556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0.00027278828598027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6.06196191067266E-5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0.000157611009677489</c:v>
                </c:pt>
                <c:pt idx="2">
                  <c:v>9.69913905707626E-5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0.0153800633619352</c:v>
                </c:pt>
                <c:pt idx="2">
                  <c:v>0.0153800633619352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0.00881149463444204</c:v>
                </c:pt>
                <c:pt idx="2">
                  <c:v>0.00881149463444205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630632"/>
        <c:axId val="-2038715512"/>
      </c:barChart>
      <c:catAx>
        <c:axId val="-203863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1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1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30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2.5026948941469489E-3</v>
      </c>
      <c r="J6" s="24">
        <f t="shared" ref="J6:J13" si="3">IF(I$32&lt;=1+I$131,I6,B6*H6+J$33*(I6-B6*H6))</f>
        <v>2.5026948941469489E-3</v>
      </c>
      <c r="K6" s="22">
        <f t="shared" ref="K6:K31" si="4">B6</f>
        <v>1.2513474470734745E-2</v>
      </c>
      <c r="L6" s="22">
        <f t="shared" ref="L6:L29" si="5">IF(K6="","",K6*H6)</f>
        <v>2.5026948941469489E-3</v>
      </c>
      <c r="M6" s="177">
        <f t="shared" ref="M6:M31" si="6">J6</f>
        <v>2.5026948941469489E-3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1.0010779576587796E-2</v>
      </c>
      <c r="Z6" s="156">
        <f>Poor!Z6</f>
        <v>0.17</v>
      </c>
      <c r="AA6" s="121">
        <f>$M6*Z6*4</f>
        <v>1.7018325280199254E-3</v>
      </c>
      <c r="AB6" s="156">
        <f>Poor!AB6</f>
        <v>0.17</v>
      </c>
      <c r="AC6" s="121">
        <f t="shared" ref="AC6:AC29" si="7">$M6*AB6*4</f>
        <v>1.7018325280199254E-3</v>
      </c>
      <c r="AD6" s="156">
        <f>Poor!AD6</f>
        <v>0.33</v>
      </c>
      <c r="AE6" s="121">
        <f t="shared" ref="AE6:AE29" si="8">$M6*AD6*4</f>
        <v>3.3035572602739729E-3</v>
      </c>
      <c r="AF6" s="122">
        <f>1-SUM(Z6,AB6,AD6)</f>
        <v>0.32999999999999996</v>
      </c>
      <c r="AG6" s="121">
        <f>$M6*AF6*4</f>
        <v>3.303557260273972E-3</v>
      </c>
      <c r="AH6" s="123">
        <f>SUM(Z6,AB6,AD6,AF6)</f>
        <v>1</v>
      </c>
      <c r="AI6" s="183">
        <f>SUM(AA6,AC6,AE6,AG6)/4</f>
        <v>2.5026948941469489E-3</v>
      </c>
      <c r="AJ6" s="120">
        <f>(AA6+AC6)/2</f>
        <v>1.7018325280199254E-3</v>
      </c>
      <c r="AK6" s="119">
        <f>(AE6+AG6)/2</f>
        <v>3.3035572602739724E-3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2.0260298990393169E-3</v>
      </c>
      <c r="J7" s="24">
        <f t="shared" si="3"/>
        <v>2.0260298990393169E-3</v>
      </c>
      <c r="K7" s="22">
        <f t="shared" si="4"/>
        <v>1.0130149495196585E-2</v>
      </c>
      <c r="L7" s="22">
        <f t="shared" si="5"/>
        <v>2.0260298990393169E-3</v>
      </c>
      <c r="M7" s="177">
        <f t="shared" si="6"/>
        <v>2.0260298990393169E-3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349.86279891376455</v>
      </c>
      <c r="T7" s="222">
        <f>IF($B$81=0,0,(SUMIF($N$6:$N$28,$U7,M$6:M$28)+SUMIF($N$91:$N$118,$U7,M$91:M$118))*$I$83*Poor!$B$81/$B$81)</f>
        <v>350.07850714488495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8.1041195961572676E-3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8.1041195961572676E-3</v>
      </c>
      <c r="AH7" s="123">
        <f t="shared" ref="AH7:AH30" si="12">SUM(Z7,AB7,AD7,AF7)</f>
        <v>1</v>
      </c>
      <c r="AI7" s="183">
        <f t="shared" ref="AI7:AI30" si="13">SUM(AA7,AC7,AE7,AG7)/4</f>
        <v>2.0260298990393169E-3</v>
      </c>
      <c r="AJ7" s="120">
        <f t="shared" ref="AJ7:AJ31" si="14">(AA7+AC7)/2</f>
        <v>0</v>
      </c>
      <c r="AK7" s="119">
        <f t="shared" ref="AK7:AK31" si="15">(AE7+AG7)/2</f>
        <v>4.0520597980786338E-3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2.5555555555555557E-3</v>
      </c>
      <c r="J8" s="24">
        <f t="shared" si="3"/>
        <v>2.5555555555555557E-3</v>
      </c>
      <c r="K8" s="22">
        <f t="shared" si="4"/>
        <v>1.2777777777777777E-2</v>
      </c>
      <c r="L8" s="22">
        <f t="shared" si="5"/>
        <v>2.5555555555555557E-3</v>
      </c>
      <c r="M8" s="224">
        <f t="shared" si="6"/>
        <v>2.5555555555555557E-3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5.879999999999999</v>
      </c>
      <c r="T8" s="222">
        <f>IF($B$81=0,0,(SUMIF($N$6:$N$28,$U8,M$6:M$28)+SUMIF($N$91:$N$118,$U8,M$91:M$118))*$I$83*Poor!$B$81/$B$81)</f>
        <v>4.4799999999999995</v>
      </c>
      <c r="U8" s="223">
        <v>2</v>
      </c>
      <c r="V8" s="56"/>
      <c r="W8" s="115"/>
      <c r="X8" s="118">
        <f>Poor!X8</f>
        <v>1</v>
      </c>
      <c r="Y8" s="183">
        <f t="shared" si="9"/>
        <v>1.0222222222222223E-2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1.0222222222222223E-2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2.5555555555555557E-3</v>
      </c>
      <c r="AJ8" s="120">
        <f t="shared" si="14"/>
        <v>5.1111111111111114E-3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1.8199966384984879E-2</v>
      </c>
      <c r="J9" s="24">
        <f t="shared" si="3"/>
        <v>1.8199966384984879E-2</v>
      </c>
      <c r="K9" s="22">
        <f t="shared" si="4"/>
        <v>6.0666554616616263E-2</v>
      </c>
      <c r="L9" s="22">
        <f t="shared" si="5"/>
        <v>1.8199966384984879E-2</v>
      </c>
      <c r="M9" s="224">
        <f t="shared" si="6"/>
        <v>1.8199966384984879E-2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97.67916250578088</v>
      </c>
      <c r="T9" s="222">
        <f>IF($B$81=0,0,(SUMIF($N$6:$N$28,$U9,M$6:M$28)+SUMIF($N$91:$N$118,$U9,M$91:M$118))*$I$83*Poor!$B$81/$B$81)</f>
        <v>97.67916250578088</v>
      </c>
      <c r="U9" s="223">
        <v>3</v>
      </c>
      <c r="V9" s="56"/>
      <c r="W9" s="115"/>
      <c r="X9" s="118">
        <f>Poor!X9</f>
        <v>1</v>
      </c>
      <c r="Y9" s="183">
        <f t="shared" si="9"/>
        <v>7.2799865539939515E-2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7.2799865539939515E-2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1.8199966384984879E-2</v>
      </c>
      <c r="AJ9" s="120">
        <f t="shared" si="14"/>
        <v>3.6399932769969758E-2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0.2</v>
      </c>
      <c r="H10" s="24">
        <f t="shared" si="1"/>
        <v>0.2</v>
      </c>
      <c r="I10" s="22">
        <f t="shared" si="2"/>
        <v>3.4193255203700413E-3</v>
      </c>
      <c r="J10" s="24">
        <f t="shared" si="3"/>
        <v>3.4193255203700413E-3</v>
      </c>
      <c r="K10" s="22">
        <f t="shared" si="4"/>
        <v>1.7096627601850205E-2</v>
      </c>
      <c r="L10" s="22">
        <f t="shared" si="5"/>
        <v>3.4193255203700413E-3</v>
      </c>
      <c r="M10" s="224">
        <f t="shared" si="6"/>
        <v>3.4193255203700413E-3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1.3677302081480165E-2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1.3677302081480165E-2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3.4193255203700413E-3</v>
      </c>
      <c r="AJ10" s="120">
        <f t="shared" si="14"/>
        <v>6.8386510407400826E-3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0.2</v>
      </c>
      <c r="H11" s="24">
        <f t="shared" si="1"/>
        <v>0.2</v>
      </c>
      <c r="I11" s="22">
        <f t="shared" si="2"/>
        <v>2.081747820672478E-3</v>
      </c>
      <c r="J11" s="24">
        <f t="shared" si="3"/>
        <v>2.081747820672478E-3</v>
      </c>
      <c r="K11" s="22">
        <f t="shared" si="4"/>
        <v>1.040873910336239E-2</v>
      </c>
      <c r="L11" s="22">
        <f t="shared" si="5"/>
        <v>2.081747820672478E-3</v>
      </c>
      <c r="M11" s="224">
        <f t="shared" si="6"/>
        <v>2.081747820672478E-3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1460.25</v>
      </c>
      <c r="T11" s="222">
        <f>IF($B$81=0,0,(SUMIF($N$6:$N$28,$U11,M$6:M$28)+SUMIF($N$91:$N$118,$U11,M$91:M$118))*$I$83*Poor!$B$81/$B$81)</f>
        <v>870.24999999999989</v>
      </c>
      <c r="U11" s="223">
        <v>5</v>
      </c>
      <c r="V11" s="56"/>
      <c r="W11" s="115"/>
      <c r="X11" s="118">
        <f>Poor!X11</f>
        <v>1</v>
      </c>
      <c r="Y11" s="183">
        <f t="shared" si="9"/>
        <v>8.326991282689912E-3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8.326991282689912E-3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2.081747820672478E-3</v>
      </c>
      <c r="AJ11" s="120">
        <f t="shared" si="14"/>
        <v>4.163495641344956E-3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0.2</v>
      </c>
      <c r="H12" s="24">
        <f t="shared" si="1"/>
        <v>0.2</v>
      </c>
      <c r="I12" s="22">
        <f t="shared" si="2"/>
        <v>2.4440379825653799E-4</v>
      </c>
      <c r="J12" s="24">
        <f t="shared" si="3"/>
        <v>2.4440379825653799E-4</v>
      </c>
      <c r="K12" s="22">
        <f t="shared" si="4"/>
        <v>1.2220189912826899E-3</v>
      </c>
      <c r="L12" s="22">
        <f t="shared" si="5"/>
        <v>2.4440379825653799E-4</v>
      </c>
      <c r="M12" s="224">
        <f t="shared" si="6"/>
        <v>2.4440379825653799E-4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9.7761519302615196E-4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6.5500217932752181E-4</v>
      </c>
      <c r="AF12" s="122">
        <f>1-SUM(Z12,AB12,AD12)</f>
        <v>0.32999999999999996</v>
      </c>
      <c r="AG12" s="121">
        <f>$M12*AF12*4</f>
        <v>3.2261301369863009E-4</v>
      </c>
      <c r="AH12" s="123">
        <f t="shared" si="12"/>
        <v>1</v>
      </c>
      <c r="AI12" s="183">
        <f t="shared" si="13"/>
        <v>2.4440379825653799E-4</v>
      </c>
      <c r="AJ12" s="120">
        <f t="shared" si="14"/>
        <v>0</v>
      </c>
      <c r="AK12" s="119">
        <f t="shared" si="15"/>
        <v>4.8880759651307598E-4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2425.5010398225595</v>
      </c>
      <c r="T13" s="222">
        <f>IF($B$81=0,0,(SUMIF($N$6:$N$28,$U13,M$6:M$28)+SUMIF($N$91:$N$118,$U13,M$91:M$118))*$I$83*Poor!$B$81/$B$81)</f>
        <v>2440.8012997781993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1.3567870485678703E-4</v>
      </c>
      <c r="J16" s="24">
        <f t="shared" si="17"/>
        <v>1.3567870485678703E-4</v>
      </c>
      <c r="K16" s="22">
        <f t="shared" ref="K16:K25" si="21">B16</f>
        <v>6.0017123287671231E-4</v>
      </c>
      <c r="L16" s="22">
        <f t="shared" ref="L16:L25" si="22">IF(K16="","",K16*H16)</f>
        <v>1.2003424657534247E-4</v>
      </c>
      <c r="M16" s="226">
        <f t="shared" ref="M16:M25" si="23">J16</f>
        <v>1.3567870485678703E-4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6.7781320049813208E-4</v>
      </c>
      <c r="J17" s="24">
        <f t="shared" si="17"/>
        <v>6.7781320049813208E-4</v>
      </c>
      <c r="K17" s="22">
        <f t="shared" si="21"/>
        <v>3.3890660024906601E-3</v>
      </c>
      <c r="L17" s="22">
        <f t="shared" si="22"/>
        <v>6.7781320049813208E-4</v>
      </c>
      <c r="M17" s="226">
        <f t="shared" si="23"/>
        <v>6.7781320049813208E-4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2.4844333748443335E-4</v>
      </c>
      <c r="J18" s="24">
        <f t="shared" si="17"/>
        <v>2.4844333748443335E-4</v>
      </c>
      <c r="K18" s="22">
        <f t="shared" si="21"/>
        <v>1.2422166874221667E-3</v>
      </c>
      <c r="L18" s="22">
        <f t="shared" si="22"/>
        <v>2.4844333748443335E-4</v>
      </c>
      <c r="M18" s="226">
        <f t="shared" si="23"/>
        <v>2.4844333748443335E-4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3.8242009132420093E-4</v>
      </c>
      <c r="J19" s="24">
        <f t="shared" si="17"/>
        <v>3.8242009132420093E-4</v>
      </c>
      <c r="K19" s="22">
        <f t="shared" si="21"/>
        <v>1.9121004566210046E-3</v>
      </c>
      <c r="L19" s="22">
        <f t="shared" si="22"/>
        <v>3.8242009132420093E-4</v>
      </c>
      <c r="M19" s="226">
        <f t="shared" si="23"/>
        <v>3.8242009132420093E-4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4.1154265255292661E-3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4.1154265255292661E-3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1.4329078455790783E-3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1.4329078455790783E-3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12428.293817382071</v>
      </c>
      <c r="T23" s="179">
        <f>SUM(T7:T22)</f>
        <v>11852.409785568832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0.61947890193026156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18607.698674581661</v>
      </c>
      <c r="T30" s="234">
        <f t="shared" si="24"/>
        <v>19183.582706394904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-1.5823000566712812E-2</v>
      </c>
      <c r="AB30" s="122">
        <f>IF($Y30=0,0,AC30/($Y$30))</f>
        <v>0</v>
      </c>
      <c r="AC30" s="187">
        <f>IF(AC79*4/$I$83+SUM(AC6:AC29)&lt;1,AC79*4/$I$83,1-SUM(AC6:AC29))</f>
        <v>-0.26828605677392409</v>
      </c>
      <c r="AD30" s="122">
        <f>IF($Y30=0,0,AE30/($Y$30))</f>
        <v>0</v>
      </c>
      <c r="AE30" s="187">
        <f>IF(AE79*4/$I$83+SUM(AE6:AE29)&lt;1,AE79*4/$I$83,1-SUM(AE6:AE29))</f>
        <v>-0.26828605677392409</v>
      </c>
      <c r="AF30" s="122">
        <f>IF($Y30=0,0,AG30/($Y$30))</f>
        <v>0</v>
      </c>
      <c r="AG30" s="187">
        <f>IF(AG79*4/$I$83+SUM(AG6:AG29)&lt;1,AG79*4/$I$83,1-SUM(AG6:AG29))</f>
        <v>-0.26828605677392409</v>
      </c>
      <c r="AH30" s="123">
        <f t="shared" si="12"/>
        <v>0</v>
      </c>
      <c r="AI30" s="183">
        <f t="shared" si="13"/>
        <v>-0.20517029272212128</v>
      </c>
      <c r="AJ30" s="120">
        <f t="shared" si="14"/>
        <v>-0.14205452867031845</v>
      </c>
      <c r="AK30" s="119">
        <f t="shared" si="15"/>
        <v>-0.26828605677392409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0.587362071941676</v>
      </c>
      <c r="K31" s="22" t="str">
        <f t="shared" si="4"/>
        <v/>
      </c>
      <c r="L31" s="22">
        <f>(1-SUM(L6:L30))</f>
        <v>0.57893586818417098</v>
      </c>
      <c r="M31" s="241">
        <f t="shared" si="6"/>
        <v>0.587362071941676</v>
      </c>
      <c r="N31" s="167">
        <f>M31*I83</f>
        <v>8098.639868919453</v>
      </c>
      <c r="P31" s="22"/>
      <c r="Q31" s="238" t="s">
        <v>142</v>
      </c>
      <c r="R31" s="234">
        <f t="shared" si="24"/>
        <v>4648.7720091348237</v>
      </c>
      <c r="S31" s="234">
        <f t="shared" si="24"/>
        <v>35571.640896803881</v>
      </c>
      <c r="T31" s="234">
        <f>IF(T25&gt;T$23,T25-T$23,0)</f>
        <v>36147.524928617124</v>
      </c>
      <c r="V31" s="56"/>
      <c r="W31" s="129" t="s">
        <v>84</v>
      </c>
      <c r="X31" s="130"/>
      <c r="Y31" s="121">
        <f>M31*4</f>
        <v>2.349448287766704</v>
      </c>
      <c r="Z31" s="131"/>
      <c r="AA31" s="132">
        <f>1-AA32+IF($Y32&lt;0,$Y32/4,0)</f>
        <v>0.53447927243233473</v>
      </c>
      <c r="AB31" s="131"/>
      <c r="AC31" s="133">
        <f>1-AC32+IF($Y32&lt;0,$Y32/4,0)</f>
        <v>0.89196870976587772</v>
      </c>
      <c r="AD31" s="134"/>
      <c r="AE31" s="133">
        <f>1-AE32+IF($Y32&lt;0,$Y32/4,0)</f>
        <v>0.88971198285429631</v>
      </c>
      <c r="AF31" s="134"/>
      <c r="AG31" s="133">
        <f>1-AG32+IF($Y32&lt;0,$Y32/4,0)</f>
        <v>0.88194025242376783</v>
      </c>
      <c r="AH31" s="123"/>
      <c r="AI31" s="182">
        <f>SUM(AA31,AC31,AE31,AG31)/4</f>
        <v>0.79952505436906918</v>
      </c>
      <c r="AJ31" s="135">
        <f t="shared" si="14"/>
        <v>0.71322399109910628</v>
      </c>
      <c r="AK31" s="136">
        <f t="shared" si="15"/>
        <v>0.88582611763903207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0.412637928058324</v>
      </c>
      <c r="J32" s="17"/>
      <c r="L32" s="22">
        <f>SUM(L6:L30)</f>
        <v>0.42106413181582902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66945.480896803885</v>
      </c>
      <c r="T32" s="234">
        <f t="shared" si="24"/>
        <v>67521.364928617128</v>
      </c>
      <c r="V32" s="56"/>
      <c r="W32" s="110"/>
      <c r="X32" s="118"/>
      <c r="Y32" s="115">
        <f>SUM(Y6:Y31)</f>
        <v>3.9720292411789124</v>
      </c>
      <c r="Z32" s="137"/>
      <c r="AA32" s="138">
        <f>SUM(AA6:AA30)</f>
        <v>0.46552072756766527</v>
      </c>
      <c r="AB32" s="137"/>
      <c r="AC32" s="139">
        <f>SUM(AC6:AC30)</f>
        <v>0.10803129023412222</v>
      </c>
      <c r="AD32" s="137"/>
      <c r="AE32" s="139">
        <f>SUM(AE6:AE30)</f>
        <v>0.11028801714570374</v>
      </c>
      <c r="AF32" s="137"/>
      <c r="AG32" s="139">
        <f>SUM(AG6:AG30)</f>
        <v>0.11805974757623211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-93.701741172074662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28048.88505969767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590</v>
      </c>
      <c r="J37" s="38">
        <f>J91*I$83</f>
        <v>590</v>
      </c>
      <c r="K37" s="40">
        <f>(B37/B$65)</f>
        <v>6.3930443677279125E-2</v>
      </c>
      <c r="L37" s="22">
        <f t="shared" ref="L37" si="28">(K37*H37)</f>
        <v>3.7718961769594682E-2</v>
      </c>
      <c r="M37" s="24">
        <f>J37/B$65</f>
        <v>1.8859480884797341E-2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590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590</v>
      </c>
      <c r="AJ37" s="148">
        <f>(AA37+AC37)</f>
        <v>590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280.25</v>
      </c>
      <c r="J38" s="38">
        <f t="shared" ref="J38:J64" si="32">J92*I$83</f>
        <v>280.25</v>
      </c>
      <c r="K38" s="40">
        <f t="shared" ref="K38:K64" si="33">(B38/B$65)</f>
        <v>1.5183480373353792E-2</v>
      </c>
      <c r="L38" s="22">
        <f t="shared" ref="L38:L64" si="34">(K38*H38)</f>
        <v>8.9582534202787365E-3</v>
      </c>
      <c r="M38" s="24">
        <f t="shared" ref="M38:M64" si="35">J38/B$65</f>
        <v>8.9582534202787365E-3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280.25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280.25</v>
      </c>
      <c r="AJ38" s="148">
        <f t="shared" ref="AJ38:AJ64" si="38">(AA38+AC38)</f>
        <v>280.25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4.4799999999999995</v>
      </c>
      <c r="J48" s="38">
        <f t="shared" si="32"/>
        <v>4.4799999999999995</v>
      </c>
      <c r="K48" s="40">
        <f t="shared" si="33"/>
        <v>6.7126965861143075E-4</v>
      </c>
      <c r="L48" s="22">
        <f t="shared" si="34"/>
        <v>1.8795550441120059E-4</v>
      </c>
      <c r="M48" s="24">
        <f t="shared" si="35"/>
        <v>1.4320419383710521E-4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1.1199999999999999</v>
      </c>
      <c r="AB48" s="156">
        <f>Poor!AB48</f>
        <v>0.25</v>
      </c>
      <c r="AC48" s="147">
        <f t="shared" si="41"/>
        <v>1.1199999999999999</v>
      </c>
      <c r="AD48" s="156">
        <f>Poor!AD48</f>
        <v>0.25</v>
      </c>
      <c r="AE48" s="147">
        <f t="shared" si="42"/>
        <v>1.1199999999999999</v>
      </c>
      <c r="AF48" s="122">
        <f t="shared" si="29"/>
        <v>0.25</v>
      </c>
      <c r="AG48" s="147">
        <f t="shared" si="36"/>
        <v>1.1199999999999999</v>
      </c>
      <c r="AH48" s="123">
        <f t="shared" si="37"/>
        <v>1</v>
      </c>
      <c r="AI48" s="112">
        <f t="shared" si="37"/>
        <v>4.4799999999999995</v>
      </c>
      <c r="AJ48" s="148">
        <f t="shared" si="38"/>
        <v>2.2399999999999998</v>
      </c>
      <c r="AK48" s="147">
        <f t="shared" si="39"/>
        <v>2.2399999999999998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569.80000000000007</v>
      </c>
      <c r="J51" s="38">
        <f t="shared" si="32"/>
        <v>569.80000000000018</v>
      </c>
      <c r="K51" s="40">
        <f t="shared" si="33"/>
        <v>3.2817627754336616E-2</v>
      </c>
      <c r="L51" s="22">
        <f t="shared" si="34"/>
        <v>1.8213783403656824E-2</v>
      </c>
      <c r="M51" s="24">
        <f t="shared" si="35"/>
        <v>1.8213783403656827E-2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142.45000000000005</v>
      </c>
      <c r="AB51" s="156">
        <f>Poor!AB56</f>
        <v>0.25</v>
      </c>
      <c r="AC51" s="147">
        <f t="shared" si="41"/>
        <v>142.45000000000005</v>
      </c>
      <c r="AD51" s="156">
        <f>Poor!AD56</f>
        <v>0.25</v>
      </c>
      <c r="AE51" s="147">
        <f t="shared" si="42"/>
        <v>142.45000000000005</v>
      </c>
      <c r="AF51" s="122">
        <f t="shared" si="29"/>
        <v>0.25</v>
      </c>
      <c r="AG51" s="147">
        <f t="shared" si="36"/>
        <v>142.45000000000005</v>
      </c>
      <c r="AH51" s="123">
        <f t="shared" si="37"/>
        <v>1</v>
      </c>
      <c r="AI51" s="112">
        <f t="shared" si="37"/>
        <v>569.80000000000018</v>
      </c>
      <c r="AJ51" s="148">
        <f t="shared" si="38"/>
        <v>284.90000000000009</v>
      </c>
      <c r="AK51" s="147">
        <f t="shared" si="39"/>
        <v>284.90000000000009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173.9</v>
      </c>
      <c r="J52" s="38">
        <f t="shared" si="32"/>
        <v>173.9</v>
      </c>
      <c r="K52" s="40">
        <f t="shared" si="33"/>
        <v>1.0015769509440395E-2</v>
      </c>
      <c r="L52" s="22">
        <f t="shared" si="34"/>
        <v>5.5587520777394201E-3</v>
      </c>
      <c r="M52" s="24">
        <f t="shared" si="35"/>
        <v>5.5587520777394201E-3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43.475000000000001</v>
      </c>
      <c r="AB52" s="156">
        <f>Poor!AB57</f>
        <v>0.25</v>
      </c>
      <c r="AC52" s="147">
        <f t="shared" si="41"/>
        <v>43.475000000000001</v>
      </c>
      <c r="AD52" s="156">
        <f>Poor!AD57</f>
        <v>0.25</v>
      </c>
      <c r="AE52" s="147">
        <f t="shared" si="42"/>
        <v>43.475000000000001</v>
      </c>
      <c r="AF52" s="122">
        <f t="shared" si="29"/>
        <v>0.25</v>
      </c>
      <c r="AG52" s="147">
        <f t="shared" si="36"/>
        <v>43.475000000000001</v>
      </c>
      <c r="AH52" s="123">
        <f t="shared" si="37"/>
        <v>1</v>
      </c>
      <c r="AI52" s="112">
        <f t="shared" si="37"/>
        <v>173.9</v>
      </c>
      <c r="AJ52" s="148">
        <f t="shared" si="38"/>
        <v>86.95</v>
      </c>
      <c r="AK52" s="147">
        <f t="shared" si="39"/>
        <v>86.95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1620.6000000000001</v>
      </c>
      <c r="J53" s="38">
        <f t="shared" si="32"/>
        <v>1620.6000000000001</v>
      </c>
      <c r="K53" s="40">
        <f t="shared" si="33"/>
        <v>9.333844776882752E-2</v>
      </c>
      <c r="L53" s="22">
        <f t="shared" si="34"/>
        <v>5.1802838511699277E-2</v>
      </c>
      <c r="M53" s="24">
        <f t="shared" si="35"/>
        <v>5.1802838511699277E-2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0.61270937220304311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9261.75</v>
      </c>
      <c r="J65" s="39">
        <f>SUM(J37:J64)</f>
        <v>9261.75</v>
      </c>
      <c r="K65" s="40">
        <f>SUM(K37:K64)</f>
        <v>1</v>
      </c>
      <c r="L65" s="22">
        <f>SUM(L37:L64)</f>
        <v>0.3149581255593914</v>
      </c>
      <c r="M65" s="24">
        <f>SUM(M37:M64)</f>
        <v>0.29605389336401994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2260.895</v>
      </c>
      <c r="AB65" s="137"/>
      <c r="AC65" s="153">
        <f>SUM(AC37:AC64)</f>
        <v>1390.645</v>
      </c>
      <c r="AD65" s="137"/>
      <c r="AE65" s="153">
        <f>SUM(AE37:AE64)</f>
        <v>1390.645</v>
      </c>
      <c r="AF65" s="137"/>
      <c r="AG65" s="153">
        <f>SUM(AG37:AG64)</f>
        <v>1390.645</v>
      </c>
      <c r="AH65" s="137"/>
      <c r="AI65" s="153">
        <f>SUM(AI37:AI64)</f>
        <v>6432.83</v>
      </c>
      <c r="AJ65" s="153">
        <f>SUM(AJ37:AJ64)</f>
        <v>3651.54</v>
      </c>
      <c r="AK65" s="153">
        <f>SUM(AK37:AK64)</f>
        <v>2781.29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9261.75</v>
      </c>
      <c r="J70" s="51">
        <f t="shared" ref="J70:J77" si="44">J124*I$83</f>
        <v>9261.75</v>
      </c>
      <c r="K70" s="40">
        <f>B70/B$76</f>
        <v>0.46456182159468673</v>
      </c>
      <c r="L70" s="22">
        <f t="shared" ref="L70:L74" si="45">(L124*G$37*F$9/F$7)/B$130</f>
        <v>0.31495812555939134</v>
      </c>
      <c r="M70" s="24">
        <f>J70/B$76</f>
        <v>0.29605389336401994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2315.4375</v>
      </c>
      <c r="AB70" s="156">
        <f>Poor!AB70</f>
        <v>0.25</v>
      </c>
      <c r="AC70" s="147">
        <f>$J70*AB70</f>
        <v>2315.4375</v>
      </c>
      <c r="AD70" s="156">
        <f>Poor!AD70</f>
        <v>0.25</v>
      </c>
      <c r="AE70" s="147">
        <f>$J70*AD70</f>
        <v>2315.4375</v>
      </c>
      <c r="AF70" s="156">
        <f>Poor!AF70</f>
        <v>0.25</v>
      </c>
      <c r="AG70" s="147">
        <f>$J70*AF70</f>
        <v>2315.4375</v>
      </c>
      <c r="AH70" s="155">
        <f>SUM(Z70,AB70,AD70,AF70)</f>
        <v>1</v>
      </c>
      <c r="AI70" s="147">
        <f>SUM(AA70,AC70,AE70,AG70)</f>
        <v>9261.75</v>
      </c>
      <c r="AJ70" s="148">
        <f>(AA70+AC70)</f>
        <v>4630.875</v>
      </c>
      <c r="AK70" s="147">
        <f>(AE70+AG70)</f>
        <v>4630.875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0.45953913253491319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0.27303003869766307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-54.542500000000011</v>
      </c>
      <c r="AB74" s="156"/>
      <c r="AC74" s="147">
        <f>AC30*$I$83/4</f>
        <v>-924.79250000000002</v>
      </c>
      <c r="AD74" s="156"/>
      <c r="AE74" s="147">
        <f>AE30*$I$83/4</f>
        <v>-924.79250000000002</v>
      </c>
      <c r="AF74" s="156"/>
      <c r="AG74" s="147">
        <f>AG30*$I$83/4</f>
        <v>-924.79250000000002</v>
      </c>
      <c r="AH74" s="155"/>
      <c r="AI74" s="147">
        <f>SUM(AA74,AC74,AE74,AG74)</f>
        <v>-2828.92</v>
      </c>
      <c r="AJ74" s="148">
        <f>(AA74+AC74)</f>
        <v>-979.33500000000004</v>
      </c>
      <c r="AK74" s="147">
        <f>(AE74+AG74)</f>
        <v>-1849.585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9261.75</v>
      </c>
      <c r="J76" s="51">
        <f t="shared" si="44"/>
        <v>9261.75</v>
      </c>
      <c r="K76" s="40">
        <f>SUM(K70:K75)</f>
        <v>2.1256887220179035</v>
      </c>
      <c r="L76" s="22">
        <f>SUM(L70:L75)</f>
        <v>0.31495812555939134</v>
      </c>
      <c r="M76" s="24">
        <f>SUM(M70:M75)</f>
        <v>0.29605389336401994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2260.895</v>
      </c>
      <c r="AB76" s="137"/>
      <c r="AC76" s="153">
        <f>AC65</f>
        <v>1390.645</v>
      </c>
      <c r="AD76" s="137"/>
      <c r="AE76" s="153">
        <f>AE65</f>
        <v>1390.645</v>
      </c>
      <c r="AF76" s="137"/>
      <c r="AG76" s="153">
        <f>AG65</f>
        <v>1390.645</v>
      </c>
      <c r="AH76" s="137"/>
      <c r="AI76" s="153">
        <f>SUM(AA76,AC76,AE76,AG76)</f>
        <v>6432.83</v>
      </c>
      <c r="AJ76" s="154">
        <f>SUM(AA76,AC76)</f>
        <v>3651.54</v>
      </c>
      <c r="AK76" s="154">
        <f>SUM(AE76,AG76)</f>
        <v>2781.29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28048.88505969767</v>
      </c>
      <c r="J77" s="100">
        <f t="shared" si="44"/>
        <v>28048.88505969767</v>
      </c>
      <c r="K77" s="40"/>
      <c r="L77" s="22">
        <f>-(L131*G$37*F$9/F$7)/B$130</f>
        <v>-0.89658883325973893</v>
      </c>
      <c r="M77" s="24">
        <f>-J77/B$76</f>
        <v>-0.89658883325973882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1842.3708950606986</v>
      </c>
      <c r="AB77" s="112"/>
      <c r="AC77" s="111">
        <f>AC31*$I$83/4</f>
        <v>3074.6509264969554</v>
      </c>
      <c r="AD77" s="112"/>
      <c r="AE77" s="111">
        <f>AE31*$I$83/4</f>
        <v>3066.8719008275843</v>
      </c>
      <c r="AF77" s="112"/>
      <c r="AG77" s="111">
        <f>AG31*$I$83/4</f>
        <v>3040.0824429608606</v>
      </c>
      <c r="AH77" s="110"/>
      <c r="AI77" s="154">
        <f>SUM(AA77,AC77,AE77,AG77)</f>
        <v>11023.976165346099</v>
      </c>
      <c r="AJ77" s="153">
        <f>SUM(AA77,AC77)</f>
        <v>4917.0218215576542</v>
      </c>
      <c r="AK77" s="160">
        <f>SUM(AE77,AG77)</f>
        <v>6106.9543437884449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-54.542500000000018</v>
      </c>
      <c r="AB79" s="112"/>
      <c r="AC79" s="112">
        <f>AA79-AA74+AC65-AC70</f>
        <v>-924.79250000000002</v>
      </c>
      <c r="AD79" s="112"/>
      <c r="AE79" s="112">
        <f>AC79-AC74+AE65-AE70</f>
        <v>-924.79250000000002</v>
      </c>
      <c r="AF79" s="112"/>
      <c r="AG79" s="112">
        <f>AE79-AE74+AG65-AG70</f>
        <v>-924.79250000000002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0.59</v>
      </c>
      <c r="I91" s="22">
        <f t="shared" ref="I91:I106" si="54">(D91*H91)</f>
        <v>4.2790348509696825E-2</v>
      </c>
      <c r="J91" s="24">
        <f t="shared" ref="J91:J99" si="55">IF(I$32&lt;=1+I$131,I91,L91+J$33*(I91-L91))</f>
        <v>4.2790348509696825E-2</v>
      </c>
      <c r="K91" s="22">
        <f t="shared" ref="K91:K106" si="56">(B91)</f>
        <v>0.14505202884642993</v>
      </c>
      <c r="L91" s="22">
        <f t="shared" ref="L91:L106" si="57">(K91*H91)</f>
        <v>8.5580697019393651E-2</v>
      </c>
      <c r="M91" s="227">
        <f t="shared" si="49"/>
        <v>4.2790348509696825E-2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0.59</v>
      </c>
      <c r="I92" s="22">
        <f t="shared" si="54"/>
        <v>2.0325415542105991E-2</v>
      </c>
      <c r="J92" s="24">
        <f t="shared" si="55"/>
        <v>2.0325415542105991E-2</v>
      </c>
      <c r="K92" s="22">
        <f t="shared" si="56"/>
        <v>3.4449856851027104E-2</v>
      </c>
      <c r="L92" s="22">
        <f t="shared" si="57"/>
        <v>2.0325415542105991E-2</v>
      </c>
      <c r="M92" s="227">
        <f t="shared" si="49"/>
        <v>2.0325415542105991E-2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0.59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0.42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0.27999999999999997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0.27999999999999997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0.27999999999999997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0.27999999999999997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0.27999999999999997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0.27999999999999997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0.27999999999999997</v>
      </c>
      <c r="I102" s="22">
        <f t="shared" si="54"/>
        <v>3.2491654461600298E-4</v>
      </c>
      <c r="J102" s="24">
        <f>IF(I$32&lt;=1+I131,I102,L102+J$33*(I102-L102))</f>
        <v>3.2491654461600298E-4</v>
      </c>
      <c r="K102" s="22">
        <f t="shared" si="56"/>
        <v>1.5230463028875142E-3</v>
      </c>
      <c r="L102" s="22">
        <f t="shared" si="57"/>
        <v>4.2645296480850394E-4</v>
      </c>
      <c r="M102" s="228">
        <f t="shared" si="49"/>
        <v>3.2491654461600298E-4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0.27999999999999997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0.27999999999999997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0.55500000000000005</v>
      </c>
      <c r="I105" s="22">
        <f t="shared" si="54"/>
        <v>4.1325323018347897E-2</v>
      </c>
      <c r="J105" s="24">
        <f>IF(I$32&lt;=1+I131,I105,L105+J$33*(I105-L105))</f>
        <v>4.1325323018347897E-2</v>
      </c>
      <c r="K105" s="22">
        <f t="shared" si="56"/>
        <v>7.4460041474500707E-2</v>
      </c>
      <c r="L105" s="22">
        <f t="shared" si="57"/>
        <v>4.1325323018347897E-2</v>
      </c>
      <c r="M105" s="228">
        <f t="shared" si="49"/>
        <v>4.1325323018347897E-2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0.55500000000000005</v>
      </c>
      <c r="I106" s="22">
        <f t="shared" si="54"/>
        <v>1.2612273908197082E-2</v>
      </c>
      <c r="J106" s="24">
        <f>IF(I$32&lt;=1+I132,I106,L106+J$33*(I106-L106))</f>
        <v>1.2612273908197082E-2</v>
      </c>
      <c r="K106" s="22">
        <f t="shared" si="56"/>
        <v>2.2724817852607354E-2</v>
      </c>
      <c r="L106" s="22">
        <f t="shared" si="57"/>
        <v>1.2612273908197082E-2</v>
      </c>
      <c r="M106" s="228">
        <f>(J106)</f>
        <v>1.2612273908197082E-2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0.55500000000000005</v>
      </c>
      <c r="I107" s="22">
        <f t="shared" ref="I107:I118" si="61">(D107*H107)</f>
        <v>0.11753565897426219</v>
      </c>
      <c r="J107" s="24">
        <f t="shared" ref="J107:J118" si="62">IF(I$32&lt;=1+I133,I107,L107+J$33*(I107-L107))</f>
        <v>0.11753565897426219</v>
      </c>
      <c r="K107" s="22">
        <f t="shared" ref="K107:K118" si="63">(B107)</f>
        <v>0.2117759621157877</v>
      </c>
      <c r="L107" s="22">
        <f t="shared" ref="L107:L118" si="64">(K107*H107)</f>
        <v>0.11753565897426219</v>
      </c>
      <c r="M107" s="228">
        <f t="shared" ref="M107:M118" si="65">(J107)</f>
        <v>0.11753565897426219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0.70799999999999996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0.47199999999999992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0</v>
      </c>
      <c r="I111" s="22">
        <f t="shared" si="61"/>
        <v>0</v>
      </c>
      <c r="J111" s="24">
        <f t="shared" si="62"/>
        <v>0</v>
      </c>
      <c r="K111" s="22">
        <f t="shared" si="63"/>
        <v>1.3901786444641844</v>
      </c>
      <c r="L111" s="22">
        <f t="shared" si="64"/>
        <v>0</v>
      </c>
      <c r="M111" s="228">
        <f t="shared" si="65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0.67171781408421116</v>
      </c>
      <c r="J119" s="24">
        <f>SUM(J91:J118)</f>
        <v>0.67171781408421116</v>
      </c>
      <c r="K119" s="22">
        <f>SUM(K91:K118)</f>
        <v>2.2689038352158568</v>
      </c>
      <c r="L119" s="22">
        <f>SUM(L91:L118)</f>
        <v>0.71460969901410043</v>
      </c>
      <c r="M119" s="57">
        <f t="shared" si="49"/>
        <v>0.67171781408421116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0.67171781408421116</v>
      </c>
      <c r="J124" s="237">
        <f>IF(SUMPRODUCT($B$124:$B124,$H$124:$H124)&lt;J$119,($B124*$H124),J$119)</f>
        <v>0.67171781408421116</v>
      </c>
      <c r="K124" s="29">
        <f>(B124)</f>
        <v>1.0540460987110494</v>
      </c>
      <c r="L124" s="29">
        <f>IF(SUMPRODUCT($B$124:$B124,$H$124:$H124)&lt;L$119,($B124*$H124),L$119)</f>
        <v>0.71460969901410043</v>
      </c>
      <c r="M124" s="240">
        <f t="shared" si="66"/>
        <v>0.67171781408421116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0.61947890193026156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0.67171781408421116</v>
      </c>
      <c r="J130" s="228">
        <f>(J119)</f>
        <v>0.67171781408421116</v>
      </c>
      <c r="K130" s="29">
        <f>(B130)</f>
        <v>2.2689038352158568</v>
      </c>
      <c r="L130" s="29">
        <f>(L119)</f>
        <v>0.71460969901410043</v>
      </c>
      <c r="M130" s="240">
        <f t="shared" si="66"/>
        <v>0.67171781408421116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2.034273842394732</v>
      </c>
      <c r="J131" s="237">
        <f>IF(SUMPRODUCT($B124:$B125,$H124:$H125)&gt;(J119-J128),SUMPRODUCT($B124:$B125,$H124:$H125)+J128-J119,0)</f>
        <v>2.034273842394732</v>
      </c>
      <c r="K131" s="29"/>
      <c r="L131" s="29">
        <f>IF(I131&lt;SUM(L126:L127),0,I131-(SUM(L126:L127)))</f>
        <v>2.034273842394732</v>
      </c>
      <c r="M131" s="237">
        <f>IF(I131&lt;SUM(M126:M127),0,I131-(SUM(M126:M127)))</f>
        <v>2.034273842394732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E55" sqref="E5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7.1955093399750925E-3</v>
      </c>
      <c r="J6" s="24">
        <f t="shared" ref="J6:J13" si="3">IF(I$32&lt;=1+I$131,I6,B6*H6+J$33*(I6-B6*H6))</f>
        <v>7.1955093399750925E-3</v>
      </c>
      <c r="K6" s="22">
        <f t="shared" ref="K6:K31" si="4">B6</f>
        <v>3.5977546699875462E-2</v>
      </c>
      <c r="L6" s="22">
        <f t="shared" ref="L6:L29" si="5">IF(K6="","",K6*H6)</f>
        <v>7.1955093399750925E-3</v>
      </c>
      <c r="M6" s="224">
        <f t="shared" ref="M6:M31" si="6">J6</f>
        <v>7.1955093399750925E-3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2.878203735990037E-2</v>
      </c>
      <c r="Z6" s="116">
        <v>0.17</v>
      </c>
      <c r="AA6" s="121">
        <f>$M6*Z6*4</f>
        <v>4.8929463511830631E-3</v>
      </c>
      <c r="AB6" s="116">
        <v>0.17</v>
      </c>
      <c r="AC6" s="121">
        <f t="shared" ref="AC6:AC29" si="7">$M6*AB6*4</f>
        <v>4.8929463511830631E-3</v>
      </c>
      <c r="AD6" s="116">
        <v>0.33</v>
      </c>
      <c r="AE6" s="121">
        <f t="shared" ref="AE6:AE29" si="8">$M6*AD6*4</f>
        <v>9.4980723287671227E-3</v>
      </c>
      <c r="AF6" s="122">
        <f>1-SUM(Z6,AB6,AD6)</f>
        <v>0.32999999999999996</v>
      </c>
      <c r="AG6" s="121">
        <f>$M6*AF6*4</f>
        <v>9.4980723287671209E-3</v>
      </c>
      <c r="AH6" s="123">
        <f>SUM(Z6,AB6,AD6,AF6)</f>
        <v>1</v>
      </c>
      <c r="AI6" s="183">
        <f>SUM(AA6,AC6,AE6,AG6)/4</f>
        <v>7.1955093399750925E-3</v>
      </c>
      <c r="AJ6" s="120">
        <f>(AA6+AC6)/2</f>
        <v>4.8929463511830631E-3</v>
      </c>
      <c r="AK6" s="119">
        <f>(AE6+AG6)/2</f>
        <v>9.4980723287671209E-3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0.2</v>
      </c>
      <c r="F7" s="27">
        <v>8800</v>
      </c>
      <c r="H7" s="24">
        <f t="shared" si="1"/>
        <v>0.2</v>
      </c>
      <c r="I7" s="22">
        <f t="shared" si="2"/>
        <v>5.7193204389788289E-3</v>
      </c>
      <c r="J7" s="24">
        <f t="shared" si="3"/>
        <v>5.7193204389788289E-3</v>
      </c>
      <c r="K7" s="22">
        <f t="shared" si="4"/>
        <v>2.8596602194894145E-2</v>
      </c>
      <c r="L7" s="22">
        <f t="shared" si="5"/>
        <v>5.7193204389788289E-3</v>
      </c>
      <c r="M7" s="224">
        <f t="shared" si="6"/>
        <v>5.7193204389788289E-3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708.04227716205048</v>
      </c>
      <c r="T7" s="222">
        <f>IF($B$81=0,0,(SUMIF($N$6:$N$28,$U7,M$6:M$28)+SUMIF($N$91:$N$118,$U7,M$91:M$118))*$I$83*Poor!$B$81/$B$81)</f>
        <v>756.73375053887412</v>
      </c>
      <c r="U7" s="223">
        <v>1</v>
      </c>
      <c r="V7" s="56"/>
      <c r="W7" s="115"/>
      <c r="X7" s="124">
        <v>4</v>
      </c>
      <c r="Y7" s="183">
        <f t="shared" ref="Y7:Y29" si="9">M7*4</f>
        <v>2.2877281755915316E-2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2.2877281755915316E-2</v>
      </c>
      <c r="AH7" s="123">
        <f t="shared" ref="AH7:AH30" si="12">SUM(Z7,AB7,AD7,AF7)</f>
        <v>1</v>
      </c>
      <c r="AI7" s="183">
        <f t="shared" ref="AI7:AI30" si="13">SUM(AA7,AC7,AE7,AG7)/4</f>
        <v>5.7193204389788289E-3</v>
      </c>
      <c r="AJ7" s="120">
        <f t="shared" ref="AJ7:AJ31" si="14">(AA7+AC7)/2</f>
        <v>0</v>
      </c>
      <c r="AK7" s="119">
        <f t="shared" ref="AK7:AK31" si="15">(AE7+AG7)/2</f>
        <v>1.1438640877957658E-2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2.7222222222222222E-3</v>
      </c>
      <c r="J8" s="24">
        <f t="shared" si="3"/>
        <v>2.7222222222222222E-3</v>
      </c>
      <c r="K8" s="22">
        <f t="shared" si="4"/>
        <v>1.361111111111111E-2</v>
      </c>
      <c r="L8" s="22">
        <f t="shared" si="5"/>
        <v>2.7222222222222222E-3</v>
      </c>
      <c r="M8" s="224">
        <f t="shared" si="6"/>
        <v>2.7222222222222222E-3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347.29333333333335</v>
      </c>
      <c r="T8" s="222">
        <f>IF($B$81=0,0,(SUMIF($N$6:$N$28,$U8,M$6:M$28)+SUMIF($N$91:$N$118,$U8,M$91:M$118))*$I$83*Poor!$B$81/$B$81)</f>
        <v>211.67999999999998</v>
      </c>
      <c r="U8" s="223">
        <v>2</v>
      </c>
      <c r="V8" s="184"/>
      <c r="W8" s="115"/>
      <c r="X8" s="124">
        <v>1</v>
      </c>
      <c r="Y8" s="183">
        <f t="shared" si="9"/>
        <v>1.0888888888888889E-2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1.0888888888888889E-2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2.7222222222222222E-3</v>
      </c>
      <c r="AJ8" s="120">
        <f t="shared" si="14"/>
        <v>5.4444444444444445E-3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0.3</v>
      </c>
      <c r="F9" s="28">
        <v>8800</v>
      </c>
      <c r="H9" s="24">
        <f t="shared" si="1"/>
        <v>0.3</v>
      </c>
      <c r="I9" s="22">
        <f t="shared" si="2"/>
        <v>3.6966058468244078E-2</v>
      </c>
      <c r="J9" s="24">
        <f t="shared" si="3"/>
        <v>3.6966058468244078E-2</v>
      </c>
      <c r="K9" s="22">
        <f t="shared" si="4"/>
        <v>0.12322019489414693</v>
      </c>
      <c r="L9" s="22">
        <f t="shared" si="5"/>
        <v>3.6966058468244078E-2</v>
      </c>
      <c r="M9" s="224">
        <f t="shared" si="6"/>
        <v>3.6966058468244078E-2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178.07168754085009</v>
      </c>
      <c r="T9" s="222">
        <f>IF($B$81=0,0,(SUMIF($N$6:$N$28,$U9,M$6:M$28)+SUMIF($N$91:$N$118,$U9,M$91:M$118))*$I$83*Poor!$B$81/$B$81)</f>
        <v>178.07168754085009</v>
      </c>
      <c r="U9" s="223">
        <v>3</v>
      </c>
      <c r="V9" s="56"/>
      <c r="W9" s="115"/>
      <c r="X9" s="124">
        <v>1</v>
      </c>
      <c r="Y9" s="183">
        <f t="shared" si="9"/>
        <v>0.14786423387297631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0.14786423387297631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3.6966058468244078E-2</v>
      </c>
      <c r="AJ9" s="120">
        <f t="shared" si="14"/>
        <v>7.3932116936488157E-2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0.2</v>
      </c>
      <c r="H10" s="24">
        <f t="shared" si="1"/>
        <v>0.2</v>
      </c>
      <c r="I10" s="22">
        <f t="shared" si="2"/>
        <v>3.627115301992528E-3</v>
      </c>
      <c r="J10" s="24">
        <f t="shared" si="3"/>
        <v>3.627115301992528E-3</v>
      </c>
      <c r="K10" s="22">
        <f t="shared" si="4"/>
        <v>2.3382926058530512E-2</v>
      </c>
      <c r="L10" s="22">
        <f t="shared" si="5"/>
        <v>4.6765852117061028E-3</v>
      </c>
      <c r="M10" s="224">
        <f t="shared" si="6"/>
        <v>3.627115301992528E-3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1.4508461207970112E-2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1.4508461207970112E-2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3.627115301992528E-3</v>
      </c>
      <c r="AJ10" s="120">
        <f t="shared" si="14"/>
        <v>7.2542306039850559E-3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0.2</v>
      </c>
      <c r="H11" s="24">
        <f t="shared" si="1"/>
        <v>0.2</v>
      </c>
      <c r="I11" s="22">
        <f t="shared" si="2"/>
        <v>3.0865120797011212E-3</v>
      </c>
      <c r="J11" s="24">
        <f t="shared" si="3"/>
        <v>3.0865120797011212E-3</v>
      </c>
      <c r="K11" s="22">
        <f t="shared" si="4"/>
        <v>5.6812901618929013E-3</v>
      </c>
      <c r="L11" s="22">
        <f t="shared" si="5"/>
        <v>1.1362580323785803E-3</v>
      </c>
      <c r="M11" s="224">
        <f t="shared" si="6"/>
        <v>3.0865120797011212E-3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4867.1066666666666</v>
      </c>
      <c r="T11" s="222">
        <f>IF($B$81=0,0,(SUMIF($N$6:$N$28,$U11,M$6:M$28)+SUMIF($N$91:$N$118,$U11,M$91:M$118))*$I$83*Poor!$B$81/$B$81)</f>
        <v>4375.4399999999996</v>
      </c>
      <c r="U11" s="223">
        <v>5</v>
      </c>
      <c r="V11" s="56"/>
      <c r="W11" s="115"/>
      <c r="X11" s="124">
        <v>1</v>
      </c>
      <c r="Y11" s="183">
        <f t="shared" si="9"/>
        <v>1.2346048318804485E-2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1.2346048318804485E-2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3.0865120797011212E-3</v>
      </c>
      <c r="AJ11" s="120">
        <f t="shared" si="14"/>
        <v>6.1730241594022423E-3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0.2</v>
      </c>
      <c r="H12" s="24">
        <f t="shared" si="1"/>
        <v>0.2</v>
      </c>
      <c r="I12" s="22">
        <f t="shared" si="2"/>
        <v>8.1819427148194278E-4</v>
      </c>
      <c r="J12" s="24">
        <f t="shared" si="3"/>
        <v>8.1819427148194278E-4</v>
      </c>
      <c r="K12" s="22">
        <f t="shared" si="4"/>
        <v>3.4044831880448317E-3</v>
      </c>
      <c r="L12" s="22">
        <f t="shared" si="5"/>
        <v>6.8089663760896634E-4</v>
      </c>
      <c r="M12" s="224">
        <f t="shared" si="6"/>
        <v>8.1819427148194278E-4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123.13076565969908</v>
      </c>
      <c r="U12" s="223">
        <v>6</v>
      </c>
      <c r="V12" s="56"/>
      <c r="W12" s="117"/>
      <c r="X12" s="118"/>
      <c r="Y12" s="183">
        <f t="shared" si="9"/>
        <v>3.2727770859277711E-3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2.1927606475716068E-3</v>
      </c>
      <c r="AF12" s="122">
        <f>1-SUM(Z12,AB12,AD12)</f>
        <v>0.32999999999999996</v>
      </c>
      <c r="AG12" s="121">
        <f>$M12*AF12*4</f>
        <v>1.0800164383561644E-3</v>
      </c>
      <c r="AH12" s="123">
        <f t="shared" si="12"/>
        <v>1</v>
      </c>
      <c r="AI12" s="183">
        <f t="shared" si="13"/>
        <v>8.1819427148194278E-4</v>
      </c>
      <c r="AJ12" s="120">
        <f t="shared" si="14"/>
        <v>0</v>
      </c>
      <c r="AK12" s="119">
        <f t="shared" si="15"/>
        <v>1.6363885429638856E-3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0.2</v>
      </c>
      <c r="H13" s="24">
        <f t="shared" si="1"/>
        <v>0.2</v>
      </c>
      <c r="I13" s="22">
        <f t="shared" si="2"/>
        <v>1.8212951432129514E-4</v>
      </c>
      <c r="J13" s="24">
        <f t="shared" si="3"/>
        <v>1.8212951432129514E-4</v>
      </c>
      <c r="K13" s="22">
        <f t="shared" si="4"/>
        <v>7.5887297633872976E-4</v>
      </c>
      <c r="L13" s="22">
        <f t="shared" si="5"/>
        <v>1.5177459526774596E-4</v>
      </c>
      <c r="M13" s="225">
        <f t="shared" si="6"/>
        <v>1.8212951432129514E-4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1117.4000000000001</v>
      </c>
      <c r="T13" s="222">
        <f>IF($B$81=0,0,(SUMIF($N$6:$N$28,$U13,M$6:M$28)+SUMIF($N$91:$N$118,$U13,M$91:M$118))*$I$83*Poor!$B$81/$B$81)</f>
        <v>1117.4000000000001</v>
      </c>
      <c r="U13" s="223">
        <v>7</v>
      </c>
      <c r="V13" s="56"/>
      <c r="W13" s="110"/>
      <c r="X13" s="118"/>
      <c r="Y13" s="183">
        <f t="shared" si="9"/>
        <v>7.2851805728518055E-4</v>
      </c>
      <c r="Z13" s="116">
        <v>1</v>
      </c>
      <c r="AA13" s="121">
        <f>$M13*Z13*4</f>
        <v>7.2851805728518055E-4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1.8212951432129514E-4</v>
      </c>
      <c r="AJ13" s="120">
        <f t="shared" si="14"/>
        <v>3.6425902864259028E-4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0.2</v>
      </c>
      <c r="F14" s="22"/>
      <c r="H14" s="24">
        <f t="shared" si="1"/>
        <v>0.2</v>
      </c>
      <c r="I14" s="22">
        <f t="shared" si="2"/>
        <v>1.2578648816936489E-3</v>
      </c>
      <c r="J14" s="24">
        <f>IF(I$32&lt;=1+I131,I14,B14*H14+J$33*(I14-B14*H14))</f>
        <v>1.2578648816936489E-3</v>
      </c>
      <c r="K14" s="22">
        <f t="shared" si="4"/>
        <v>6.2893244084682443E-3</v>
      </c>
      <c r="L14" s="22">
        <f t="shared" si="5"/>
        <v>1.2578648816936489E-3</v>
      </c>
      <c r="M14" s="225">
        <f t="shared" si="6"/>
        <v>1.2578648816936489E-3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5.0314595267745956E-3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5.0314595267745956E-3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1.2578648816936489E-3</v>
      </c>
      <c r="AJ14" s="120">
        <f t="shared" si="14"/>
        <v>2.5157297633872978E-3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0.2</v>
      </c>
      <c r="F15" s="22"/>
      <c r="H15" s="24">
        <f t="shared" si="1"/>
        <v>0.2</v>
      </c>
      <c r="I15" s="22">
        <f t="shared" si="2"/>
        <v>5.9797462640099621E-4</v>
      </c>
      <c r="J15" s="24">
        <f>IF(I$32&lt;=1+I131,I15,B15*H15+J$33*(I15-B15*H15))</f>
        <v>5.9797462640099621E-4</v>
      </c>
      <c r="K15" s="22">
        <f t="shared" si="4"/>
        <v>2.9898731320049808E-3</v>
      </c>
      <c r="L15" s="22">
        <f t="shared" si="5"/>
        <v>5.9797462640099621E-4</v>
      </c>
      <c r="M15" s="226">
        <f t="shared" si="6"/>
        <v>5.9797462640099621E-4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2.3918985056039848E-3</v>
      </c>
      <c r="Z15" s="116">
        <v>0.25</v>
      </c>
      <c r="AA15" s="121">
        <f t="shared" si="16"/>
        <v>5.9797462640099621E-4</v>
      </c>
      <c r="AB15" s="116">
        <v>0.25</v>
      </c>
      <c r="AC15" s="121">
        <f t="shared" si="7"/>
        <v>5.9797462640099621E-4</v>
      </c>
      <c r="AD15" s="116">
        <v>0.25</v>
      </c>
      <c r="AE15" s="121">
        <f t="shared" si="8"/>
        <v>5.9797462640099621E-4</v>
      </c>
      <c r="AF15" s="122">
        <f t="shared" si="10"/>
        <v>0.25</v>
      </c>
      <c r="AG15" s="121">
        <f t="shared" si="11"/>
        <v>5.9797462640099621E-4</v>
      </c>
      <c r="AH15" s="123">
        <f t="shared" si="12"/>
        <v>1</v>
      </c>
      <c r="AI15" s="183">
        <f t="shared" si="13"/>
        <v>5.9797462640099621E-4</v>
      </c>
      <c r="AJ15" s="120">
        <f t="shared" si="14"/>
        <v>5.9797462640099621E-4</v>
      </c>
      <c r="AK15" s="119">
        <f t="shared" si="15"/>
        <v>5.9797462640099621E-4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0.2</v>
      </c>
      <c r="F16" s="22"/>
      <c r="H16" s="24">
        <f t="shared" si="1"/>
        <v>0.2</v>
      </c>
      <c r="I16" s="22">
        <f t="shared" si="2"/>
        <v>1.9313511830635119E-4</v>
      </c>
      <c r="J16" s="24">
        <f>IF(I$32&lt;=1+I131,I16,B16*H16+J$33*(I16-B16*H16))</f>
        <v>1.9313511830635119E-4</v>
      </c>
      <c r="K16" s="22">
        <f t="shared" si="4"/>
        <v>8.0923100871731007E-4</v>
      </c>
      <c r="L16" s="22">
        <f t="shared" si="5"/>
        <v>1.6184620174346202E-4</v>
      </c>
      <c r="M16" s="224">
        <f t="shared" si="6"/>
        <v>1.9313511830635119E-4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7.7254047322540477E-4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7.7254047322540477E-4</v>
      </c>
      <c r="AH16" s="123">
        <f t="shared" si="12"/>
        <v>1</v>
      </c>
      <c r="AI16" s="183">
        <f t="shared" si="13"/>
        <v>1.9313511830635119E-4</v>
      </c>
      <c r="AJ16" s="120">
        <f t="shared" si="14"/>
        <v>0</v>
      </c>
      <c r="AK16" s="119">
        <f t="shared" si="15"/>
        <v>3.8627023661270239E-4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0.2</v>
      </c>
      <c r="F17" s="22"/>
      <c r="H17" s="24">
        <f t="shared" si="1"/>
        <v>0.2</v>
      </c>
      <c r="I17" s="22">
        <f t="shared" si="2"/>
        <v>7.625398505603986E-4</v>
      </c>
      <c r="J17" s="24">
        <f t="shared" ref="J17:J25" si="17">IF(I$32&lt;=1+I131,I17,B17*H17+J$33*(I17-B17*H17))</f>
        <v>7.625398505603986E-4</v>
      </c>
      <c r="K17" s="22">
        <f t="shared" si="4"/>
        <v>3.8126992528019926E-3</v>
      </c>
      <c r="L17" s="22">
        <f t="shared" si="5"/>
        <v>7.625398505603986E-4</v>
      </c>
      <c r="M17" s="225">
        <f t="shared" si="6"/>
        <v>7.625398505603986E-4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3.0501594022415944E-3</v>
      </c>
      <c r="Z17" s="116">
        <v>0.29409999999999997</v>
      </c>
      <c r="AA17" s="121">
        <f t="shared" si="16"/>
        <v>8.9705188019925284E-4</v>
      </c>
      <c r="AB17" s="116">
        <v>0.17649999999999999</v>
      </c>
      <c r="AC17" s="121">
        <f t="shared" si="7"/>
        <v>5.3835313449564139E-4</v>
      </c>
      <c r="AD17" s="116">
        <v>0.23530000000000001</v>
      </c>
      <c r="AE17" s="121">
        <f t="shared" si="8"/>
        <v>7.1770250734744722E-4</v>
      </c>
      <c r="AF17" s="122">
        <f t="shared" si="10"/>
        <v>0.29410000000000003</v>
      </c>
      <c r="AG17" s="121">
        <f t="shared" si="11"/>
        <v>8.9705188019925295E-4</v>
      </c>
      <c r="AH17" s="123">
        <f t="shared" si="12"/>
        <v>1</v>
      </c>
      <c r="AI17" s="183">
        <f t="shared" si="13"/>
        <v>7.625398505603986E-4</v>
      </c>
      <c r="AJ17" s="120">
        <f t="shared" si="14"/>
        <v>7.1770250734744712E-4</v>
      </c>
      <c r="AK17" s="119">
        <f t="shared" si="15"/>
        <v>8.0737719377335009E-4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2.4844333748443338E-3</v>
      </c>
      <c r="J18" s="24">
        <f t="shared" si="17"/>
        <v>2.4844333748443338E-3</v>
      </c>
      <c r="K18" s="22">
        <f t="shared" ref="K18:K20" si="21">B18</f>
        <v>7.4533001245330015E-3</v>
      </c>
      <c r="L18" s="22">
        <f t="shared" ref="L18:L20" si="22">IF(K18="","",K18*H18)</f>
        <v>1.4906600249066004E-3</v>
      </c>
      <c r="M18" s="225">
        <f t="shared" ref="M18:M20" si="23">J18</f>
        <v>2.4844333748443338E-3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9.9377334993773353E-3</v>
      </c>
      <c r="Z18" s="116">
        <v>1.2941</v>
      </c>
      <c r="AA18" s="121">
        <f t="shared" ref="AA18:AA20" si="25">$M18*Z18*4</f>
        <v>1.286042092154421E-2</v>
      </c>
      <c r="AB18" s="116">
        <v>1.1765000000000001</v>
      </c>
      <c r="AC18" s="121">
        <f t="shared" ref="AC18:AC20" si="26">$M18*AB18*4</f>
        <v>1.1691743462017436E-2</v>
      </c>
      <c r="AD18" s="116">
        <v>1.2353000000000001</v>
      </c>
      <c r="AE18" s="121">
        <f t="shared" ref="AE18:AE20" si="27">$M18*AD18*4</f>
        <v>1.2276082191780823E-2</v>
      </c>
      <c r="AF18" s="122">
        <f t="shared" ref="AF18:AF20" si="28">1-SUM(Z18,AB18,AD18)</f>
        <v>-2.7059000000000002</v>
      </c>
      <c r="AG18" s="121">
        <f t="shared" ref="AG18:AG20" si="29">$M18*AF18*4</f>
        <v>-2.6890513075965135E-2</v>
      </c>
      <c r="AH18" s="123">
        <f t="shared" ref="AH18:AH20" si="30">SUM(Z18,AB18,AD18,AF18)</f>
        <v>1</v>
      </c>
      <c r="AI18" s="183">
        <f t="shared" ref="AI18:AI20" si="31">SUM(AA18,AC18,AE18,AG18)/4</f>
        <v>2.4844333748443338E-3</v>
      </c>
      <c r="AJ18" s="120">
        <f t="shared" ref="AJ18:AJ20" si="32">(AA18+AC18)/2</f>
        <v>1.2276082191780823E-2</v>
      </c>
      <c r="AK18" s="119">
        <f t="shared" ref="AK18:AK20" si="33">(AE18+AG18)/2</f>
        <v>-7.307215442092156E-3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0.2</v>
      </c>
      <c r="F19" s="22"/>
      <c r="H19" s="24">
        <f t="shared" si="19"/>
        <v>0.2</v>
      </c>
      <c r="I19" s="22">
        <f t="shared" si="20"/>
        <v>2.1415525114155251E-3</v>
      </c>
      <c r="J19" s="24">
        <f t="shared" si="17"/>
        <v>2.1415525114155251E-3</v>
      </c>
      <c r="K19" s="22">
        <f t="shared" si="21"/>
        <v>3.518264840182648E-3</v>
      </c>
      <c r="L19" s="22">
        <f t="shared" si="22"/>
        <v>7.0365296803652966E-4</v>
      </c>
      <c r="M19" s="225">
        <f t="shared" si="23"/>
        <v>2.1415525114155251E-3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8.5662100456621003E-3</v>
      </c>
      <c r="Z19" s="116">
        <v>2.2940999999999998</v>
      </c>
      <c r="AA19" s="121">
        <f t="shared" si="25"/>
        <v>1.9651742465753422E-2</v>
      </c>
      <c r="AB19" s="116">
        <v>2.1764999999999999</v>
      </c>
      <c r="AC19" s="121">
        <f t="shared" si="26"/>
        <v>1.864435616438356E-2</v>
      </c>
      <c r="AD19" s="116">
        <v>2.2353000000000001</v>
      </c>
      <c r="AE19" s="121">
        <f t="shared" si="27"/>
        <v>1.9148049315068492E-2</v>
      </c>
      <c r="AF19" s="122">
        <f t="shared" si="28"/>
        <v>-5.7058999999999997</v>
      </c>
      <c r="AG19" s="121">
        <f t="shared" si="29"/>
        <v>-4.8877937899543374E-2</v>
      </c>
      <c r="AH19" s="123">
        <f t="shared" si="30"/>
        <v>1</v>
      </c>
      <c r="AI19" s="183">
        <f t="shared" si="31"/>
        <v>2.1415525114155259E-3</v>
      </c>
      <c r="AJ19" s="120">
        <f t="shared" si="32"/>
        <v>1.9148049315068492E-2</v>
      </c>
      <c r="AK19" s="119">
        <f t="shared" si="33"/>
        <v>-1.4864944292237441E-2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0.2</v>
      </c>
      <c r="F20" s="22"/>
      <c r="H20" s="24">
        <f t="shared" si="19"/>
        <v>0.2</v>
      </c>
      <c r="I20" s="22">
        <f t="shared" si="20"/>
        <v>4.3150684931506848E-5</v>
      </c>
      <c r="J20" s="24">
        <f t="shared" si="17"/>
        <v>4.3150684931506848E-5</v>
      </c>
      <c r="K20" s="22">
        <f t="shared" si="21"/>
        <v>2.1575342465753424E-4</v>
      </c>
      <c r="L20" s="22">
        <f t="shared" si="22"/>
        <v>4.3150684931506848E-5</v>
      </c>
      <c r="M20" s="225">
        <f t="shared" si="23"/>
        <v>4.3150684931506848E-5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1.7260273972602739E-4</v>
      </c>
      <c r="Z20" s="116">
        <v>3.2940999999999998</v>
      </c>
      <c r="AA20" s="121">
        <f t="shared" si="25"/>
        <v>5.6857068493150682E-4</v>
      </c>
      <c r="AB20" s="116">
        <v>3.1764999999999999</v>
      </c>
      <c r="AC20" s="121">
        <f t="shared" si="26"/>
        <v>5.4827260273972601E-4</v>
      </c>
      <c r="AD20" s="116">
        <v>3.2353000000000001</v>
      </c>
      <c r="AE20" s="121">
        <f t="shared" si="27"/>
        <v>5.5842164383561647E-4</v>
      </c>
      <c r="AF20" s="122">
        <f t="shared" si="28"/>
        <v>-8.7058999999999997</v>
      </c>
      <c r="AG20" s="121">
        <f t="shared" si="29"/>
        <v>-1.5026621917808218E-3</v>
      </c>
      <c r="AH20" s="123">
        <f t="shared" si="30"/>
        <v>1</v>
      </c>
      <c r="AI20" s="183">
        <f t="shared" si="31"/>
        <v>4.3150684931506902E-5</v>
      </c>
      <c r="AJ20" s="120">
        <f t="shared" si="32"/>
        <v>5.5842164383561647E-4</v>
      </c>
      <c r="AK20" s="119">
        <f t="shared" si="33"/>
        <v>-4.7212027397260266E-4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8.5052148194271482E-3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8.5052148194271482E-3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3.4020859277708593E-2</v>
      </c>
      <c r="Z21" s="116">
        <v>4.2941000000000003</v>
      </c>
      <c r="AA21" s="121">
        <f t="shared" ref="AA21:AA25" si="41">$M21*Z21*4</f>
        <v>0.14608897182440847</v>
      </c>
      <c r="AB21" s="116">
        <v>4.1764999999999999</v>
      </c>
      <c r="AC21" s="121">
        <f t="shared" ref="AC21:AC25" si="42">$M21*AB21*4</f>
        <v>0.14208811877334993</v>
      </c>
      <c r="AD21" s="116">
        <v>4.2352999999999996</v>
      </c>
      <c r="AE21" s="121">
        <f t="shared" ref="AE21:AE25" si="43">$M21*AD21*4</f>
        <v>0.14408854529887918</v>
      </c>
      <c r="AF21" s="122">
        <f t="shared" ref="AF21:AF25" si="44">1-SUM(Z21,AB21,AD21)</f>
        <v>-11.7059</v>
      </c>
      <c r="AG21" s="121">
        <f t="shared" ref="AG21:AG25" si="45">$M21*AF21*4</f>
        <v>-0.39824477661892899</v>
      </c>
      <c r="AH21" s="123">
        <f t="shared" ref="AH21:AH25" si="46">SUM(Z21,AB21,AD21,AF21)</f>
        <v>1</v>
      </c>
      <c r="AI21" s="183">
        <f t="shared" ref="AI21:AI25" si="47">SUM(AA21,AC21,AE21,AG21)/4</f>
        <v>8.5052148194271482E-3</v>
      </c>
      <c r="AJ21" s="120">
        <f t="shared" ref="AJ21:AJ25" si="48">(AA21+AC21)/2</f>
        <v>0.14408854529887921</v>
      </c>
      <c r="AK21" s="119">
        <f t="shared" ref="AK21:AK25" si="49">(AE21+AG21)/2</f>
        <v>-0.12707811566002492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4.2496886674968869E-4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4.2496886674968869E-4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1.6998754669987548E-3</v>
      </c>
      <c r="Z22" s="116">
        <v>5.2941000000000003</v>
      </c>
      <c r="AA22" s="121">
        <f t="shared" si="41"/>
        <v>8.9993107098381084E-3</v>
      </c>
      <c r="AB22" s="116">
        <v>5.1764999999999999</v>
      </c>
      <c r="AC22" s="121">
        <f t="shared" si="42"/>
        <v>8.7994053549190539E-3</v>
      </c>
      <c r="AD22" s="116">
        <v>5.2352999999999996</v>
      </c>
      <c r="AE22" s="121">
        <f t="shared" si="43"/>
        <v>8.8993580323785803E-3</v>
      </c>
      <c r="AF22" s="122">
        <f t="shared" si="44"/>
        <v>-14.7059</v>
      </c>
      <c r="AG22" s="121">
        <f t="shared" si="45"/>
        <v>-2.4998198630136987E-2</v>
      </c>
      <c r="AH22" s="123">
        <f t="shared" si="46"/>
        <v>1</v>
      </c>
      <c r="AI22" s="183">
        <f t="shared" si="47"/>
        <v>4.2496886674968978E-4</v>
      </c>
      <c r="AJ22" s="120">
        <f t="shared" si="48"/>
        <v>8.899358032378582E-3</v>
      </c>
      <c r="AK22" s="119">
        <f t="shared" si="49"/>
        <v>-8.0494202988792042E-3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20084.957892178354</v>
      </c>
      <c r="T23" s="179">
        <f>SUM(T7:T22)</f>
        <v>19530.995518687116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0.22474769908451597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0.22474769908451597</v>
      </c>
      <c r="N29" s="229"/>
      <c r="P29" s="22"/>
      <c r="V29" s="56"/>
      <c r="W29" s="110"/>
      <c r="X29" s="118"/>
      <c r="Y29" s="183">
        <f t="shared" si="9"/>
        <v>0.89899079633806389</v>
      </c>
      <c r="Z29" s="116">
        <v>0.25</v>
      </c>
      <c r="AA29" s="121">
        <f t="shared" si="16"/>
        <v>0.22474769908451597</v>
      </c>
      <c r="AB29" s="116">
        <v>0.25</v>
      </c>
      <c r="AC29" s="121">
        <f t="shared" si="7"/>
        <v>0.22474769908451597</v>
      </c>
      <c r="AD29" s="116">
        <v>0.25</v>
      </c>
      <c r="AE29" s="121">
        <f t="shared" si="8"/>
        <v>0.22474769908451597</v>
      </c>
      <c r="AF29" s="122">
        <f t="shared" si="10"/>
        <v>0.25</v>
      </c>
      <c r="AG29" s="121">
        <f t="shared" si="11"/>
        <v>0.22474769908451597</v>
      </c>
      <c r="AH29" s="123">
        <f t="shared" si="12"/>
        <v>1</v>
      </c>
      <c r="AI29" s="183">
        <f t="shared" si="13"/>
        <v>0.22474769908451597</v>
      </c>
      <c r="AJ29" s="120">
        <f t="shared" si="14"/>
        <v>0.22474769908451597</v>
      </c>
      <c r="AK29" s="119">
        <f t="shared" si="15"/>
        <v>0.22474769908451597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0.59274655759651318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10951.03459978538</v>
      </c>
      <c r="T30" s="234">
        <f t="shared" si="50"/>
        <v>11504.996973276619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0.24154593138617386</v>
      </c>
      <c r="AB30" s="122">
        <f>IF($Y30=0,0,AC30/($Y$30))</f>
        <v>0</v>
      </c>
      <c r="AC30" s="187">
        <f>IF(AC79*4/$I$83+SUM(AC6:AC29)&lt;1,AC79*4/$I$83,1-SUM(AC6:AC29))</f>
        <v>0.21601199048815814</v>
      </c>
      <c r="AD30" s="122">
        <f>IF($Y30=0,0,AE30/($Y$30))</f>
        <v>0</v>
      </c>
      <c r="AE30" s="187">
        <f>IF(AE79*4/$I$83+SUM(AE6:AE29)&lt;1,AE79*4/$I$83,1-SUM(AE6:AE29))</f>
        <v>-0.38334640287592214</v>
      </c>
      <c r="AF30" s="122">
        <f>IF($Y30=0,0,AG30/($Y$30))</f>
        <v>0</v>
      </c>
      <c r="AG30" s="187">
        <f>IF(AG79*4/$I$83+SUM(AG6:AG29)&lt;1,AG79*4/$I$83,1-SUM(AG6:AG29))</f>
        <v>-0.39837379306441234</v>
      </c>
      <c r="AH30" s="123">
        <f t="shared" si="12"/>
        <v>0</v>
      </c>
      <c r="AI30" s="183">
        <f t="shared" si="13"/>
        <v>-8.1040568516500627E-2</v>
      </c>
      <c r="AJ30" s="120">
        <f t="shared" si="14"/>
        <v>0.22877896093716599</v>
      </c>
      <c r="AK30" s="119">
        <f t="shared" si="15"/>
        <v>-0.39086009797016724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0.54571117482511122</v>
      </c>
      <c r="K31" s="22" t="str">
        <f t="shared" si="4"/>
        <v/>
      </c>
      <c r="L31" s="22">
        <f>(1-SUM(L6:L30))</f>
        <v>0.52711608296421419</v>
      </c>
      <c r="M31" s="178">
        <f t="shared" si="6"/>
        <v>0.54571117482511122</v>
      </c>
      <c r="N31" s="167">
        <f>M31*I83</f>
        <v>7524.350802467834</v>
      </c>
      <c r="P31" s="22"/>
      <c r="Q31" s="238" t="s">
        <v>142</v>
      </c>
      <c r="R31" s="234">
        <f t="shared" si="50"/>
        <v>0</v>
      </c>
      <c r="S31" s="234">
        <f t="shared" si="50"/>
        <v>27914.9768220076</v>
      </c>
      <c r="T31" s="234">
        <f>IF(T25&gt;T$23,T25-T$23,0)</f>
        <v>28468.939195498839</v>
      </c>
      <c r="V31" s="56"/>
      <c r="W31" s="129" t="s">
        <v>84</v>
      </c>
      <c r="X31" s="130"/>
      <c r="Y31" s="121">
        <f>M31*4</f>
        <v>2.1828446993004449</v>
      </c>
      <c r="Z31" s="131"/>
      <c r="AA31" s="132">
        <f>1-AA32+IF($Y32&lt;0,$Y32/4,0)</f>
        <v>0</v>
      </c>
      <c r="AB31" s="131"/>
      <c r="AC31" s="133">
        <f>1-AC32+IF($Y32&lt;0,$Y32/4,0)</f>
        <v>0.21359445071193583</v>
      </c>
      <c r="AD31" s="134"/>
      <c r="AE31" s="133">
        <f>1-AE32+IF($Y32&lt;0,$Y32/4,0)</f>
        <v>0.80780850748025024</v>
      </c>
      <c r="AF31" s="134"/>
      <c r="AG31" s="133">
        <f>1-AG32+IF($Y32&lt;0,$Y32/4,0)</f>
        <v>1.4856040151742613</v>
      </c>
      <c r="AH31" s="123"/>
      <c r="AI31" s="182">
        <f>SUM(AA31,AC31,AE31,AG31)/4</f>
        <v>0.62675174334161188</v>
      </c>
      <c r="AJ31" s="135">
        <f t="shared" si="14"/>
        <v>0.10679722535596792</v>
      </c>
      <c r="AK31" s="136">
        <f t="shared" si="15"/>
        <v>1.1467062613272558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0.45428882517488878</v>
      </c>
      <c r="J32" s="17"/>
      <c r="L32" s="22">
        <f>SUM(L6:L30)</f>
        <v>0.47288391703578581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59288.81682200759</v>
      </c>
      <c r="T32" s="234">
        <f t="shared" si="50"/>
        <v>59842.779195498828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0.78640554928806417</v>
      </c>
      <c r="AD32" s="137"/>
      <c r="AE32" s="139">
        <f>SUM(AE6:AE30)</f>
        <v>0.19219149251974976</v>
      </c>
      <c r="AF32" s="137"/>
      <c r="AG32" s="139">
        <f>SUM(AG6:AG30)</f>
        <v>-0.48560401517426133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-43.643656026473785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20944.588393031005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0.5</v>
      </c>
      <c r="F37" s="26">
        <v>1.18</v>
      </c>
      <c r="G37" s="26">
        <v>1</v>
      </c>
      <c r="H37" s="24">
        <f t="shared" ref="H37:H49" si="51">(E37*F37)</f>
        <v>0.59</v>
      </c>
      <c r="I37" s="39">
        <f t="shared" ref="I37:I49" si="52">D37*H37</f>
        <v>3884.1666666666661</v>
      </c>
      <c r="J37" s="38">
        <f t="shared" ref="J37:J49" si="53">J91*I$83</f>
        <v>3884.1666666666665</v>
      </c>
      <c r="K37" s="40">
        <f t="shared" ref="K37:K49" si="54">(B37/B$65)</f>
        <v>0.14252827111402983</v>
      </c>
      <c r="L37" s="22">
        <f t="shared" ref="L37:L49" si="55">(K37*H37)</f>
        <v>8.4091679957277593E-2</v>
      </c>
      <c r="M37" s="24">
        <f t="shared" ref="M37:M49" si="56">J37/B$65</f>
        <v>8.4091679957277593E-2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0.49278509526799447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1914.0594408701018</v>
      </c>
      <c r="AB37" s="122">
        <f>IF($J37=0,0,AC37/($J37))</f>
        <v>0.50721490473200559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1970.1072257965648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3884.1666666666665</v>
      </c>
      <c r="AJ37" s="148">
        <f>(AA37+AC37)</f>
        <v>3884.1666666666665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0.5</v>
      </c>
      <c r="F38" s="26">
        <v>1.18</v>
      </c>
      <c r="G38" s="22">
        <f t="shared" ref="G38:G64" si="59">(G$37)</f>
        <v>1</v>
      </c>
      <c r="H38" s="24">
        <f t="shared" si="51"/>
        <v>0.59</v>
      </c>
      <c r="I38" s="39">
        <f t="shared" si="52"/>
        <v>393.33333333333331</v>
      </c>
      <c r="J38" s="38">
        <f t="shared" si="53"/>
        <v>393.33333333333331</v>
      </c>
      <c r="K38" s="40">
        <f t="shared" si="54"/>
        <v>3.2474795950032109E-2</v>
      </c>
      <c r="L38" s="22">
        <f t="shared" si="55"/>
        <v>1.9160129610518942E-2</v>
      </c>
      <c r="M38" s="24">
        <f t="shared" si="56"/>
        <v>8.5156131602306413E-3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0.49278509526799447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193.82880413874449</v>
      </c>
      <c r="AB38" s="122">
        <f>IF($J38=0,0,AC38/($J38))</f>
        <v>0.50721490473200548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199.50452919458883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393.33333333333331</v>
      </c>
      <c r="AJ38" s="148">
        <f t="shared" ref="AJ38:AJ64" si="62">(AA38+AC38)</f>
        <v>393.33333333333331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97.94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0.2</v>
      </c>
      <c r="F42" s="26">
        <v>1.4</v>
      </c>
      <c r="G42" s="22">
        <f t="shared" si="59"/>
        <v>1</v>
      </c>
      <c r="H42" s="24">
        <f t="shared" si="51"/>
        <v>0.27999999999999997</v>
      </c>
      <c r="I42" s="39">
        <f t="shared" si="52"/>
        <v>207.2</v>
      </c>
      <c r="J42" s="38">
        <f t="shared" si="53"/>
        <v>207.19999999999996</v>
      </c>
      <c r="K42" s="40">
        <f t="shared" si="54"/>
        <v>1.2989918380012844E-2</v>
      </c>
      <c r="L42" s="22">
        <f t="shared" si="55"/>
        <v>3.637177146403596E-3</v>
      </c>
      <c r="M42" s="24">
        <f t="shared" si="56"/>
        <v>4.4858518138977677E-3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51.79999999999999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103.59999999999998</v>
      </c>
      <c r="AF42" s="122">
        <f t="shared" si="57"/>
        <v>0.25</v>
      </c>
      <c r="AG42" s="147">
        <f t="shared" si="60"/>
        <v>51.79999999999999</v>
      </c>
      <c r="AH42" s="123">
        <f t="shared" si="61"/>
        <v>1</v>
      </c>
      <c r="AI42" s="112">
        <f t="shared" si="61"/>
        <v>207.19999999999996</v>
      </c>
      <c r="AJ42" s="148">
        <f t="shared" si="62"/>
        <v>51.79999999999999</v>
      </c>
      <c r="AK42" s="147">
        <f t="shared" si="63"/>
        <v>155.39999999999998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3.3196458082255047E-3</v>
      </c>
      <c r="L43" s="22">
        <f t="shared" si="55"/>
        <v>9.2950082630314124E-4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0.2</v>
      </c>
      <c r="F44" s="26">
        <v>1.4</v>
      </c>
      <c r="G44" s="22">
        <f t="shared" si="59"/>
        <v>1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4.7485368300269181E-3</v>
      </c>
      <c r="L44" s="22">
        <f t="shared" si="55"/>
        <v>1.329590312407537E-3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4.0413079404484405E-3</v>
      </c>
      <c r="L45" s="22">
        <f t="shared" si="55"/>
        <v>1.1315662233255632E-3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9.7424387850096334E-4</v>
      </c>
      <c r="L46" s="22">
        <f t="shared" si="55"/>
        <v>2.7278828598026973E-4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0.2</v>
      </c>
      <c r="F47" s="26">
        <v>1.4</v>
      </c>
      <c r="G47" s="22">
        <f t="shared" si="59"/>
        <v>1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2.1649863966688074E-4</v>
      </c>
      <c r="L47" s="22">
        <f t="shared" si="55"/>
        <v>6.0619619106726602E-5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0.2</v>
      </c>
      <c r="F48" s="26">
        <v>1.4</v>
      </c>
      <c r="G48" s="22">
        <f t="shared" si="59"/>
        <v>1</v>
      </c>
      <c r="H48" s="24">
        <f t="shared" si="51"/>
        <v>0.27999999999999997</v>
      </c>
      <c r="I48" s="39">
        <f t="shared" si="52"/>
        <v>4.4799999999999995</v>
      </c>
      <c r="J48" s="38">
        <f t="shared" si="53"/>
        <v>4.4799999999999995</v>
      </c>
      <c r="K48" s="40">
        <f t="shared" si="54"/>
        <v>5.6289646313388987E-4</v>
      </c>
      <c r="L48" s="22">
        <f t="shared" si="55"/>
        <v>1.5761100967748914E-4</v>
      </c>
      <c r="M48" s="24">
        <f t="shared" si="56"/>
        <v>9.6991390570762561E-5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1.1199999999999999</v>
      </c>
      <c r="AB48" s="116">
        <v>0.25</v>
      </c>
      <c r="AC48" s="147">
        <f t="shared" si="65"/>
        <v>1.1199999999999999</v>
      </c>
      <c r="AD48" s="116">
        <v>0.25</v>
      </c>
      <c r="AE48" s="147">
        <f t="shared" si="66"/>
        <v>1.1199999999999999</v>
      </c>
      <c r="AF48" s="122">
        <f t="shared" si="57"/>
        <v>0.25</v>
      </c>
      <c r="AG48" s="147">
        <f t="shared" si="60"/>
        <v>1.1199999999999999</v>
      </c>
      <c r="AH48" s="123">
        <f t="shared" si="61"/>
        <v>1</v>
      </c>
      <c r="AI48" s="112">
        <f t="shared" si="61"/>
        <v>4.4799999999999995</v>
      </c>
      <c r="AJ48" s="148">
        <f t="shared" si="62"/>
        <v>2.2399999999999998</v>
      </c>
      <c r="AK48" s="147">
        <f t="shared" si="63"/>
        <v>2.2399999999999998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0.2</v>
      </c>
      <c r="F49" s="26">
        <v>1.4</v>
      </c>
      <c r="G49" s="22">
        <f t="shared" si="59"/>
        <v>1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0.5</v>
      </c>
      <c r="F51" s="26">
        <v>1.1100000000000001</v>
      </c>
      <c r="G51" s="22">
        <f t="shared" si="59"/>
        <v>1</v>
      </c>
      <c r="H51" s="24">
        <f t="shared" si="68"/>
        <v>0.55500000000000005</v>
      </c>
      <c r="I51" s="39">
        <f t="shared" si="69"/>
        <v>710.40000000000009</v>
      </c>
      <c r="J51" s="38">
        <f t="shared" si="70"/>
        <v>710.4</v>
      </c>
      <c r="K51" s="40">
        <f t="shared" si="71"/>
        <v>2.7711825877360735E-2</v>
      </c>
      <c r="L51" s="22">
        <f t="shared" si="72"/>
        <v>1.5380063361935209E-2</v>
      </c>
      <c r="M51" s="24">
        <f t="shared" si="73"/>
        <v>1.5380063361935207E-2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0.5</v>
      </c>
      <c r="F52" s="26">
        <v>1.1100000000000001</v>
      </c>
      <c r="G52" s="22">
        <f t="shared" si="59"/>
        <v>1</v>
      </c>
      <c r="H52" s="24">
        <f t="shared" si="68"/>
        <v>0.55500000000000005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0.5</v>
      </c>
      <c r="F53" s="26">
        <v>1.1100000000000001</v>
      </c>
      <c r="G53" s="22">
        <f t="shared" si="59"/>
        <v>1</v>
      </c>
      <c r="H53" s="24">
        <f t="shared" si="68"/>
        <v>0.55500000000000005</v>
      </c>
      <c r="I53" s="39">
        <f t="shared" si="69"/>
        <v>407.00000000000006</v>
      </c>
      <c r="J53" s="38">
        <f t="shared" si="70"/>
        <v>407.00000000000011</v>
      </c>
      <c r="K53" s="40">
        <f t="shared" si="71"/>
        <v>1.5876566908904589E-2</v>
      </c>
      <c r="L53" s="22">
        <f t="shared" si="72"/>
        <v>8.8114946344420471E-3</v>
      </c>
      <c r="M53" s="24">
        <f t="shared" si="73"/>
        <v>8.8114946344420488E-3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0.6</v>
      </c>
      <c r="F54" s="26">
        <v>1.18</v>
      </c>
      <c r="G54" s="22">
        <f t="shared" si="59"/>
        <v>1</v>
      </c>
      <c r="H54" s="24">
        <f t="shared" si="68"/>
        <v>0.70799999999999996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0.4</v>
      </c>
      <c r="F55" s="26">
        <v>1.18</v>
      </c>
      <c r="G55" s="22">
        <f t="shared" si="59"/>
        <v>1</v>
      </c>
      <c r="H55" s="24">
        <f t="shared" si="68"/>
        <v>0.47199999999999998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0</v>
      </c>
      <c r="F57" s="26">
        <v>1.18</v>
      </c>
      <c r="G57" s="22">
        <f t="shared" si="59"/>
        <v>1</v>
      </c>
      <c r="H57" s="24">
        <f t="shared" si="68"/>
        <v>0</v>
      </c>
      <c r="I57" s="39">
        <f t="shared" si="69"/>
        <v>0</v>
      </c>
      <c r="J57" s="38">
        <f t="shared" si="70"/>
        <v>0</v>
      </c>
      <c r="K57" s="40">
        <f t="shared" si="71"/>
        <v>0.55020964284941065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16366.046666666665</v>
      </c>
      <c r="J65" s="39">
        <f>SUM(J37:J64)</f>
        <v>16366.046666666665</v>
      </c>
      <c r="K65" s="40">
        <f>SUM(K37:K64)</f>
        <v>0.99999999999999967</v>
      </c>
      <c r="L65" s="22">
        <f>SUM(L37:L64)</f>
        <v>0.36790321067482623</v>
      </c>
      <c r="M65" s="24">
        <f>SUM(M37:M64)</f>
        <v>0.35432268400580208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4924.1299116755126</v>
      </c>
      <c r="AB65" s="137"/>
      <c r="AC65" s="153">
        <f>SUM(AC37:AC64)</f>
        <v>4836.1134216578203</v>
      </c>
      <c r="AD65" s="137"/>
      <c r="AE65" s="153">
        <f>SUM(AE37:AE64)</f>
        <v>2770.1016666666665</v>
      </c>
      <c r="AF65" s="137"/>
      <c r="AG65" s="153">
        <f>SUM(AG37:AG64)</f>
        <v>2718.3016666666663</v>
      </c>
      <c r="AH65" s="137"/>
      <c r="AI65" s="153">
        <f>SUM(AI37:AI64)</f>
        <v>15248.646666666664</v>
      </c>
      <c r="AJ65" s="153">
        <f>SUM(AJ37:AJ64)</f>
        <v>9760.243333333332</v>
      </c>
      <c r="AK65" s="153">
        <f>SUM(AK37:AK64)</f>
        <v>5488.4033333333327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16366.046666666669</v>
      </c>
      <c r="J70" s="51">
        <f t="shared" ref="J70:J77" si="75">J124*I$83</f>
        <v>16366.046666666669</v>
      </c>
      <c r="K70" s="40">
        <f>B70/B$76</f>
        <v>0.31464509435952148</v>
      </c>
      <c r="L70" s="22">
        <f t="shared" ref="L70:L75" si="76">(L124*G$37*F$9/F$7)/B$130</f>
        <v>0.36790321067482629</v>
      </c>
      <c r="M70" s="24">
        <f>J70/B$76</f>
        <v>0.35432268400580219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4091.5116666666672</v>
      </c>
      <c r="AB70" s="116">
        <v>0.25</v>
      </c>
      <c r="AC70" s="147">
        <f>$J70*AB70</f>
        <v>4091.5116666666672</v>
      </c>
      <c r="AD70" s="116">
        <v>0.25</v>
      </c>
      <c r="AE70" s="147">
        <f>$J70*AD70</f>
        <v>4091.5116666666672</v>
      </c>
      <c r="AF70" s="122">
        <f>1-SUM(Z70,AB70,AD70)</f>
        <v>0.25</v>
      </c>
      <c r="AG70" s="147">
        <f>$J70*AF70</f>
        <v>4091.5116666666672</v>
      </c>
      <c r="AH70" s="155">
        <f>SUM(Z70,AB70,AD70,AF70)</f>
        <v>1</v>
      </c>
      <c r="AI70" s="147">
        <f>SUM(AA70,AC70,AE70,AG70)</f>
        <v>16366.046666666669</v>
      </c>
      <c r="AJ70" s="148">
        <f>(AA70+AC70)</f>
        <v>8183.0233333333344</v>
      </c>
      <c r="AK70" s="147">
        <f>(AE70+AG70)</f>
        <v>8183.0233333333344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0.3112432554659893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0.57562658314630255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0.17694178345169689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832.61824500884563</v>
      </c>
      <c r="AB74" s="156"/>
      <c r="AC74" s="147">
        <f>AC30*$I$83/4</f>
        <v>744.60175499115303</v>
      </c>
      <c r="AD74" s="156"/>
      <c r="AE74" s="147">
        <f>AE30*$I$83/4</f>
        <v>-1321.4100000000008</v>
      </c>
      <c r="AF74" s="156"/>
      <c r="AG74" s="147">
        <f>AG30*$I$83/4</f>
        <v>-1373.2100000000009</v>
      </c>
      <c r="AH74" s="155"/>
      <c r="AI74" s="147">
        <f>SUM(AA74,AC74,AE74,AG74)</f>
        <v>-1117.400000000003</v>
      </c>
      <c r="AJ74" s="148">
        <f>(AA74+AC74)</f>
        <v>1577.2199999999987</v>
      </c>
      <c r="AK74" s="147">
        <f>(AE74+AG74)</f>
        <v>-2694.6200000000017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16366.046666666669</v>
      </c>
      <c r="J76" s="51">
        <f t="shared" si="75"/>
        <v>16366.046666666669</v>
      </c>
      <c r="K76" s="40">
        <f>SUM(K70:K75)</f>
        <v>1.4504136476274592</v>
      </c>
      <c r="L76" s="22">
        <f>SUM(L70:L75)</f>
        <v>0.36790321067482629</v>
      </c>
      <c r="M76" s="24">
        <f>SUM(M70:M75)</f>
        <v>0.35432268400580219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4924.1299116755126</v>
      </c>
      <c r="AB76" s="137"/>
      <c r="AC76" s="153">
        <f>AC65</f>
        <v>4836.1134216578203</v>
      </c>
      <c r="AD76" s="137"/>
      <c r="AE76" s="153">
        <f>AE65</f>
        <v>2770.1016666666665</v>
      </c>
      <c r="AF76" s="137"/>
      <c r="AG76" s="153">
        <f>AG65</f>
        <v>2718.3016666666663</v>
      </c>
      <c r="AH76" s="137"/>
      <c r="AI76" s="153">
        <f>SUM(AA76,AC76,AE76,AG76)</f>
        <v>15248.646666666664</v>
      </c>
      <c r="AJ76" s="154">
        <f>SUM(AA76,AC76)</f>
        <v>9760.243333333332</v>
      </c>
      <c r="AK76" s="154">
        <f>SUM(AE76,AG76)</f>
        <v>5488.4033333333327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20944.588393031005</v>
      </c>
      <c r="J77" s="100">
        <f t="shared" si="75"/>
        <v>20944.588393031005</v>
      </c>
      <c r="K77" s="40"/>
      <c r="L77" s="22">
        <f>-(L131*G$37*F$9/F$7)/B$130</f>
        <v>-0.45344748954739522</v>
      </c>
      <c r="M77" s="24">
        <f>-J77/B$76</f>
        <v>-0.45344748954739522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736.26840110617627</v>
      </c>
      <c r="AD77" s="112"/>
      <c r="AE77" s="111">
        <f>AE31*$I$83/4</f>
        <v>2784.5474272390102</v>
      </c>
      <c r="AF77" s="112"/>
      <c r="AG77" s="111">
        <f>AG31*$I$83/4</f>
        <v>5120.9349741226515</v>
      </c>
      <c r="AH77" s="110"/>
      <c r="AI77" s="154">
        <f>SUM(AA77,AC77,AE77,AG77)</f>
        <v>8641.7508024678391</v>
      </c>
      <c r="AJ77" s="153">
        <f>SUM(AA77,AC77)</f>
        <v>736.26840110617627</v>
      </c>
      <c r="AK77" s="160">
        <f>SUM(AE77,AG77)</f>
        <v>7905.4824013616617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832.61824500884541</v>
      </c>
      <c r="AB79" s="112"/>
      <c r="AC79" s="112">
        <f>AA79-AA74+AC65-AC70</f>
        <v>744.60175499115303</v>
      </c>
      <c r="AD79" s="112"/>
      <c r="AE79" s="112">
        <f>AC79-AC74+AE65-AE70</f>
        <v>-1321.4100000000008</v>
      </c>
      <c r="AF79" s="112"/>
      <c r="AG79" s="112">
        <f>AE79-AE74+AG65-AG70</f>
        <v>-1373.2100000000009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0.59</v>
      </c>
      <c r="I91" s="22">
        <f t="shared" ref="I91" si="82">(D91*H91)</f>
        <v>0.28170312768883743</v>
      </c>
      <c r="J91" s="24">
        <f>IF(I$32&lt;=1+I$131,I91,L91+J$33*(I91-L91))</f>
        <v>0.28170312768883743</v>
      </c>
      <c r="K91" s="22">
        <f t="shared" ref="K91" si="83">IF(B91="",0,B91)</f>
        <v>0.47746292828616516</v>
      </c>
      <c r="L91" s="22">
        <f t="shared" ref="L91" si="84">(K91*H91)</f>
        <v>0.28170312768883743</v>
      </c>
      <c r="M91" s="227">
        <f t="shared" si="80"/>
        <v>0.28170312768883743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0.59</v>
      </c>
      <c r="I92" s="22">
        <f t="shared" ref="I92:I118" si="88">(D92*H92)</f>
        <v>2.8526899006464549E-2</v>
      </c>
      <c r="J92" s="24">
        <f t="shared" ref="J92:J118" si="89">IF(I$32&lt;=1+I$131,I92,L92+J$33*(I92-L92))</f>
        <v>2.8526899006464549E-2</v>
      </c>
      <c r="K92" s="22">
        <f t="shared" ref="K92:K118" si="90">IF(B92="",0,B92)</f>
        <v>0.10878902163482244</v>
      </c>
      <c r="L92" s="22">
        <f t="shared" ref="L92:L118" si="91">(K92*H92)</f>
        <v>6.4185522764545241E-2</v>
      </c>
      <c r="M92" s="227">
        <f t="shared" ref="M92:M118" si="92">(J92)</f>
        <v>2.8526899006464549E-2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0.59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0.42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0.27999999999999997</v>
      </c>
      <c r="I96" s="22">
        <f t="shared" si="88"/>
        <v>1.5027390188490138E-2</v>
      </c>
      <c r="J96" s="24">
        <f t="shared" si="89"/>
        <v>1.5027390188490138E-2</v>
      </c>
      <c r="K96" s="22">
        <f t="shared" si="90"/>
        <v>4.3515608653928978E-2</v>
      </c>
      <c r="L96" s="22">
        <f t="shared" si="91"/>
        <v>1.2184370423100112E-2</v>
      </c>
      <c r="M96" s="227">
        <f t="shared" si="92"/>
        <v>1.5027390188490138E-2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0.27999999999999997</v>
      </c>
      <c r="I97" s="22">
        <f t="shared" si="88"/>
        <v>0</v>
      </c>
      <c r="J97" s="24">
        <f t="shared" si="89"/>
        <v>0</v>
      </c>
      <c r="K97" s="22">
        <f t="shared" si="90"/>
        <v>1.1120655544892961E-2</v>
      </c>
      <c r="L97" s="22">
        <f t="shared" si="91"/>
        <v>3.1137835525700285E-3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0.27999999999999997</v>
      </c>
      <c r="I98" s="22">
        <f t="shared" si="88"/>
        <v>0</v>
      </c>
      <c r="J98" s="24">
        <f t="shared" si="89"/>
        <v>0</v>
      </c>
      <c r="K98" s="22">
        <f t="shared" si="90"/>
        <v>1.590737249682515E-2</v>
      </c>
      <c r="L98" s="22">
        <f t="shared" si="91"/>
        <v>4.4540642991110413E-3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0.27999999999999997</v>
      </c>
      <c r="I99" s="22">
        <f t="shared" si="88"/>
        <v>0</v>
      </c>
      <c r="J99" s="24">
        <f t="shared" si="89"/>
        <v>0</v>
      </c>
      <c r="K99" s="22">
        <f t="shared" si="90"/>
        <v>1.3538189359000126E-2</v>
      </c>
      <c r="L99" s="22">
        <f t="shared" si="91"/>
        <v>3.7906930205200348E-3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0.27999999999999997</v>
      </c>
      <c r="I100" s="22">
        <f t="shared" si="88"/>
        <v>0</v>
      </c>
      <c r="J100" s="24">
        <f t="shared" si="89"/>
        <v>0</v>
      </c>
      <c r="K100" s="22">
        <f t="shared" si="90"/>
        <v>3.2636706490446732E-3</v>
      </c>
      <c r="L100" s="22">
        <f t="shared" si="91"/>
        <v>9.1382778173250846E-4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0.27999999999999997</v>
      </c>
      <c r="I101" s="22">
        <f t="shared" si="88"/>
        <v>0</v>
      </c>
      <c r="J101" s="24">
        <f t="shared" si="89"/>
        <v>0</v>
      </c>
      <c r="K101" s="22">
        <f t="shared" si="90"/>
        <v>7.2526014423214958E-4</v>
      </c>
      <c r="L101" s="22">
        <f t="shared" si="91"/>
        <v>2.0307284038500187E-4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0.27999999999999997</v>
      </c>
      <c r="I102" s="22">
        <f t="shared" si="88"/>
        <v>3.2491654461600298E-4</v>
      </c>
      <c r="J102" s="24">
        <f t="shared" si="89"/>
        <v>3.2491654461600298E-4</v>
      </c>
      <c r="K102" s="22">
        <f t="shared" si="90"/>
        <v>1.8856763750035889E-3</v>
      </c>
      <c r="L102" s="22">
        <f t="shared" si="91"/>
        <v>5.2798938500100479E-4</v>
      </c>
      <c r="M102" s="227">
        <f t="shared" si="92"/>
        <v>3.2491654461600298E-4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0.27999999999999997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0.27999999999999997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0.55500000000000005</v>
      </c>
      <c r="I105" s="22">
        <f t="shared" si="88"/>
        <v>5.1522480646251909E-2</v>
      </c>
      <c r="J105" s="24">
        <f t="shared" si="89"/>
        <v>5.1522480646251909E-2</v>
      </c>
      <c r="K105" s="22">
        <f t="shared" si="90"/>
        <v>9.2833298461715147E-2</v>
      </c>
      <c r="L105" s="22">
        <f t="shared" si="91"/>
        <v>5.1522480646251909E-2</v>
      </c>
      <c r="M105" s="227">
        <f t="shared" si="92"/>
        <v>5.1522480646251909E-2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0.55500000000000005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0.55500000000000005</v>
      </c>
      <c r="I107" s="22">
        <f t="shared" si="88"/>
        <v>2.9518087870248497E-2</v>
      </c>
      <c r="J107" s="24">
        <f t="shared" si="89"/>
        <v>2.9518087870248497E-2</v>
      </c>
      <c r="K107" s="22">
        <f t="shared" si="90"/>
        <v>5.3185743910357644E-2</v>
      </c>
      <c r="L107" s="22">
        <f t="shared" si="91"/>
        <v>2.9518087870248497E-2</v>
      </c>
      <c r="M107" s="227">
        <f t="shared" si="92"/>
        <v>2.9518087870248497E-2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0.70799999999999996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0.47199999999999992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0</v>
      </c>
      <c r="I111" s="22">
        <f t="shared" si="88"/>
        <v>0</v>
      </c>
      <c r="J111" s="24">
        <f t="shared" si="89"/>
        <v>0</v>
      </c>
      <c r="K111" s="22">
        <f t="shared" si="90"/>
        <v>1.843176130551585</v>
      </c>
      <c r="L111" s="22">
        <f t="shared" si="91"/>
        <v>0</v>
      </c>
      <c r="M111" s="227">
        <f t="shared" si="9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1.186964136597676</v>
      </c>
      <c r="J119" s="24">
        <f>SUM(J91:J118)</f>
        <v>1.186964136597676</v>
      </c>
      <c r="K119" s="22">
        <f>SUM(K91:K118)</f>
        <v>3.3499524308701583</v>
      </c>
      <c r="L119" s="22">
        <f>SUM(L91:L118)</f>
        <v>1.2324582549250702</v>
      </c>
      <c r="M119" s="57">
        <f t="shared" si="80"/>
        <v>1.186964136597676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1.186964136597676</v>
      </c>
      <c r="J124" s="237">
        <f>IF(SUMPRODUCT($B$124:$B124,$H$124:$H124)&lt;J$119,($B124*$H124),J$119)</f>
        <v>1.186964136597676</v>
      </c>
      <c r="K124" s="29">
        <f>(B124)</f>
        <v>1.0540460987110494</v>
      </c>
      <c r="L124" s="29">
        <f>IF(SUMPRODUCT($B$124:$B124,$H$124:$H124)&lt;L$119,($B124*$H124),L$119)</f>
        <v>1.2324582549250702</v>
      </c>
      <c r="M124" s="240">
        <f t="shared" si="93"/>
        <v>1.186964136597676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0.59274655759651318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1.186964136597676</v>
      </c>
      <c r="J130" s="228">
        <f>(J119)</f>
        <v>1.186964136597676</v>
      </c>
      <c r="K130" s="29">
        <f>(B130)</f>
        <v>3.3499524308701583</v>
      </c>
      <c r="L130" s="29">
        <f>(L119)</f>
        <v>1.2324582549250702</v>
      </c>
      <c r="M130" s="240">
        <f t="shared" si="93"/>
        <v>1.186964136597676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1.5190275198812673</v>
      </c>
      <c r="J131" s="237">
        <f>IF(SUMPRODUCT($B124:$B125,$H124:$H125)&gt;(J119-J128),SUMPRODUCT($B124:$B125,$H124:$H125)+J128-J119,0)</f>
        <v>1.5190275198812673</v>
      </c>
      <c r="K131" s="29"/>
      <c r="L131" s="29">
        <f>IF(I131&lt;SUM(L126:L127),0,I131-(SUM(L126:L127)))</f>
        <v>1.5190275198812673</v>
      </c>
      <c r="M131" s="237">
        <f>IF(I131&lt;SUM(M126:M127),0,I131-(SUM(M126:M127)))</f>
        <v>1.5190275198812673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1.3944482476427681E-2</v>
      </c>
      <c r="J6" s="24">
        <f t="shared" ref="J6:J13" si="3">IF(I$32&lt;=1+I$131,I6,B6*H6+J$33*(I6-B6*H6))</f>
        <v>1.3944482476427681E-2</v>
      </c>
      <c r="K6" s="22">
        <f t="shared" ref="K6:K31" si="4">B6</f>
        <v>6.9722412382138402E-2</v>
      </c>
      <c r="L6" s="22">
        <f t="shared" ref="L6:L29" si="5">IF(K6="","",K6*H6)</f>
        <v>1.3944482476427681E-2</v>
      </c>
      <c r="M6" s="224">
        <f t="shared" ref="M6:M31" si="6">J6</f>
        <v>1.3944482476427681E-2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5.5777929905710726E-2</v>
      </c>
      <c r="Z6" s="156">
        <f>Poor!Z6</f>
        <v>0.17</v>
      </c>
      <c r="AA6" s="121">
        <f>$M6*Z6*4</f>
        <v>9.4822480839708238E-3</v>
      </c>
      <c r="AB6" s="156">
        <f>Poor!AB6</f>
        <v>0.17</v>
      </c>
      <c r="AC6" s="121">
        <f t="shared" ref="AC6:AC29" si="7">$M6*AB6*4</f>
        <v>9.4822480839708238E-3</v>
      </c>
      <c r="AD6" s="156">
        <f>Poor!AD6</f>
        <v>0.33</v>
      </c>
      <c r="AE6" s="121">
        <f t="shared" ref="AE6:AE29" si="8">$M6*AD6*4</f>
        <v>1.8406716868884541E-2</v>
      </c>
      <c r="AF6" s="122">
        <f>1-SUM(Z6,AB6,AD6)</f>
        <v>0.32999999999999996</v>
      </c>
      <c r="AG6" s="121">
        <f>$M6*AF6*4</f>
        <v>1.8406716868884537E-2</v>
      </c>
      <c r="AH6" s="123">
        <f>SUM(Z6,AB6,AD6,AF6)</f>
        <v>1</v>
      </c>
      <c r="AI6" s="183">
        <f>SUM(AA6,AC6,AE6,AG6)/4</f>
        <v>1.3944482476427681E-2</v>
      </c>
      <c r="AJ6" s="120">
        <f>(AA6+AC6)/2</f>
        <v>9.4822480839708238E-3</v>
      </c>
      <c r="AK6" s="119">
        <f>(AE6+AG6)/2</f>
        <v>1.8406716868884537E-2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8.6492564490304232E-3</v>
      </c>
      <c r="J7" s="24">
        <f t="shared" si="3"/>
        <v>8.6492564490304232E-3</v>
      </c>
      <c r="K7" s="22">
        <f t="shared" si="4"/>
        <v>4.3246282245152111E-2</v>
      </c>
      <c r="L7" s="22">
        <f t="shared" si="5"/>
        <v>8.6492564490304232E-3</v>
      </c>
      <c r="M7" s="224">
        <f t="shared" si="6"/>
        <v>8.6492564490304232E-3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554.97829584992712</v>
      </c>
      <c r="T7" s="222">
        <f>IF($B$81=0,0,(SUMIF($N$6:$N$28,$U7,M$6:M$28)+SUMIF($N$91:$N$118,$U7,M$91:M$118))*$I$83*Poor!$B$81/$B$81)</f>
        <v>1133.0762591059859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3.4597025796121693E-2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3.4597025796121693E-2</v>
      </c>
      <c r="AH7" s="123">
        <f t="shared" ref="AH7:AH30" si="12">SUM(Z7,AB7,AD7,AF7)</f>
        <v>1</v>
      </c>
      <c r="AI7" s="183">
        <f t="shared" ref="AI7:AI30" si="13">SUM(AA7,AC7,AE7,AG7)/4</f>
        <v>8.6492564490304232E-3</v>
      </c>
      <c r="AJ7" s="120">
        <f t="shared" ref="AJ7:AJ31" si="14">(AA7+AC7)/2</f>
        <v>0</v>
      </c>
      <c r="AK7" s="119">
        <f t="shared" ref="AK7:AK31" si="15">(AE7+AG7)/2</f>
        <v>1.7298512898060846E-2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2.6111111111111114E-3</v>
      </c>
      <c r="J8" s="24">
        <f t="shared" si="3"/>
        <v>2.6111111111111114E-3</v>
      </c>
      <c r="K8" s="22">
        <f t="shared" si="4"/>
        <v>1.3055555555555556E-2</v>
      </c>
      <c r="L8" s="22">
        <f t="shared" si="5"/>
        <v>2.6111111111111114E-3</v>
      </c>
      <c r="M8" s="224">
        <f t="shared" si="6"/>
        <v>2.6111111111111114E-3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2618.1333333333337</v>
      </c>
      <c r="T8" s="222">
        <f>IF($B$81=0,0,(SUMIF($N$6:$N$28,$U8,M$6:M$28)+SUMIF($N$91:$N$118,$U8,M$91:M$118))*$I$83*Poor!$B$81/$B$81)</f>
        <v>2288.209728892974</v>
      </c>
      <c r="U8" s="223">
        <v>2</v>
      </c>
      <c r="V8" s="56"/>
      <c r="W8" s="115"/>
      <c r="X8" s="118">
        <f>Poor!X8</f>
        <v>1</v>
      </c>
      <c r="Y8" s="183">
        <f t="shared" si="9"/>
        <v>1.0444444444444445E-2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1.0444444444444445E-2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2.6111111111111114E-3</v>
      </c>
      <c r="AJ8" s="120">
        <f t="shared" si="14"/>
        <v>5.2222222222222227E-3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8.9495894858566086E-2</v>
      </c>
      <c r="J9" s="24">
        <f t="shared" si="3"/>
        <v>5.0639205883975962E-2</v>
      </c>
      <c r="K9" s="22">
        <f t="shared" si="4"/>
        <v>6.1736835082725483E-2</v>
      </c>
      <c r="L9" s="22">
        <f t="shared" si="5"/>
        <v>1.8521050524817645E-2</v>
      </c>
      <c r="M9" s="224">
        <f t="shared" si="6"/>
        <v>5.0639205883975962E-2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311.52599663915959</v>
      </c>
      <c r="T9" s="222">
        <f>IF($B$81=0,0,(SUMIF($N$6:$N$28,$U9,M$6:M$28)+SUMIF($N$91:$N$118,$U9,M$91:M$118))*$I$83*Poor!$B$81/$B$81)</f>
        <v>311.52599663915959</v>
      </c>
      <c r="U9" s="223">
        <v>3</v>
      </c>
      <c r="V9" s="56"/>
      <c r="W9" s="115"/>
      <c r="X9" s="118">
        <f>Poor!X9</f>
        <v>1</v>
      </c>
      <c r="Y9" s="183">
        <f t="shared" si="9"/>
        <v>0.20255682353590385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0.20255682353590385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5.0639205883975962E-2</v>
      </c>
      <c r="AJ9" s="120">
        <f t="shared" si="14"/>
        <v>0.10127841176795192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0.2</v>
      </c>
      <c r="H10" s="24">
        <f t="shared" si="1"/>
        <v>0.2</v>
      </c>
      <c r="I10" s="22">
        <f t="shared" si="2"/>
        <v>3.9138125956235557E-3</v>
      </c>
      <c r="J10" s="24">
        <f t="shared" si="3"/>
        <v>4.2133297994894799E-3</v>
      </c>
      <c r="K10" s="22">
        <f t="shared" si="4"/>
        <v>2.230452339441381E-2</v>
      </c>
      <c r="L10" s="22">
        <f t="shared" si="5"/>
        <v>4.4609046788827624E-3</v>
      </c>
      <c r="M10" s="224">
        <f t="shared" si="6"/>
        <v>4.2133297994894799E-3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1.6853319197957919E-2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1.6853319197957919E-2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4.2133297994894799E-3</v>
      </c>
      <c r="AJ10" s="120">
        <f t="shared" si="14"/>
        <v>8.4266595989789597E-3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0.2</v>
      </c>
      <c r="H11" s="24">
        <f t="shared" si="1"/>
        <v>0.2</v>
      </c>
      <c r="I11" s="22">
        <f t="shared" si="2"/>
        <v>2.8821534246575343E-2</v>
      </c>
      <c r="J11" s="24">
        <f t="shared" si="3"/>
        <v>1.7403587741135082E-2</v>
      </c>
      <c r="K11" s="22">
        <f t="shared" si="4"/>
        <v>3.9828717310087171E-2</v>
      </c>
      <c r="L11" s="22">
        <f t="shared" si="5"/>
        <v>7.9657434620174338E-3</v>
      </c>
      <c r="M11" s="224">
        <f t="shared" si="6"/>
        <v>1.7403587741135082E-2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10766.095238095239</v>
      </c>
      <c r="T11" s="222">
        <f>IF($B$81=0,0,(SUMIF($N$6:$N$28,$U11,M$6:M$28)+SUMIF($N$91:$N$118,$U11,M$91:M$118))*$I$83*Poor!$B$81/$B$81)</f>
        <v>10888.148698197532</v>
      </c>
      <c r="U11" s="223">
        <v>5</v>
      </c>
      <c r="V11" s="56"/>
      <c r="W11" s="115"/>
      <c r="X11" s="118">
        <f>Poor!X11</f>
        <v>1</v>
      </c>
      <c r="Y11" s="183">
        <f t="shared" si="9"/>
        <v>6.9614350964540328E-2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6.9614350964540328E-2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1.7403587741135082E-2</v>
      </c>
      <c r="AJ11" s="120">
        <f t="shared" si="14"/>
        <v>3.4807175482270164E-2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0.2</v>
      </c>
      <c r="H12" s="24">
        <f t="shared" si="1"/>
        <v>0.2</v>
      </c>
      <c r="I12" s="22">
        <f t="shared" si="2"/>
        <v>7.3981142145525703E-4</v>
      </c>
      <c r="J12" s="24">
        <f t="shared" si="3"/>
        <v>6.9523502602474268E-4</v>
      </c>
      <c r="K12" s="22">
        <f t="shared" si="4"/>
        <v>3.2919453833837394E-3</v>
      </c>
      <c r="L12" s="22">
        <f t="shared" si="5"/>
        <v>6.5838907667674796E-4</v>
      </c>
      <c r="M12" s="224">
        <f t="shared" si="6"/>
        <v>6.9523502602474268E-4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76.999596440750977</v>
      </c>
      <c r="U12" s="223">
        <v>6</v>
      </c>
      <c r="V12" s="56"/>
      <c r="W12" s="117"/>
      <c r="X12" s="118"/>
      <c r="Y12" s="183">
        <f t="shared" si="9"/>
        <v>2.7809401040989707E-3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1.8632298697463104E-3</v>
      </c>
      <c r="AF12" s="122">
        <f>1-SUM(Z12,AB12,AD12)</f>
        <v>0.32999999999999996</v>
      </c>
      <c r="AG12" s="121">
        <f>$M12*AF12*4</f>
        <v>9.1771023435266018E-4</v>
      </c>
      <c r="AH12" s="123">
        <f t="shared" si="12"/>
        <v>1</v>
      </c>
      <c r="AI12" s="183">
        <f t="shared" si="13"/>
        <v>6.9523502602474268E-4</v>
      </c>
      <c r="AJ12" s="120">
        <f t="shared" si="14"/>
        <v>0</v>
      </c>
      <c r="AK12" s="119">
        <f t="shared" si="15"/>
        <v>1.3904700520494854E-3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0.2</v>
      </c>
      <c r="H13" s="24">
        <f t="shared" si="1"/>
        <v>0.2</v>
      </c>
      <c r="I13" s="22">
        <f t="shared" si="2"/>
        <v>8.3259206546877797E-5</v>
      </c>
      <c r="J13" s="24">
        <f t="shared" si="3"/>
        <v>8.3259206546877797E-5</v>
      </c>
      <c r="K13" s="22">
        <f t="shared" si="4"/>
        <v>4.1629603273438896E-4</v>
      </c>
      <c r="L13" s="22">
        <f t="shared" si="5"/>
        <v>8.3259206546877797E-5</v>
      </c>
      <c r="M13" s="225">
        <f t="shared" si="6"/>
        <v>8.3259206546877797E-5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26893.71428571429</v>
      </c>
      <c r="T13" s="222">
        <f>IF($B$81=0,0,(SUMIF($N$6:$N$28,$U13,M$6:M$28)+SUMIF($N$91:$N$118,$U13,M$91:M$118))*$I$83*Poor!$B$81/$B$81)</f>
        <v>26893.71428571429</v>
      </c>
      <c r="U13" s="223">
        <v>7</v>
      </c>
      <c r="V13" s="56"/>
      <c r="W13" s="110"/>
      <c r="X13" s="118"/>
      <c r="Y13" s="183">
        <f t="shared" si="9"/>
        <v>3.3303682618751119E-4</v>
      </c>
      <c r="Z13" s="156">
        <f>Poor!Z13</f>
        <v>1</v>
      </c>
      <c r="AA13" s="121">
        <f>$M13*Z13*4</f>
        <v>3.3303682618751119E-4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8.3259206546877797E-5</v>
      </c>
      <c r="AJ13" s="120">
        <f t="shared" si="14"/>
        <v>1.6651841309375559E-4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3.5938996619818541E-3</v>
      </c>
      <c r="J14" s="24">
        <f>IF(I$32&lt;=1+I131,I14,B14*H14+J$33*(I14-B14*H14))</f>
        <v>3.5938996619818541E-3</v>
      </c>
      <c r="K14" s="22">
        <f t="shared" si="4"/>
        <v>1.7969498309909269E-2</v>
      </c>
      <c r="L14" s="22">
        <f t="shared" si="5"/>
        <v>3.5938996619818541E-3</v>
      </c>
      <c r="M14" s="225">
        <f t="shared" si="6"/>
        <v>3.5938996619818541E-3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14791.131428571429</v>
      </c>
      <c r="T14" s="222">
        <f>IF($B$81=0,0,(SUMIF($N$6:$N$28,$U14,M$6:M$28)+SUMIF($N$91:$N$118,$U14,M$91:M$118))*$I$83*Poor!$B$81/$B$81)</f>
        <v>14791.131428571429</v>
      </c>
      <c r="U14" s="223">
        <v>8</v>
      </c>
      <c r="V14" s="56"/>
      <c r="W14" s="110"/>
      <c r="X14" s="118"/>
      <c r="Y14" s="183">
        <f>M14*4</f>
        <v>1.4375598647927416E-2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1.4375598647927416E-2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3.5938996619818541E-3</v>
      </c>
      <c r="AJ14" s="120">
        <f t="shared" si="14"/>
        <v>7.1877993239637082E-3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0.2</v>
      </c>
      <c r="F16" s="22"/>
      <c r="H16" s="24">
        <f t="shared" si="1"/>
        <v>0.2</v>
      </c>
      <c r="I16" s="22">
        <f t="shared" si="2"/>
        <v>1.8503824942181109E-4</v>
      </c>
      <c r="J16" s="24">
        <f>IF(I$32&lt;=1+I131,I16,B16*H16+J$33*(I16-B16*H16))</f>
        <v>1.687241701415114E-4</v>
      </c>
      <c r="K16" s="22">
        <f t="shared" si="4"/>
        <v>7.7619640633339265E-4</v>
      </c>
      <c r="L16" s="22">
        <f t="shared" si="5"/>
        <v>1.5523928126667854E-4</v>
      </c>
      <c r="M16" s="224">
        <f t="shared" si="6"/>
        <v>1.687241701415114E-4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6.748966805660456E-4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6.748966805660456E-4</v>
      </c>
      <c r="AH16" s="123">
        <f t="shared" si="12"/>
        <v>1</v>
      </c>
      <c r="AI16" s="183">
        <f t="shared" si="13"/>
        <v>1.687241701415114E-4</v>
      </c>
      <c r="AJ16" s="120">
        <f t="shared" si="14"/>
        <v>0</v>
      </c>
      <c r="AK16" s="119">
        <f t="shared" si="15"/>
        <v>3.374483402830228E-4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0.2</v>
      </c>
      <c r="F17" s="22"/>
      <c r="H17" s="24">
        <f t="shared" si="1"/>
        <v>0.2</v>
      </c>
      <c r="I17" s="22">
        <f t="shared" si="2"/>
        <v>7.7464365771215101E-4</v>
      </c>
      <c r="J17" s="24">
        <f t="shared" ref="J17:J25" si="17">IF(I$32&lt;=1+I131,I17,B17*H17+J$33*(I17-B17*H17))</f>
        <v>7.5697302621563619E-4</v>
      </c>
      <c r="K17" s="22">
        <f t="shared" si="4"/>
        <v>3.7118341932040563E-3</v>
      </c>
      <c r="L17" s="22">
        <f t="shared" si="5"/>
        <v>7.4236683864081126E-4</v>
      </c>
      <c r="M17" s="225">
        <f t="shared" si="6"/>
        <v>7.5697302621563619E-4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3.0278921048625448E-3</v>
      </c>
      <c r="Z17" s="156">
        <f>Poor!Z17</f>
        <v>0.29409999999999997</v>
      </c>
      <c r="AA17" s="121">
        <f t="shared" si="16"/>
        <v>8.9050306804007429E-4</v>
      </c>
      <c r="AB17" s="156">
        <f>Poor!AB17</f>
        <v>0.17649999999999999</v>
      </c>
      <c r="AC17" s="121">
        <f t="shared" si="7"/>
        <v>5.3442295650823915E-4</v>
      </c>
      <c r="AD17" s="156">
        <f>Poor!AD17</f>
        <v>0.23530000000000001</v>
      </c>
      <c r="AE17" s="121">
        <f t="shared" si="8"/>
        <v>7.1246301227415683E-4</v>
      </c>
      <c r="AF17" s="122">
        <f t="shared" si="10"/>
        <v>0.29410000000000003</v>
      </c>
      <c r="AG17" s="121">
        <f t="shared" si="11"/>
        <v>8.9050306804007451E-4</v>
      </c>
      <c r="AH17" s="123">
        <f t="shared" si="12"/>
        <v>1</v>
      </c>
      <c r="AI17" s="183">
        <f t="shared" si="13"/>
        <v>7.5697302621563619E-4</v>
      </c>
      <c r="AJ17" s="120">
        <f t="shared" si="14"/>
        <v>7.1246301227415672E-4</v>
      </c>
      <c r="AK17" s="119">
        <f t="shared" si="15"/>
        <v>8.0148304015711567E-4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4.968866749688667E-4</v>
      </c>
      <c r="J18" s="24">
        <f t="shared" si="17"/>
        <v>4.968866749688667E-4</v>
      </c>
      <c r="K18" s="22">
        <f t="shared" ref="K18:K25" si="21">B18</f>
        <v>2.4844333748443334E-3</v>
      </c>
      <c r="L18" s="22">
        <f t="shared" ref="L18:L25" si="22">IF(K18="","",K18*H18)</f>
        <v>4.968866749688667E-4</v>
      </c>
      <c r="M18" s="225">
        <f t="shared" ref="M18:M25" si="23">J18</f>
        <v>4.968866749688667E-4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0.2</v>
      </c>
      <c r="F19" s="22"/>
      <c r="H19" s="24">
        <f t="shared" si="19"/>
        <v>0.2</v>
      </c>
      <c r="I19" s="22">
        <f t="shared" si="20"/>
        <v>2.1852576647097195E-3</v>
      </c>
      <c r="J19" s="24">
        <f t="shared" si="17"/>
        <v>1.5152928089320792E-3</v>
      </c>
      <c r="K19" s="22">
        <f t="shared" si="21"/>
        <v>4.8075668623613821E-3</v>
      </c>
      <c r="L19" s="22">
        <f t="shared" si="22"/>
        <v>9.6151337247227643E-4</v>
      </c>
      <c r="M19" s="225">
        <f t="shared" si="23"/>
        <v>1.5152928089320792E-3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5.5844738420436366E-3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5.5844738420436366E-3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64648.908808493223</v>
      </c>
      <c r="T23" s="179">
        <f>SUM(T7:T22)</f>
        <v>65026.962411569439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2.7986350496623746E-2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2.7986350496623746E-2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0.11194540198649498</v>
      </c>
      <c r="Z27" s="156">
        <f>Poor!Z27</f>
        <v>0.25</v>
      </c>
      <c r="AA27" s="121">
        <f t="shared" si="16"/>
        <v>2.7986350496623746E-2</v>
      </c>
      <c r="AB27" s="156">
        <f>Poor!AB27</f>
        <v>0.25</v>
      </c>
      <c r="AC27" s="121">
        <f t="shared" si="7"/>
        <v>2.7986350496623746E-2</v>
      </c>
      <c r="AD27" s="156">
        <f>Poor!AD27</f>
        <v>0.25</v>
      </c>
      <c r="AE27" s="121">
        <f t="shared" si="8"/>
        <v>2.7986350496623746E-2</v>
      </c>
      <c r="AF27" s="122">
        <f t="shared" si="10"/>
        <v>0.25</v>
      </c>
      <c r="AG27" s="121">
        <f t="shared" si="11"/>
        <v>2.7986350496623746E-2</v>
      </c>
      <c r="AH27" s="123">
        <f t="shared" si="12"/>
        <v>1</v>
      </c>
      <c r="AI27" s="183">
        <f t="shared" si="13"/>
        <v>2.7986350496623746E-2</v>
      </c>
      <c r="AJ27" s="120">
        <f t="shared" si="14"/>
        <v>2.7986350496623746E-2</v>
      </c>
      <c r="AK27" s="119">
        <f t="shared" si="15"/>
        <v>2.7986350496623746E-2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0.24307138982549967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0.24307138982549967</v>
      </c>
      <c r="N29" s="229"/>
      <c r="P29" s="22"/>
      <c r="V29" s="56"/>
      <c r="W29" s="110"/>
      <c r="X29" s="118"/>
      <c r="Y29" s="183">
        <f t="shared" si="9"/>
        <v>0.97228555930199867</v>
      </c>
      <c r="Z29" s="156">
        <f>Poor!Z29</f>
        <v>0.25</v>
      </c>
      <c r="AA29" s="121">
        <f t="shared" si="16"/>
        <v>0.24307138982549967</v>
      </c>
      <c r="AB29" s="156">
        <f>Poor!AB29</f>
        <v>0.25</v>
      </c>
      <c r="AC29" s="121">
        <f t="shared" si="7"/>
        <v>0.24307138982549967</v>
      </c>
      <c r="AD29" s="156">
        <f>Poor!AD29</f>
        <v>0.25</v>
      </c>
      <c r="AE29" s="121">
        <f t="shared" si="8"/>
        <v>0.24307138982549967</v>
      </c>
      <c r="AF29" s="122">
        <f t="shared" si="10"/>
        <v>0.25</v>
      </c>
      <c r="AG29" s="121">
        <f t="shared" si="11"/>
        <v>0.24307138982549967</v>
      </c>
      <c r="AH29" s="123">
        <f t="shared" si="12"/>
        <v>1</v>
      </c>
      <c r="AI29" s="183">
        <f t="shared" si="13"/>
        <v>0.24307138982549967</v>
      </c>
      <c r="AJ29" s="120">
        <f t="shared" si="14"/>
        <v>0.24307138982549967</v>
      </c>
      <c r="AK29" s="119">
        <f t="shared" si="15"/>
        <v>0.24307138982549967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2.975886078328057</v>
      </c>
      <c r="J30" s="231">
        <f>IF(I$32&lt;=1,I30,1-SUM(J6:J29))</f>
        <v>0.48258546676193492</v>
      </c>
      <c r="K30" s="22">
        <f t="shared" si="4"/>
        <v>0.63059345561288027</v>
      </c>
      <c r="L30" s="22">
        <f>IF(L124=L119,0,IF(K30="",0,(L119-L124)/(B119-B124)*K30))</f>
        <v>0.26967332839954322</v>
      </c>
      <c r="M30" s="175">
        <f t="shared" si="6"/>
        <v>0.48258546676193492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1.9303418670477397</v>
      </c>
      <c r="Z30" s="122">
        <f>IF($Y30=0,0,AA30/($Y$30))</f>
        <v>0.1464851710186327</v>
      </c>
      <c r="AA30" s="187">
        <f>IF(AA79*4/$I$84+SUM(AA6:AA29)&lt;1,AA79*4/$I$84,1-SUM(AA6:AA29))</f>
        <v>0.28276645851891491</v>
      </c>
      <c r="AB30" s="122">
        <f>IF($Y30=0,0,AC30/($Y$30))</f>
        <v>0.29453275850100624</v>
      </c>
      <c r="AC30" s="187">
        <f>IF(AC79*4/$I$84+SUM(AC6:AC29)&lt;1,AC79*4/$I$84,1-SUM(AC6:AC29))</f>
        <v>0.56854891495155346</v>
      </c>
      <c r="AD30" s="122">
        <f>IF($Y30=0,0,AE30/($Y$30))</f>
        <v>0.29629921241039409</v>
      </c>
      <c r="AE30" s="187">
        <f>IF(AE79*4/$I$84+SUM(AE6:AE29)&lt;1,AE79*4/$I$84,1-SUM(AE6:AE29))</f>
        <v>0.57195877488905489</v>
      </c>
      <c r="AF30" s="122">
        <f>IF($Y30=0,0,AG30/($Y$30))</f>
        <v>0.27842442894013186</v>
      </c>
      <c r="AG30" s="187">
        <f>IF(AG79*4/$I$84+SUM(AG6:AG29)&lt;1,AG79*4/$I$84,1-SUM(AG6:AG29))</f>
        <v>0.53745433199199488</v>
      </c>
      <c r="AH30" s="123">
        <f t="shared" si="12"/>
        <v>1.0157415708701649</v>
      </c>
      <c r="AI30" s="183">
        <f t="shared" si="13"/>
        <v>0.49018212008787954</v>
      </c>
      <c r="AJ30" s="120">
        <f t="shared" si="14"/>
        <v>0.42565768673523419</v>
      </c>
      <c r="AK30" s="119">
        <f t="shared" si="15"/>
        <v>0.55470655344052489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0.21712790651411051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3.4984008668587601</v>
      </c>
      <c r="J32" s="17"/>
      <c r="L32" s="22">
        <f>SUM(L6:L30)</f>
        <v>0.78287209348588949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14724.865905692735</v>
      </c>
      <c r="T32" s="234">
        <f t="shared" si="24"/>
        <v>14346.812302616519</v>
      </c>
      <c r="V32" s="56"/>
      <c r="W32" s="110"/>
      <c r="X32" s="118"/>
      <c r="Y32" s="115">
        <f>SUM(Y6:Y31)</f>
        <v>3.9696133866962215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0.45252871859961485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6293.333333333333</v>
      </c>
      <c r="J37" s="38">
        <f>J91*I$83</f>
        <v>6724.0107413683036</v>
      </c>
      <c r="K37" s="40">
        <f>(B37/B$65)</f>
        <v>0.12293738389247078</v>
      </c>
      <c r="L37" s="22">
        <f t="shared" ref="L37" si="28">(K37*H37)</f>
        <v>7.2533056496557752E-2</v>
      </c>
      <c r="M37" s="24">
        <f>J37/B$65</f>
        <v>6.8886024150724354E-2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0.20747885567559352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1395.0900541694948</v>
      </c>
      <c r="AD37" s="122">
        <f>IF($J37=0,0,AE37/($J37))</f>
        <v>0.1155032441682519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776.64505445021166</v>
      </c>
      <c r="AF37" s="122">
        <f t="shared" ref="AF37:AF64" si="29">1-SUM(Z37,AB37,AD37)</f>
        <v>0.6770179001561546</v>
      </c>
      <c r="AG37" s="147">
        <f>$J37*AF37</f>
        <v>4552.2756327485968</v>
      </c>
      <c r="AH37" s="123">
        <f>SUM(Z37,AB37,AD37,AF37)</f>
        <v>1</v>
      </c>
      <c r="AI37" s="112">
        <f>SUM(AA37,AC37,AE37,AG37)</f>
        <v>6724.0107413683036</v>
      </c>
      <c r="AJ37" s="148">
        <f>(AA37+AC37)</f>
        <v>1395.0900541694948</v>
      </c>
      <c r="AK37" s="147">
        <f>(AE37+AG37)</f>
        <v>5328.9206871988081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2497.6666666666665</v>
      </c>
      <c r="J38" s="38">
        <f t="shared" ref="J38:J64" si="32">J92*I$83</f>
        <v>1937.7860362212061</v>
      </c>
      <c r="K38" s="40">
        <f t="shared" ref="K38:K64" si="33">(B38/B$65)</f>
        <v>2.5611954977598078E-2</v>
      </c>
      <c r="L38" s="22">
        <f t="shared" ref="L38:L64" si="34">(K38*H38)</f>
        <v>1.5111053436782866E-2</v>
      </c>
      <c r="M38" s="24">
        <f t="shared" ref="M38:M64" si="35">J38/B$65</f>
        <v>1.9852195486366308E-2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0.20747885567559349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402.04962933932001</v>
      </c>
      <c r="AD38" s="122">
        <f>IF($J38=0,0,AE38/($J38))</f>
        <v>0.11550324416825192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223.82057368748701</v>
      </c>
      <c r="AF38" s="122">
        <f t="shared" si="29"/>
        <v>0.6770179001561546</v>
      </c>
      <c r="AG38" s="147">
        <f t="shared" ref="AG38:AG64" si="36">$J38*AF38</f>
        <v>1311.9158331943991</v>
      </c>
      <c r="AH38" s="123">
        <f t="shared" ref="AH38:AI58" si="37">SUM(Z38,AB38,AD38,AF38)</f>
        <v>1</v>
      </c>
      <c r="AI38" s="112">
        <f t="shared" si="37"/>
        <v>1937.7860362212061</v>
      </c>
      <c r="AJ38" s="148">
        <f t="shared" ref="AJ38:AJ64" si="38">(AA38+AC38)</f>
        <v>402.04962933932001</v>
      </c>
      <c r="AK38" s="147">
        <f t="shared" ref="AK38:AK64" si="39">(AE38+AG38)</f>
        <v>1535.7364068818861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314.66666666666669</v>
      </c>
      <c r="J39" s="38">
        <f t="shared" si="32"/>
        <v>314.66666666666669</v>
      </c>
      <c r="K39" s="40">
        <f t="shared" si="33"/>
        <v>5.463883728554257E-3</v>
      </c>
      <c r="L39" s="22">
        <f t="shared" si="34"/>
        <v>3.2236913998470113E-3</v>
      </c>
      <c r="M39" s="24">
        <f t="shared" si="35"/>
        <v>3.2236913998470117E-3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314.66666666666669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314.66666666666669</v>
      </c>
      <c r="AJ39" s="148">
        <f t="shared" si="38"/>
        <v>314.66666666666669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210.7764433391483</v>
      </c>
      <c r="K41" s="40">
        <f t="shared" si="33"/>
        <v>9.3910501584526292E-3</v>
      </c>
      <c r="L41" s="22">
        <f t="shared" si="34"/>
        <v>3.9442410665501042E-3</v>
      </c>
      <c r="M41" s="24">
        <f t="shared" si="35"/>
        <v>2.1593587108562073E-3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210.7764433391483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210.7764433391483</v>
      </c>
      <c r="AJ41" s="148">
        <f t="shared" si="38"/>
        <v>210.7764433391483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1652.9333333333334</v>
      </c>
      <c r="J42" s="38">
        <f t="shared" si="32"/>
        <v>1639.6480302380173</v>
      </c>
      <c r="K42" s="40">
        <f t="shared" si="33"/>
        <v>5.9590481914544864E-2</v>
      </c>
      <c r="L42" s="22">
        <f t="shared" si="34"/>
        <v>1.6685334936072559E-2</v>
      </c>
      <c r="M42" s="24">
        <f t="shared" si="35"/>
        <v>1.6797836611825389E-2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409.91200755950433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819.82401511900866</v>
      </c>
      <c r="AF42" s="122">
        <f t="shared" si="29"/>
        <v>0.25</v>
      </c>
      <c r="AG42" s="147">
        <f t="shared" si="36"/>
        <v>409.91200755950433</v>
      </c>
      <c r="AH42" s="123">
        <f t="shared" si="37"/>
        <v>1</v>
      </c>
      <c r="AI42" s="112">
        <f t="shared" si="37"/>
        <v>1639.6480302380173</v>
      </c>
      <c r="AJ42" s="148">
        <f t="shared" si="38"/>
        <v>409.91200755950433</v>
      </c>
      <c r="AK42" s="147">
        <f t="shared" si="39"/>
        <v>1229.7360226785131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127.74329899342318</v>
      </c>
      <c r="K43" s="40">
        <f t="shared" si="33"/>
        <v>8.5373183258660272E-3</v>
      </c>
      <c r="L43" s="22">
        <f t="shared" si="34"/>
        <v>2.3904491312424876E-3</v>
      </c>
      <c r="M43" s="24">
        <f t="shared" si="35"/>
        <v>1.3087022490037617E-3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31.935824748355795</v>
      </c>
      <c r="AB43" s="156">
        <f>Poor!AB43</f>
        <v>0.25</v>
      </c>
      <c r="AC43" s="147">
        <f t="shared" si="41"/>
        <v>31.935824748355795</v>
      </c>
      <c r="AD43" s="156">
        <f>Poor!AD43</f>
        <v>0.25</v>
      </c>
      <c r="AE43" s="147">
        <f t="shared" si="42"/>
        <v>31.935824748355795</v>
      </c>
      <c r="AF43" s="122">
        <f t="shared" si="29"/>
        <v>0.25</v>
      </c>
      <c r="AG43" s="147">
        <f t="shared" si="36"/>
        <v>31.935824748355795</v>
      </c>
      <c r="AH43" s="123">
        <f t="shared" si="37"/>
        <v>1</v>
      </c>
      <c r="AI43" s="112">
        <f t="shared" si="37"/>
        <v>127.74329899342318</v>
      </c>
      <c r="AJ43" s="148">
        <f t="shared" si="38"/>
        <v>63.871649496711591</v>
      </c>
      <c r="AK43" s="147">
        <f t="shared" si="39"/>
        <v>63.871649496711591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14.307249487263396</v>
      </c>
      <c r="K44" s="40">
        <f t="shared" si="33"/>
        <v>9.5617965249699495E-4</v>
      </c>
      <c r="L44" s="22">
        <f t="shared" si="34"/>
        <v>2.6773030269915853E-4</v>
      </c>
      <c r="M44" s="24">
        <f t="shared" si="35"/>
        <v>1.4657465188842132E-4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3.5768123718158491</v>
      </c>
      <c r="AB44" s="156">
        <f>Poor!AB44</f>
        <v>0.25</v>
      </c>
      <c r="AC44" s="147">
        <f t="shared" si="41"/>
        <v>3.5768123718158491</v>
      </c>
      <c r="AD44" s="156">
        <f>Poor!AD44</f>
        <v>0.25</v>
      </c>
      <c r="AE44" s="147">
        <f t="shared" si="42"/>
        <v>3.5768123718158491</v>
      </c>
      <c r="AF44" s="122">
        <f t="shared" si="29"/>
        <v>0.25</v>
      </c>
      <c r="AG44" s="147">
        <f t="shared" si="36"/>
        <v>3.5768123718158491</v>
      </c>
      <c r="AH44" s="123">
        <f t="shared" si="37"/>
        <v>1</v>
      </c>
      <c r="AI44" s="112">
        <f t="shared" si="37"/>
        <v>14.307249487263396</v>
      </c>
      <c r="AJ44" s="148">
        <f t="shared" si="38"/>
        <v>7.1536247436316982</v>
      </c>
      <c r="AK44" s="147">
        <f t="shared" si="39"/>
        <v>7.1536247436316982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4.3432721657763889</v>
      </c>
      <c r="K46" s="40">
        <f t="shared" si="33"/>
        <v>2.9026882307944487E-4</v>
      </c>
      <c r="L46" s="22">
        <f t="shared" si="34"/>
        <v>8.1275270462244557E-5</v>
      </c>
      <c r="M46" s="24">
        <f t="shared" si="35"/>
        <v>4.4495876466127912E-5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1.0858180414440972</v>
      </c>
      <c r="AB46" s="156">
        <f>Poor!AB46</f>
        <v>0.25</v>
      </c>
      <c r="AC46" s="147">
        <f t="shared" si="41"/>
        <v>1.0858180414440972</v>
      </c>
      <c r="AD46" s="156">
        <f>Poor!AD46</f>
        <v>0.25</v>
      </c>
      <c r="AE46" s="147">
        <f t="shared" si="42"/>
        <v>1.0858180414440972</v>
      </c>
      <c r="AF46" s="122">
        <f t="shared" si="29"/>
        <v>0.25</v>
      </c>
      <c r="AG46" s="147">
        <f t="shared" si="36"/>
        <v>1.0858180414440972</v>
      </c>
      <c r="AH46" s="123">
        <f t="shared" si="37"/>
        <v>1</v>
      </c>
      <c r="AI46" s="112">
        <f t="shared" si="37"/>
        <v>4.3432721657763889</v>
      </c>
      <c r="AJ46" s="148">
        <f t="shared" si="38"/>
        <v>2.1716360828881944</v>
      </c>
      <c r="AK46" s="147">
        <f t="shared" si="39"/>
        <v>2.1716360828881944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0</v>
      </c>
      <c r="J48" s="38">
        <f t="shared" si="32"/>
        <v>1.277432989934232</v>
      </c>
      <c r="K48" s="40">
        <f t="shared" si="33"/>
        <v>8.5373183258660265E-5</v>
      </c>
      <c r="L48" s="22">
        <f t="shared" si="34"/>
        <v>2.390449131242487E-5</v>
      </c>
      <c r="M48" s="24">
        <f t="shared" si="35"/>
        <v>1.308702249003762E-5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0.31935824748355801</v>
      </c>
      <c r="AB48" s="156">
        <f>Poor!AB48</f>
        <v>0.25</v>
      </c>
      <c r="AC48" s="147">
        <f t="shared" si="41"/>
        <v>0.31935824748355801</v>
      </c>
      <c r="AD48" s="156">
        <f>Poor!AD48</f>
        <v>0.25</v>
      </c>
      <c r="AE48" s="147">
        <f t="shared" si="42"/>
        <v>0.31935824748355801</v>
      </c>
      <c r="AF48" s="122">
        <f t="shared" si="29"/>
        <v>0.25</v>
      </c>
      <c r="AG48" s="147">
        <f t="shared" si="36"/>
        <v>0.31935824748355801</v>
      </c>
      <c r="AH48" s="123">
        <f t="shared" si="37"/>
        <v>1</v>
      </c>
      <c r="AI48" s="112">
        <f t="shared" si="37"/>
        <v>1.277432989934232</v>
      </c>
      <c r="AJ48" s="148">
        <f t="shared" si="38"/>
        <v>0.63871649496711602</v>
      </c>
      <c r="AK48" s="147">
        <f t="shared" si="39"/>
        <v>0.63871649496711602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4.0877855677895427</v>
      </c>
      <c r="K49" s="40">
        <f t="shared" si="33"/>
        <v>2.7319418642771288E-4</v>
      </c>
      <c r="L49" s="22">
        <f t="shared" si="34"/>
        <v>7.6494372199759596E-5</v>
      </c>
      <c r="M49" s="24">
        <f t="shared" si="35"/>
        <v>4.1878471968120389E-5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1.0219463919473857</v>
      </c>
      <c r="AB49" s="156">
        <f>Poor!AB49</f>
        <v>0.25</v>
      </c>
      <c r="AC49" s="147">
        <f t="shared" si="41"/>
        <v>1.0219463919473857</v>
      </c>
      <c r="AD49" s="156">
        <f>Poor!AD49</f>
        <v>0.25</v>
      </c>
      <c r="AE49" s="147">
        <f t="shared" si="42"/>
        <v>1.0219463919473857</v>
      </c>
      <c r="AF49" s="122">
        <f t="shared" si="29"/>
        <v>0.25</v>
      </c>
      <c r="AG49" s="147">
        <f t="shared" si="36"/>
        <v>1.0219463919473857</v>
      </c>
      <c r="AH49" s="123">
        <f t="shared" si="37"/>
        <v>1</v>
      </c>
      <c r="AI49" s="112">
        <f t="shared" si="37"/>
        <v>4.0877855677895427</v>
      </c>
      <c r="AJ49" s="148">
        <f t="shared" si="38"/>
        <v>2.0438927838947714</v>
      </c>
      <c r="AK49" s="147">
        <f t="shared" si="39"/>
        <v>2.0438927838947714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19980</v>
      </c>
      <c r="J52" s="38">
        <f t="shared" si="32"/>
        <v>19980.000000000004</v>
      </c>
      <c r="K52" s="40">
        <f t="shared" si="33"/>
        <v>0.36881215167741233</v>
      </c>
      <c r="L52" s="22">
        <f t="shared" si="34"/>
        <v>0.20469074418096386</v>
      </c>
      <c r="M52" s="24">
        <f t="shared" si="35"/>
        <v>0.20469074418096389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4995.0000000000009</v>
      </c>
      <c r="AB52" s="156">
        <f>Poor!AB57</f>
        <v>0.25</v>
      </c>
      <c r="AC52" s="147">
        <f t="shared" si="41"/>
        <v>4995.0000000000009</v>
      </c>
      <c r="AD52" s="156">
        <f>Poor!AD57</f>
        <v>0.25</v>
      </c>
      <c r="AE52" s="147">
        <f t="shared" si="42"/>
        <v>4995.0000000000009</v>
      </c>
      <c r="AF52" s="122">
        <f t="shared" si="29"/>
        <v>0.25</v>
      </c>
      <c r="AG52" s="147">
        <f t="shared" si="36"/>
        <v>4995.0000000000009</v>
      </c>
      <c r="AH52" s="123">
        <f t="shared" si="37"/>
        <v>1</v>
      </c>
      <c r="AI52" s="112">
        <f t="shared" si="37"/>
        <v>19980.000000000004</v>
      </c>
      <c r="AJ52" s="148">
        <f t="shared" si="38"/>
        <v>9990.0000000000018</v>
      </c>
      <c r="AK52" s="147">
        <f t="shared" si="39"/>
        <v>9990.0000000000018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3552.0000000000005</v>
      </c>
      <c r="J53" s="38">
        <f t="shared" si="32"/>
        <v>3552</v>
      </c>
      <c r="K53" s="40">
        <f t="shared" si="33"/>
        <v>6.556660474265108E-2</v>
      </c>
      <c r="L53" s="22">
        <f t="shared" si="34"/>
        <v>3.6389465632171353E-2</v>
      </c>
      <c r="M53" s="24">
        <f t="shared" si="35"/>
        <v>3.6389465632171353E-2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10421.76</v>
      </c>
      <c r="J54" s="38">
        <f t="shared" si="32"/>
        <v>10421.76</v>
      </c>
      <c r="K54" s="40">
        <f t="shared" si="33"/>
        <v>0.15080319090809749</v>
      </c>
      <c r="L54" s="22">
        <f t="shared" si="34"/>
        <v>0.10676865916293302</v>
      </c>
      <c r="M54" s="24">
        <f t="shared" si="35"/>
        <v>0.10676865916293303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2520.48</v>
      </c>
      <c r="J55" s="38">
        <f t="shared" si="32"/>
        <v>2520.4799999999996</v>
      </c>
      <c r="K55" s="40">
        <f t="shared" si="33"/>
        <v>5.4707135832149499E-2</v>
      </c>
      <c r="L55" s="22">
        <f t="shared" si="34"/>
        <v>2.5821768112774562E-2</v>
      </c>
      <c r="M55" s="24">
        <f t="shared" si="35"/>
        <v>2.5821768112774559E-2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6.8066331548464656E-2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53706.340000000011</v>
      </c>
      <c r="J65" s="39">
        <f>SUM(J37:J64)</f>
        <v>53926.386957037532</v>
      </c>
      <c r="K65" s="40">
        <f>SUM(K37:K64)</f>
        <v>1</v>
      </c>
      <c r="L65" s="22">
        <f>SUM(L37:L64)</f>
        <v>0.55432746421156165</v>
      </c>
      <c r="M65" s="24">
        <f>SUM(M37:M64)</f>
        <v>0.5524640779392711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7999.6698773663666</v>
      </c>
      <c r="AB65" s="137"/>
      <c r="AC65" s="153">
        <f>SUM(AC37:AC64)</f>
        <v>8310.7877766431957</v>
      </c>
      <c r="AD65" s="137"/>
      <c r="AE65" s="153">
        <f>SUM(AE37:AE64)</f>
        <v>8333.937736391088</v>
      </c>
      <c r="AF65" s="137"/>
      <c r="AG65" s="153">
        <f>SUM(AG37:AG64)</f>
        <v>12787.751566636884</v>
      </c>
      <c r="AH65" s="137"/>
      <c r="AI65" s="153">
        <f>SUM(AI37:AI64)</f>
        <v>37432.146957037534</v>
      </c>
      <c r="AJ65" s="153">
        <f>SUM(AJ37:AJ64)</f>
        <v>16310.457654009562</v>
      </c>
      <c r="AK65" s="153">
        <f>SUM(AK37:AK64)</f>
        <v>21121.689303027972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15457.363048525172</v>
      </c>
      <c r="K72" s="40">
        <f t="shared" si="47"/>
        <v>0.23833973063053221</v>
      </c>
      <c r="L72" s="22">
        <f t="shared" si="45"/>
        <v>0.18653654974412134</v>
      </c>
      <c r="M72" s="24">
        <f t="shared" si="48"/>
        <v>0.15835731458848595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0.10597373237897498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35902.983767208963</v>
      </c>
      <c r="J74" s="51">
        <f t="shared" si="44"/>
        <v>5822.2182312768928</v>
      </c>
      <c r="K74" s="40">
        <f>B74/B$76</f>
        <v>7.7941080355359765E-2</v>
      </c>
      <c r="L74" s="22">
        <f t="shared" si="45"/>
        <v>3.3331507600341169E-2</v>
      </c>
      <c r="M74" s="24">
        <f>J74/B$76</f>
        <v>5.9647356483685798E-2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1919.7363682814243</v>
      </c>
      <c r="AB74" s="156"/>
      <c r="AC74" s="147">
        <f>AC30*$I$84/4</f>
        <v>3859.9487184454342</v>
      </c>
      <c r="AD74" s="156"/>
      <c r="AE74" s="147">
        <f>AE30*$I$84/4</f>
        <v>3883.0986781933275</v>
      </c>
      <c r="AF74" s="156"/>
      <c r="AG74" s="147">
        <f>AG30*$I$84/4</f>
        <v>3648.843758979333</v>
      </c>
      <c r="AH74" s="155"/>
      <c r="AI74" s="147">
        <f>SUM(AA74,AC74,AE74,AG74)</f>
        <v>13311.627523899519</v>
      </c>
      <c r="AJ74" s="148">
        <f>(AA74+AC74)</f>
        <v>5779.6850867268586</v>
      </c>
      <c r="AK74" s="147">
        <f>(AE74+AG74)</f>
        <v>7531.94243717266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0.31859470670479817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8344.9591731182118</v>
      </c>
      <c r="AB75" s="158"/>
      <c r="AC75" s="149">
        <f>AA75+AC65-SUM(AC70,AC74)</f>
        <v>8344.9591731182118</v>
      </c>
      <c r="AD75" s="158"/>
      <c r="AE75" s="149">
        <f>AC75+AE65-SUM(AE70,AE74)</f>
        <v>8344.9591731182099</v>
      </c>
      <c r="AF75" s="158"/>
      <c r="AG75" s="149">
        <f>IF(SUM(AG6:AG29)+((AG65-AG70-$J$75)*4/I$83)&lt;1,0,AG65-AG70-$J$75-(1-SUM(AG6:AG29))*I$83/4)</f>
        <v>6715.8647222310301</v>
      </c>
      <c r="AH75" s="134"/>
      <c r="AI75" s="149">
        <f>AI76-SUM(AI70,AI74)</f>
        <v>6317.1632003469713</v>
      </c>
      <c r="AJ75" s="151">
        <f>AJ76-SUM(AJ70,AJ74)</f>
        <v>1629.0944508871817</v>
      </c>
      <c r="AK75" s="149">
        <f>AJ75+AK76-SUM(AK70,AK74)</f>
        <v>6317.1632003469713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53706.340000000011</v>
      </c>
      <c r="J76" s="51">
        <f t="shared" si="44"/>
        <v>53926.386957037532</v>
      </c>
      <c r="K76" s="40">
        <f>SUM(K70:K75)</f>
        <v>0.99999999999999989</v>
      </c>
      <c r="L76" s="22">
        <f>SUM(L70:L75)</f>
        <v>0.55432746421156176</v>
      </c>
      <c r="M76" s="24">
        <f>SUM(M70:M75)</f>
        <v>0.55246407793927099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7999.6698773663666</v>
      </c>
      <c r="AB76" s="137"/>
      <c r="AC76" s="153">
        <f>AC65</f>
        <v>8310.7877766431957</v>
      </c>
      <c r="AD76" s="137"/>
      <c r="AE76" s="153">
        <f>AE65</f>
        <v>8333.937736391088</v>
      </c>
      <c r="AF76" s="137"/>
      <c r="AG76" s="153">
        <f>AG65</f>
        <v>12787.751566636884</v>
      </c>
      <c r="AH76" s="137"/>
      <c r="AI76" s="153">
        <f>SUM(AA76,AC76,AE76,AG76)</f>
        <v>37432.146957037534</v>
      </c>
      <c r="AJ76" s="154">
        <f>SUM(AA76,AC76)</f>
        <v>16310.457654009562</v>
      </c>
      <c r="AK76" s="154">
        <f>SUM(AE76,AG76)</f>
        <v>21121.689303027972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14843.449444444415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6715.8647222310301</v>
      </c>
      <c r="AB78" s="112"/>
      <c r="AC78" s="112">
        <f>IF(AA75&lt;0,0,AA75)</f>
        <v>8344.9591731182118</v>
      </c>
      <c r="AD78" s="112"/>
      <c r="AE78" s="112">
        <f>AC75</f>
        <v>8344.9591731182118</v>
      </c>
      <c r="AF78" s="112"/>
      <c r="AG78" s="112">
        <f>AE75</f>
        <v>8344.9591731182099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10264.695541399637</v>
      </c>
      <c r="AB79" s="112"/>
      <c r="AC79" s="112">
        <f>AA79-AA74+AC65-AC70</f>
        <v>12204.907891563646</v>
      </c>
      <c r="AD79" s="112"/>
      <c r="AE79" s="112">
        <f>AC79-AC74+AE65-AE70</f>
        <v>12228.057851311536</v>
      </c>
      <c r="AF79" s="112"/>
      <c r="AG79" s="112">
        <f>AE79-AE74+AG65-AG70</f>
        <v>16681.871681557332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0.59</v>
      </c>
      <c r="I91" s="22">
        <f t="shared" ref="I91" si="52">(D91*H91)</f>
        <v>0.52163472468963756</v>
      </c>
      <c r="J91" s="24">
        <f>IF(I$32&lt;=1+I$131,I91,L91+J$33*(I91-L91))</f>
        <v>0.55733222858323417</v>
      </c>
      <c r="K91" s="22">
        <f t="shared" ref="K91" si="53">(B91)</f>
        <v>0.9946424835183767</v>
      </c>
      <c r="L91" s="22">
        <f t="shared" ref="L91" si="54">(K91*H91)</f>
        <v>0.58683906527584218</v>
      </c>
      <c r="M91" s="227">
        <f t="shared" si="49"/>
        <v>0.55733222858323417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0.59</v>
      </c>
      <c r="I92" s="22">
        <f t="shared" ref="I92:I118" si="58">(D92*H92)</f>
        <v>0.20702378136119989</v>
      </c>
      <c r="J92" s="24">
        <f t="shared" ref="J92:J118" si="59">IF(I$32&lt;=1+I$131,I92,L92+J$33*(I92-L92))</f>
        <v>0.16061702629952429</v>
      </c>
      <c r="K92" s="22">
        <f t="shared" ref="K92:K118" si="60">(B92)</f>
        <v>0.20721718406632847</v>
      </c>
      <c r="L92" s="22">
        <f t="shared" ref="L92:L118" si="61">(K92*H92)</f>
        <v>0.12225813859913379</v>
      </c>
      <c r="M92" s="227">
        <f t="shared" ref="M92:M118" si="62">(J92)</f>
        <v>0.16061702629952429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0.59</v>
      </c>
      <c r="I93" s="22">
        <f t="shared" si="58"/>
        <v>2.608173623448188E-2</v>
      </c>
      <c r="J93" s="24">
        <f t="shared" si="59"/>
        <v>2.608173623448188E-2</v>
      </c>
      <c r="K93" s="22">
        <f t="shared" si="60"/>
        <v>4.4206332600816745E-2</v>
      </c>
      <c r="L93" s="22">
        <f t="shared" si="61"/>
        <v>2.608173623448188E-2</v>
      </c>
      <c r="M93" s="227">
        <f t="shared" si="62"/>
        <v>2.608173623448188E-2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0.42</v>
      </c>
      <c r="I95" s="22">
        <f t="shared" si="58"/>
        <v>0</v>
      </c>
      <c r="J95" s="24">
        <f t="shared" si="59"/>
        <v>1.7470600422501738E-2</v>
      </c>
      <c r="K95" s="22">
        <f t="shared" si="60"/>
        <v>7.5979634157653769E-2</v>
      </c>
      <c r="L95" s="22">
        <f t="shared" si="61"/>
        <v>3.1911446346214581E-2</v>
      </c>
      <c r="M95" s="227">
        <f t="shared" si="62"/>
        <v>1.7470600422501738E-2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0.27999999999999997</v>
      </c>
      <c r="I96" s="22">
        <f t="shared" si="58"/>
        <v>0.13700647631308127</v>
      </c>
      <c r="J96" s="24">
        <f t="shared" si="59"/>
        <v>0.13590529907432966</v>
      </c>
      <c r="K96" s="22">
        <f t="shared" si="60"/>
        <v>0.48212531492765759</v>
      </c>
      <c r="L96" s="22">
        <f t="shared" si="61"/>
        <v>0.13499508817974412</v>
      </c>
      <c r="M96" s="227">
        <f t="shared" si="62"/>
        <v>0.13590529907432966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0.27999999999999997</v>
      </c>
      <c r="I97" s="22">
        <f t="shared" si="58"/>
        <v>0</v>
      </c>
      <c r="J97" s="24">
        <f t="shared" si="59"/>
        <v>1.0588242680304082E-2</v>
      </c>
      <c r="K97" s="22">
        <f t="shared" si="60"/>
        <v>6.9072394688776156E-2</v>
      </c>
      <c r="L97" s="22">
        <f t="shared" si="61"/>
        <v>1.9340270512857322E-2</v>
      </c>
      <c r="M97" s="227">
        <f t="shared" si="62"/>
        <v>1.0588242680304082E-2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0.27999999999999997</v>
      </c>
      <c r="I98" s="22">
        <f t="shared" si="58"/>
        <v>0</v>
      </c>
      <c r="J98" s="24">
        <f t="shared" si="59"/>
        <v>1.1858831801940571E-3</v>
      </c>
      <c r="K98" s="22">
        <f t="shared" si="60"/>
        <v>7.7361082051429289E-3</v>
      </c>
      <c r="L98" s="22">
        <f t="shared" si="61"/>
        <v>2.1661102974400198E-3</v>
      </c>
      <c r="M98" s="227">
        <f t="shared" si="62"/>
        <v>1.1858831801940571E-3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0.27999999999999997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0.27999999999999997</v>
      </c>
      <c r="I100" s="22">
        <f t="shared" si="58"/>
        <v>0</v>
      </c>
      <c r="J100" s="24">
        <f t="shared" si="59"/>
        <v>3.6000025113033882E-4</v>
      </c>
      <c r="K100" s="22">
        <f t="shared" si="60"/>
        <v>2.3484614194183894E-3</v>
      </c>
      <c r="L100" s="22">
        <f t="shared" si="61"/>
        <v>6.5756919743714898E-4</v>
      </c>
      <c r="M100" s="227">
        <f t="shared" si="62"/>
        <v>3.6000025113033882E-4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0.27999999999999997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0.27999999999999997</v>
      </c>
      <c r="I102" s="22">
        <f t="shared" si="58"/>
        <v>0</v>
      </c>
      <c r="J102" s="24">
        <f t="shared" si="59"/>
        <v>1.0588242680304084E-4</v>
      </c>
      <c r="K102" s="22">
        <f t="shared" si="60"/>
        <v>6.9072394688776163E-4</v>
      </c>
      <c r="L102" s="22">
        <f t="shared" si="61"/>
        <v>1.9340270512857325E-4</v>
      </c>
      <c r="M102" s="227">
        <f t="shared" si="62"/>
        <v>1.0588242680304084E-4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0.27999999999999997</v>
      </c>
      <c r="I103" s="22">
        <f t="shared" si="58"/>
        <v>0</v>
      </c>
      <c r="J103" s="24">
        <f t="shared" si="59"/>
        <v>3.3882376576973064E-4</v>
      </c>
      <c r="K103" s="22">
        <f t="shared" si="60"/>
        <v>2.2103166300408371E-3</v>
      </c>
      <c r="L103" s="22">
        <f t="shared" si="61"/>
        <v>6.1888865641143438E-4</v>
      </c>
      <c r="M103" s="227">
        <f t="shared" si="62"/>
        <v>3.3882376576973064E-4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0.27999999999999997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0.55500000000000005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0.55500000000000005</v>
      </c>
      <c r="I106" s="22">
        <f t="shared" si="58"/>
        <v>1.6560797350580974</v>
      </c>
      <c r="J106" s="24">
        <f t="shared" si="59"/>
        <v>1.6560797350580974</v>
      </c>
      <c r="K106" s="22">
        <f t="shared" si="60"/>
        <v>2.9839274505551301</v>
      </c>
      <c r="L106" s="22">
        <f t="shared" si="61"/>
        <v>1.6560797350580974</v>
      </c>
      <c r="M106" s="227">
        <f t="shared" si="62"/>
        <v>1.6560797350580974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0.55500000000000005</v>
      </c>
      <c r="I107" s="22">
        <f t="shared" si="58"/>
        <v>0.29441417512143947</v>
      </c>
      <c r="J107" s="24">
        <f t="shared" si="59"/>
        <v>0.29441417512143947</v>
      </c>
      <c r="K107" s="22">
        <f t="shared" si="60"/>
        <v>0.53047599120980082</v>
      </c>
      <c r="L107" s="22">
        <f t="shared" si="61"/>
        <v>0.29441417512143947</v>
      </c>
      <c r="M107" s="227">
        <f t="shared" si="62"/>
        <v>0.29441417512143947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0.70799999999999996</v>
      </c>
      <c r="I108" s="22">
        <f t="shared" si="58"/>
        <v>0.8638271040860398</v>
      </c>
      <c r="J108" s="24">
        <f t="shared" si="59"/>
        <v>0.8638271040860398</v>
      </c>
      <c r="K108" s="22">
        <f t="shared" si="60"/>
        <v>1.2200947797825421</v>
      </c>
      <c r="L108" s="22">
        <f t="shared" si="61"/>
        <v>0.8638271040860398</v>
      </c>
      <c r="M108" s="227">
        <f t="shared" si="62"/>
        <v>0.8638271040860398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0.47199999999999992</v>
      </c>
      <c r="I109" s="22">
        <f t="shared" si="58"/>
        <v>0.2089147072381998</v>
      </c>
      <c r="J109" s="24">
        <f t="shared" si="59"/>
        <v>0.2089147072381998</v>
      </c>
      <c r="K109" s="22">
        <f t="shared" si="60"/>
        <v>0.44261590516567761</v>
      </c>
      <c r="L109" s="22">
        <f t="shared" si="61"/>
        <v>0.2089147072381998</v>
      </c>
      <c r="M109" s="227">
        <f t="shared" si="62"/>
        <v>0.2089147072381998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0</v>
      </c>
      <c r="I111" s="22">
        <f t="shared" si="58"/>
        <v>0</v>
      </c>
      <c r="J111" s="24">
        <f t="shared" si="59"/>
        <v>0</v>
      </c>
      <c r="K111" s="22">
        <f t="shared" si="60"/>
        <v>0.5507003883746745</v>
      </c>
      <c r="L111" s="22">
        <f t="shared" si="61"/>
        <v>0</v>
      </c>
      <c r="M111" s="227">
        <f t="shared" si="6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4.4515506165235283</v>
      </c>
      <c r="J119" s="24">
        <f>SUM(J91:J118)</f>
        <v>4.4697896208434003</v>
      </c>
      <c r="K119" s="22">
        <f>SUM(K91:K118)</f>
        <v>8.0906429926014791</v>
      </c>
      <c r="L119" s="22">
        <f>SUM(L91:L118)</f>
        <v>4.4848656139298191</v>
      </c>
      <c r="M119" s="57">
        <f t="shared" si="49"/>
        <v>4.4697896208434003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1.2812124976025219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1.5092006290513327</v>
      </c>
      <c r="M126" s="57">
        <f t="shared" si="65"/>
        <v>1.2812124976025219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2.975886078328057</v>
      </c>
      <c r="J128" s="228">
        <f>(J30)</f>
        <v>0.48258546676193492</v>
      </c>
      <c r="K128" s="22">
        <f>(B128)</f>
        <v>0.63059345561288027</v>
      </c>
      <c r="L128" s="22">
        <f>IF(L124=L119,0,(L119-L124)/(B119-B124)*K128)</f>
        <v>0.26967332839954322</v>
      </c>
      <c r="M128" s="57">
        <f t="shared" si="63"/>
        <v>0.48258546676193492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2.5776360312810986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4.4515506165235283</v>
      </c>
      <c r="J130" s="228">
        <f>(J119)</f>
        <v>4.4697896208434003</v>
      </c>
      <c r="K130" s="22">
        <f>(B130)</f>
        <v>8.0906429926014791</v>
      </c>
      <c r="L130" s="22">
        <f>(L119)</f>
        <v>4.4848656139298191</v>
      </c>
      <c r="M130" s="57">
        <f t="shared" si="63"/>
        <v>4.4697896208434003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1.2303271182834719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8.4480074719800752E-3</v>
      </c>
      <c r="J6" s="24">
        <f t="shared" ref="J6:J13" si="3">IF(I$32&lt;=1+I$131,I6,B6*H6+J$33*(I6-B6*H6))</f>
        <v>8.4480074719800752E-3</v>
      </c>
      <c r="K6" s="22">
        <f t="shared" ref="K6:K31" si="4">B6</f>
        <v>4.2240037359900375E-2</v>
      </c>
      <c r="L6" s="22">
        <f t="shared" ref="L6:L29" si="5">IF(K6="","",K6*H6)</f>
        <v>8.4480074719800752E-3</v>
      </c>
      <c r="M6" s="177">
        <f t="shared" ref="M6:M31" si="6">J6</f>
        <v>8.4480074719800752E-3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3.3792029887920301E-2</v>
      </c>
      <c r="Z6" s="156">
        <f>Poor!Z6</f>
        <v>0.17</v>
      </c>
      <c r="AA6" s="121">
        <f>$M6*Z6*4</f>
        <v>5.7446450809464514E-3</v>
      </c>
      <c r="AB6" s="156">
        <f>Poor!AB6</f>
        <v>0.17</v>
      </c>
      <c r="AC6" s="121">
        <f t="shared" ref="AC6:AC29" si="7">$M6*AB6*4</f>
        <v>5.7446450809464514E-3</v>
      </c>
      <c r="AD6" s="156">
        <f>Poor!AD6</f>
        <v>0.33</v>
      </c>
      <c r="AE6" s="121">
        <f t="shared" ref="AE6:AE29" si="8">$M6*AD6*4</f>
        <v>1.11513698630137E-2</v>
      </c>
      <c r="AF6" s="122">
        <f>1-SUM(Z6,AB6,AD6)</f>
        <v>0.32999999999999996</v>
      </c>
      <c r="AG6" s="121">
        <f>$M6*AF6*4</f>
        <v>1.1151369863013698E-2</v>
      </c>
      <c r="AH6" s="123">
        <f>SUM(Z6,AB6,AD6,AF6)</f>
        <v>1</v>
      </c>
      <c r="AI6" s="183">
        <f>SUM(AA6,AC6,AE6,AG6)/4</f>
        <v>8.4480074719800752E-3</v>
      </c>
      <c r="AJ6" s="120">
        <f>(AA6+AC6)/2</f>
        <v>5.7446450809464514E-3</v>
      </c>
      <c r="AK6" s="119">
        <f>(AE6+AG6)/2</f>
        <v>1.11513698630137E-2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1.7395033001245331E-2</v>
      </c>
      <c r="J7" s="24">
        <f t="shared" si="3"/>
        <v>1.7395033001245331E-2</v>
      </c>
      <c r="K7" s="22">
        <f t="shared" si="4"/>
        <v>8.6975165006226651E-2</v>
      </c>
      <c r="L7" s="22">
        <f t="shared" si="5"/>
        <v>1.7395033001245331E-2</v>
      </c>
      <c r="M7" s="177">
        <f t="shared" si="6"/>
        <v>1.7395033001245331E-2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357.04522419492463</v>
      </c>
      <c r="T7" s="222">
        <f>IF($B$81=0,0,(SUMIF($N$6:$N$28,$U7,M$6:M$28)+SUMIF($N$91:$N$118,$U7,M$91:M$118))*$I$83*Poor!$B$81/$B$81)</f>
        <v>359.35053415256368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6.9580132004981324E-2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6.9580132004981324E-2</v>
      </c>
      <c r="AH7" s="123">
        <f t="shared" ref="AH7:AH30" si="12">SUM(Z7,AB7,AD7,AF7)</f>
        <v>1</v>
      </c>
      <c r="AI7" s="183">
        <f t="shared" ref="AI7:AI30" si="13">SUM(AA7,AC7,AE7,AG7)/4</f>
        <v>1.7395033001245331E-2</v>
      </c>
      <c r="AJ7" s="120">
        <f t="shared" ref="AJ7:AJ31" si="14">(AA7+AC7)/2</f>
        <v>0</v>
      </c>
      <c r="AK7" s="119">
        <f t="shared" ref="AK7:AK31" si="15">(AE7+AG7)/2</f>
        <v>3.4790066002490662E-2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4.999999999999999E-4</v>
      </c>
      <c r="J8" s="24">
        <f t="shared" si="3"/>
        <v>4.999999999999999E-4</v>
      </c>
      <c r="K8" s="22">
        <f t="shared" si="4"/>
        <v>2.4999999999999996E-3</v>
      </c>
      <c r="L8" s="22">
        <f t="shared" si="5"/>
        <v>4.999999999999999E-4</v>
      </c>
      <c r="M8" s="224">
        <f t="shared" si="6"/>
        <v>4.999999999999999E-4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5320.6399999999994</v>
      </c>
      <c r="T8" s="222">
        <f>IF($B$81=0,0,(SUMIF($N$6:$N$28,$U8,M$6:M$28)+SUMIF($N$91:$N$118,$U8,M$91:M$118))*$I$83*Poor!$B$81/$B$81)</f>
        <v>5319.4945172828247</v>
      </c>
      <c r="U8" s="223">
        <v>2</v>
      </c>
      <c r="V8" s="56"/>
      <c r="W8" s="115"/>
      <c r="X8" s="118">
        <f>Poor!X8</f>
        <v>1</v>
      </c>
      <c r="Y8" s="183">
        <f t="shared" si="9"/>
        <v>1.9999999999999996E-3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1.9999999999999996E-3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4.999999999999999E-4</v>
      </c>
      <c r="AJ8" s="120">
        <f t="shared" si="14"/>
        <v>9.999999999999998E-4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0.14620819427148193</v>
      </c>
      <c r="J9" s="24">
        <f t="shared" si="3"/>
        <v>1.3289275067665767E-2</v>
      </c>
      <c r="K9" s="22">
        <f t="shared" si="4"/>
        <v>4.3767753735990039E-2</v>
      </c>
      <c r="L9" s="22">
        <f t="shared" si="5"/>
        <v>1.3130326120797011E-2</v>
      </c>
      <c r="M9" s="224">
        <f t="shared" si="6"/>
        <v>1.3289275067665767E-2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356.32787322935076</v>
      </c>
      <c r="T9" s="222">
        <f>IF($B$81=0,0,(SUMIF($N$6:$N$28,$U9,M$6:M$28)+SUMIF($N$91:$N$118,$U9,M$91:M$118))*$I$83*Poor!$B$81/$B$81)</f>
        <v>356.32787322935076</v>
      </c>
      <c r="U9" s="223">
        <v>3</v>
      </c>
      <c r="V9" s="56"/>
      <c r="W9" s="115"/>
      <c r="X9" s="118">
        <f>Poor!X9</f>
        <v>1</v>
      </c>
      <c r="Y9" s="183">
        <f t="shared" si="9"/>
        <v>5.3157100270663067E-2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5.3157100270663067E-2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1.3289275067665767E-2</v>
      </c>
      <c r="AJ9" s="120">
        <f t="shared" si="14"/>
        <v>2.6578550135331534E-2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0.2</v>
      </c>
      <c r="H10" s="24">
        <f t="shared" si="1"/>
        <v>0.2</v>
      </c>
      <c r="I10" s="22">
        <f t="shared" si="2"/>
        <v>7.202677696139477E-3</v>
      </c>
      <c r="J10" s="24">
        <f t="shared" si="3"/>
        <v>7.202677696139477E-3</v>
      </c>
      <c r="K10" s="22">
        <f t="shared" si="4"/>
        <v>3.6013388480697385E-2</v>
      </c>
      <c r="L10" s="22">
        <f t="shared" si="5"/>
        <v>7.202677696139477E-3</v>
      </c>
      <c r="M10" s="224">
        <f t="shared" si="6"/>
        <v>7.202677696139477E-3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2.8810710784557908E-2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2.8810710784557908E-2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7.202677696139477E-3</v>
      </c>
      <c r="AJ10" s="120">
        <f t="shared" si="14"/>
        <v>1.4405355392278954E-2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0.2</v>
      </c>
      <c r="H11" s="24">
        <f t="shared" si="1"/>
        <v>0.2</v>
      </c>
      <c r="I11" s="22">
        <f t="shared" si="2"/>
        <v>1.0267980074719799E-2</v>
      </c>
      <c r="J11" s="24">
        <f t="shared" si="3"/>
        <v>4.362425449598183E-3</v>
      </c>
      <c r="K11" s="22">
        <f t="shared" si="4"/>
        <v>2.1776816936488169E-2</v>
      </c>
      <c r="L11" s="22">
        <f t="shared" si="5"/>
        <v>4.3553633872976342E-3</v>
      </c>
      <c r="M11" s="224">
        <f t="shared" si="6"/>
        <v>4.362425449598183E-3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15019.714285714284</v>
      </c>
      <c r="T11" s="222">
        <f>IF($B$81=0,0,(SUMIF($N$6:$N$28,$U11,M$6:M$28)+SUMIF($N$91:$N$118,$U11,M$91:M$118))*$I$83*Poor!$B$81/$B$81)</f>
        <v>15021.767980776</v>
      </c>
      <c r="U11" s="223">
        <v>5</v>
      </c>
      <c r="V11" s="56"/>
      <c r="W11" s="115"/>
      <c r="X11" s="118">
        <f>Poor!X11</f>
        <v>1</v>
      </c>
      <c r="Y11" s="183">
        <f t="shared" si="9"/>
        <v>1.7449701798392732E-2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1.7449701798392732E-2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4.362425449598183E-3</v>
      </c>
      <c r="AJ11" s="120">
        <f t="shared" si="14"/>
        <v>8.7248508991963659E-3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0.2</v>
      </c>
      <c r="H12" s="24">
        <f t="shared" si="1"/>
        <v>0.2</v>
      </c>
      <c r="I12" s="22">
        <f t="shared" si="2"/>
        <v>2.855790784557908E-4</v>
      </c>
      <c r="J12" s="24">
        <f t="shared" si="3"/>
        <v>2.855790784557908E-4</v>
      </c>
      <c r="K12" s="22">
        <f t="shared" si="4"/>
        <v>1.4278953922789539E-3</v>
      </c>
      <c r="L12" s="22">
        <f t="shared" si="5"/>
        <v>2.855790784557908E-4</v>
      </c>
      <c r="M12" s="224">
        <f t="shared" si="6"/>
        <v>2.855790784557908E-4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1.1423163138231632E-3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7.6535193026151934E-4</v>
      </c>
      <c r="AF12" s="122">
        <f>1-SUM(Z12,AB12,AD12)</f>
        <v>0.32999999999999996</v>
      </c>
      <c r="AG12" s="121">
        <f>$M12*AF12*4</f>
        <v>3.769643835616438E-4</v>
      </c>
      <c r="AH12" s="123">
        <f t="shared" si="12"/>
        <v>1</v>
      </c>
      <c r="AI12" s="183">
        <f t="shared" si="13"/>
        <v>2.855790784557908E-4</v>
      </c>
      <c r="AJ12" s="120">
        <f t="shared" si="14"/>
        <v>0</v>
      </c>
      <c r="AK12" s="119">
        <f t="shared" si="15"/>
        <v>5.711581569115816E-4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78648.685714285719</v>
      </c>
      <c r="T14" s="222">
        <f>IF($B$81=0,0,(SUMIF($N$6:$N$28,$U14,M$6:M$28)+SUMIF($N$91:$N$118,$U14,M$91:M$118))*$I$83*Poor!$B$81/$B$81)</f>
        <v>78648.685714285719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0.2</v>
      </c>
      <c r="F16" s="22"/>
      <c r="H16" s="24">
        <f t="shared" si="1"/>
        <v>0.2</v>
      </c>
      <c r="I16" s="22">
        <f t="shared" si="2"/>
        <v>2.0084682440846824E-4</v>
      </c>
      <c r="J16" s="24">
        <f>IF(I$32&lt;=1+I131,I16,B16*H16+J$33*(I16-B16*H16))</f>
        <v>2.0084682440846824E-4</v>
      </c>
      <c r="K16" s="22">
        <f t="shared" si="4"/>
        <v>1.0042341220423412E-3</v>
      </c>
      <c r="L16" s="22">
        <f t="shared" si="5"/>
        <v>2.0084682440846824E-4</v>
      </c>
      <c r="M16" s="224">
        <f t="shared" si="6"/>
        <v>2.0084682440846824E-4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8.0338729763387298E-4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8.0338729763387298E-4</v>
      </c>
      <c r="AH16" s="123">
        <f t="shared" si="12"/>
        <v>1</v>
      </c>
      <c r="AI16" s="183">
        <f t="shared" si="13"/>
        <v>2.0084682440846824E-4</v>
      </c>
      <c r="AJ16" s="120">
        <f t="shared" si="14"/>
        <v>0</v>
      </c>
      <c r="AK16" s="119">
        <f t="shared" si="15"/>
        <v>4.0169364881693649E-4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1.2115068493150686E-3</v>
      </c>
      <c r="J19" s="24">
        <f t="shared" si="17"/>
        <v>2.2145790667115077E-4</v>
      </c>
      <c r="K19" s="22">
        <f t="shared" si="21"/>
        <v>1.1013698630136985E-3</v>
      </c>
      <c r="L19" s="22">
        <f t="shared" si="22"/>
        <v>2.2027397260273972E-4</v>
      </c>
      <c r="M19" s="225">
        <f t="shared" si="23"/>
        <v>2.2145790667115077E-4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167502.24538283472</v>
      </c>
      <c r="T23" s="179">
        <f>SUM(T7:T22)</f>
        <v>167505.45890513688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4.611761655828274E-2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4.611761655828274E-2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0.18447046623313096</v>
      </c>
      <c r="Z27" s="156">
        <f>Poor!Z27</f>
        <v>0.25</v>
      </c>
      <c r="AA27" s="121">
        <f t="shared" si="16"/>
        <v>4.611761655828274E-2</v>
      </c>
      <c r="AB27" s="156">
        <f>Poor!AB27</f>
        <v>0.25</v>
      </c>
      <c r="AC27" s="121">
        <f t="shared" si="7"/>
        <v>4.611761655828274E-2</v>
      </c>
      <c r="AD27" s="156">
        <f>Poor!AD27</f>
        <v>0.25</v>
      </c>
      <c r="AE27" s="121">
        <f t="shared" si="8"/>
        <v>4.611761655828274E-2</v>
      </c>
      <c r="AF27" s="122">
        <f t="shared" si="10"/>
        <v>0.25</v>
      </c>
      <c r="AG27" s="121">
        <f t="shared" si="11"/>
        <v>4.611761655828274E-2</v>
      </c>
      <c r="AH27" s="123">
        <f t="shared" si="12"/>
        <v>1</v>
      </c>
      <c r="AI27" s="183">
        <f t="shared" si="13"/>
        <v>4.611761655828274E-2</v>
      </c>
      <c r="AJ27" s="120">
        <f t="shared" si="14"/>
        <v>4.611761655828274E-2</v>
      </c>
      <c r="AK27" s="119">
        <f t="shared" si="15"/>
        <v>4.611761655828274E-2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0.43811253626104552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0.43811253626104552</v>
      </c>
      <c r="N29" s="229"/>
      <c r="P29" s="22"/>
      <c r="V29" s="56"/>
      <c r="W29" s="110"/>
      <c r="X29" s="118"/>
      <c r="Y29" s="183">
        <f t="shared" si="9"/>
        <v>1.7524501450441821</v>
      </c>
      <c r="Z29" s="156">
        <f>Poor!Z29</f>
        <v>0.25</v>
      </c>
      <c r="AA29" s="121">
        <f t="shared" si="16"/>
        <v>0.43811253626104552</v>
      </c>
      <c r="AB29" s="156">
        <f>Poor!AB29</f>
        <v>0.25</v>
      </c>
      <c r="AC29" s="121">
        <f t="shared" si="7"/>
        <v>0.43811253626104552</v>
      </c>
      <c r="AD29" s="156">
        <f>Poor!AD29</f>
        <v>0.25</v>
      </c>
      <c r="AE29" s="121">
        <f t="shared" si="8"/>
        <v>0.43811253626104552</v>
      </c>
      <c r="AF29" s="122">
        <f t="shared" si="10"/>
        <v>0.25</v>
      </c>
      <c r="AG29" s="121">
        <f t="shared" si="11"/>
        <v>0.43811253626104552</v>
      </c>
      <c r="AH29" s="123">
        <f t="shared" si="12"/>
        <v>1</v>
      </c>
      <c r="AI29" s="183">
        <f t="shared" si="13"/>
        <v>0.43811253626104552</v>
      </c>
      <c r="AJ29" s="120">
        <f t="shared" si="14"/>
        <v>0.43811253626104552</v>
      </c>
      <c r="AK29" s="119">
        <f t="shared" si="15"/>
        <v>0.43811253626104552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10.652206047497119</v>
      </c>
      <c r="J30" s="231">
        <f>IF(I$32&lt;=1,I30,1-SUM(J6:J29))</f>
        <v>0.44005502087498372</v>
      </c>
      <c r="K30" s="22">
        <f t="shared" si="4"/>
        <v>0.68160895442092151</v>
      </c>
      <c r="L30" s="22">
        <f>IF(L124=L119,0,IF(K30="",0,(L119-L124)/(B119-B124)*K30))</f>
        <v>0.42977502329656503</v>
      </c>
      <c r="M30" s="175">
        <f t="shared" si="6"/>
        <v>0.44005502087498372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1.7602200834999349</v>
      </c>
      <c r="Z30" s="122">
        <f>IF($Y30=0,0,AA30/($Y$30))</f>
        <v>0.21860798490122554</v>
      </c>
      <c r="AA30" s="187">
        <f>IF(AA79*4/$I$83+SUM(AA6:AA29)&lt;1,AA79*4/$I$83,1-SUM(AA6:AA29))</f>
        <v>0.38479816543658774</v>
      </c>
      <c r="AB30" s="122">
        <f>IF($Y30=0,0,AC30/($Y$30))</f>
        <v>0.27622436696860897</v>
      </c>
      <c r="AC30" s="187">
        <f>IF(AC79*4/$I$83+SUM(AC6:AC29)&lt;1,AC79*4/$I$83,1-SUM(AC6:AC29))</f>
        <v>0.48621567829020151</v>
      </c>
      <c r="AD30" s="122">
        <f>IF($Y30=0,0,AE30/($Y$30))</f>
        <v>0.27271794366950847</v>
      </c>
      <c r="AE30" s="187">
        <f>IF(AE79*4/$I$83+SUM(AE6:AE29)&lt;1,AE79*4/$I$83,1-SUM(AE6:AE29))</f>
        <v>0.48004360157787274</v>
      </c>
      <c r="AF30" s="122">
        <f>IF($Y30=0,0,AG30/($Y$30))</f>
        <v>0.23295295495472204</v>
      </c>
      <c r="AG30" s="187">
        <f>IF(AG79*4/$I$83+SUM(AG6:AG29)&lt;1,AG79*4/$I$83,1-SUM(AG6:AG29))</f>
        <v>0.41004846982195742</v>
      </c>
      <c r="AH30" s="123">
        <f t="shared" si="12"/>
        <v>1.000503250494065</v>
      </c>
      <c r="AI30" s="183">
        <f t="shared" si="13"/>
        <v>0.44027647878165488</v>
      </c>
      <c r="AJ30" s="120">
        <f t="shared" si="14"/>
        <v>0.43550692186339462</v>
      </c>
      <c r="AK30" s="119">
        <f t="shared" si="15"/>
        <v>0.44504603569991508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1.0136960936252382E-2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11.092538558230164</v>
      </c>
      <c r="J32" s="17"/>
      <c r="L32" s="22">
        <f>SUM(L6:L30)</f>
        <v>0.98986303906374762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3.9991141683733153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1.1944055692925334E-3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0.5</v>
      </c>
      <c r="F37" s="75">
        <f>Middle!F37</f>
        <v>1.18</v>
      </c>
      <c r="G37" s="75">
        <f>Middle!G37</f>
        <v>1</v>
      </c>
      <c r="H37" s="24">
        <f t="shared" ref="H37:H52" si="26">(E37*F37)</f>
        <v>0.59</v>
      </c>
      <c r="I37" s="39">
        <f t="shared" ref="I37:I52" si="27">D37*H37</f>
        <v>10133.25</v>
      </c>
      <c r="J37" s="38">
        <f>J91*I$83</f>
        <v>9543.9546992858832</v>
      </c>
      <c r="K37" s="40">
        <f t="shared" ref="K37:K52" si="28">(B37/B$65)</f>
        <v>7.5064274510167908E-2</v>
      </c>
      <c r="L37" s="22">
        <f t="shared" ref="L37:L52" si="29">(K37*H37)</f>
        <v>4.4287921960999066E-2</v>
      </c>
      <c r="M37" s="24">
        <f t="shared" ref="M37:M52" si="30">J37/B$65</f>
        <v>4.4291192300451469E-2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5.3696946001292357E-2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512.48122012633451</v>
      </c>
      <c r="AD37" s="122">
        <f>IF($J37=0,0,AE37/($J37))</f>
        <v>1.1334934488193971E-2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108.18010127469647</v>
      </c>
      <c r="AF37" s="122">
        <f t="shared" ref="AF37:AF64" si="31">1-SUM(Z37,AB37,AD37)</f>
        <v>0.93496811951051373</v>
      </c>
      <c r="AG37" s="147">
        <f>$J37*AF37</f>
        <v>8923.2933778848528</v>
      </c>
      <c r="AH37" s="123">
        <f>SUM(Z37,AB37,AD37,AF37)</f>
        <v>1</v>
      </c>
      <c r="AI37" s="112">
        <f>SUM(AA37,AC37,AE37,AG37)</f>
        <v>9543.9546992858832</v>
      </c>
      <c r="AJ37" s="148">
        <f>(AA37+AC37)</f>
        <v>512.48122012633451</v>
      </c>
      <c r="AK37" s="147">
        <f>(AE37+AG37)</f>
        <v>9031.4734791595492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0.5</v>
      </c>
      <c r="F38" s="75">
        <f>Middle!F38</f>
        <v>1.18</v>
      </c>
      <c r="G38" s="22">
        <f t="shared" ref="G38:G64" si="32">(G$37)</f>
        <v>1</v>
      </c>
      <c r="H38" s="24">
        <f t="shared" si="26"/>
        <v>0.59</v>
      </c>
      <c r="I38" s="39">
        <f t="shared" si="27"/>
        <v>3805.5</v>
      </c>
      <c r="J38" s="38">
        <f t="shared" ref="J38:J64" si="33">J92*I$83</f>
        <v>2892.0922838931178</v>
      </c>
      <c r="K38" s="40">
        <f t="shared" si="28"/>
        <v>2.2739718398752565E-2</v>
      </c>
      <c r="L38" s="22">
        <f t="shared" si="29"/>
        <v>1.3416433855264013E-2</v>
      </c>
      <c r="M38" s="24">
        <f t="shared" si="30"/>
        <v>1.3421502881415236E-2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5.3696946001292344E-2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155.296523198963</v>
      </c>
      <c r="AD38" s="122">
        <f>IF($J38=0,0,AE38/($J38))</f>
        <v>1.1334934488193969E-2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32.781676571739766</v>
      </c>
      <c r="AF38" s="122">
        <f t="shared" si="31"/>
        <v>0.93496811951051373</v>
      </c>
      <c r="AG38" s="147">
        <f t="shared" ref="AG38:AG64" si="34">$J38*AF38</f>
        <v>2704.0140841224152</v>
      </c>
      <c r="AH38" s="123">
        <f t="shared" ref="AH38:AI58" si="35">SUM(Z38,AB38,AD38,AF38)</f>
        <v>1</v>
      </c>
      <c r="AI38" s="112">
        <f t="shared" si="35"/>
        <v>2892.0922838931178</v>
      </c>
      <c r="AJ38" s="148">
        <f t="shared" ref="AJ38:AJ64" si="36">(AA38+AC38)</f>
        <v>155.296523198963</v>
      </c>
      <c r="AK38" s="147">
        <f t="shared" ref="AK38:AK64" si="37">(AE38+AG38)</f>
        <v>2736.795760694155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5.5689106282659339E-3</v>
      </c>
      <c r="L39" s="22">
        <f t="shared" si="29"/>
        <v>3.285657270676901E-3</v>
      </c>
      <c r="M39" s="24">
        <f t="shared" si="30"/>
        <v>3.285657270676901E-3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</v>
      </c>
      <c r="H41" s="24">
        <f t="shared" si="26"/>
        <v>0.42</v>
      </c>
      <c r="I41" s="39">
        <f t="shared" si="27"/>
        <v>0</v>
      </c>
      <c r="J41" s="38">
        <f t="shared" si="33"/>
        <v>755.0970293896147</v>
      </c>
      <c r="K41" s="40">
        <f t="shared" si="28"/>
        <v>8.3533659423989017E-3</v>
      </c>
      <c r="L41" s="22">
        <f t="shared" si="29"/>
        <v>3.5084136958075385E-3</v>
      </c>
      <c r="M41" s="24">
        <f t="shared" si="30"/>
        <v>3.5042232269498833E-3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755.0970293896147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755.0970293896147</v>
      </c>
      <c r="AJ41" s="148">
        <f t="shared" si="36"/>
        <v>755.0970293896147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0.2</v>
      </c>
      <c r="F42" s="75">
        <f>Middle!F42</f>
        <v>1.4</v>
      </c>
      <c r="G42" s="22">
        <f t="shared" si="32"/>
        <v>1</v>
      </c>
      <c r="H42" s="24">
        <f t="shared" si="26"/>
        <v>0.27999999999999997</v>
      </c>
      <c r="I42" s="39">
        <f t="shared" si="27"/>
        <v>1016.3999999999999</v>
      </c>
      <c r="J42" s="38">
        <f t="shared" si="33"/>
        <v>1016.3999999999999</v>
      </c>
      <c r="K42" s="40">
        <f t="shared" si="28"/>
        <v>1.6845954650504452E-2</v>
      </c>
      <c r="L42" s="22">
        <f t="shared" si="29"/>
        <v>4.7168673021412465E-3</v>
      </c>
      <c r="M42" s="24">
        <f t="shared" si="30"/>
        <v>4.7168673021412456E-3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254.09999999999997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508.19999999999993</v>
      </c>
      <c r="AF42" s="122">
        <f t="shared" si="31"/>
        <v>0.25</v>
      </c>
      <c r="AG42" s="147">
        <f t="shared" si="34"/>
        <v>254.09999999999997</v>
      </c>
      <c r="AH42" s="123">
        <f t="shared" si="35"/>
        <v>1</v>
      </c>
      <c r="AI42" s="112">
        <f t="shared" si="35"/>
        <v>1016.3999999999999</v>
      </c>
      <c r="AJ42" s="148">
        <f t="shared" si="36"/>
        <v>254.09999999999997</v>
      </c>
      <c r="AK42" s="147">
        <f t="shared" si="37"/>
        <v>762.3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</v>
      </c>
      <c r="H43" s="24">
        <f t="shared" si="26"/>
        <v>0.27999999999999997</v>
      </c>
      <c r="I43" s="39">
        <f t="shared" si="27"/>
        <v>0</v>
      </c>
      <c r="J43" s="38">
        <f t="shared" si="33"/>
        <v>60.407762351169175</v>
      </c>
      <c r="K43" s="40">
        <f t="shared" si="28"/>
        <v>1.0024039130878681E-3</v>
      </c>
      <c r="L43" s="22">
        <f t="shared" si="29"/>
        <v>2.8067309566460303E-4</v>
      </c>
      <c r="M43" s="24">
        <f t="shared" si="30"/>
        <v>2.8033785815599063E-4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15.101940587792294</v>
      </c>
      <c r="AB43" s="156">
        <f>Poor!AB43</f>
        <v>0.25</v>
      </c>
      <c r="AC43" s="147">
        <f t="shared" si="39"/>
        <v>15.101940587792294</v>
      </c>
      <c r="AD43" s="156">
        <f>Poor!AD43</f>
        <v>0.25</v>
      </c>
      <c r="AE43" s="147">
        <f t="shared" si="40"/>
        <v>15.101940587792294</v>
      </c>
      <c r="AF43" s="122">
        <f t="shared" si="31"/>
        <v>0.25</v>
      </c>
      <c r="AG43" s="147">
        <f t="shared" si="34"/>
        <v>15.101940587792294</v>
      </c>
      <c r="AH43" s="123">
        <f t="shared" si="35"/>
        <v>1</v>
      </c>
      <c r="AI43" s="112">
        <f t="shared" si="35"/>
        <v>60.407762351169175</v>
      </c>
      <c r="AJ43" s="148">
        <f t="shared" si="36"/>
        <v>30.203881175584588</v>
      </c>
      <c r="AK43" s="147">
        <f t="shared" si="37"/>
        <v>30.203881175584588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</v>
      </c>
      <c r="H44" s="24">
        <f t="shared" si="26"/>
        <v>0.27999999999999997</v>
      </c>
      <c r="I44" s="39">
        <f t="shared" si="27"/>
        <v>0</v>
      </c>
      <c r="J44" s="38">
        <f t="shared" si="33"/>
        <v>22.652910881688442</v>
      </c>
      <c r="K44" s="40">
        <f t="shared" si="28"/>
        <v>3.7590146740795055E-4</v>
      </c>
      <c r="L44" s="22">
        <f t="shared" si="29"/>
        <v>1.0525241087422615E-4</v>
      </c>
      <c r="M44" s="24">
        <f t="shared" si="30"/>
        <v>1.0512669680849649E-4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5.6632277204221104</v>
      </c>
      <c r="AB44" s="156">
        <f>Poor!AB44</f>
        <v>0.25</v>
      </c>
      <c r="AC44" s="147">
        <f t="shared" si="39"/>
        <v>5.6632277204221104</v>
      </c>
      <c r="AD44" s="156">
        <f>Poor!AD44</f>
        <v>0.25</v>
      </c>
      <c r="AE44" s="147">
        <f t="shared" si="40"/>
        <v>5.6632277204221104</v>
      </c>
      <c r="AF44" s="122">
        <f t="shared" si="31"/>
        <v>0.25</v>
      </c>
      <c r="AG44" s="147">
        <f t="shared" si="34"/>
        <v>5.6632277204221104</v>
      </c>
      <c r="AH44" s="123">
        <f t="shared" si="35"/>
        <v>1</v>
      </c>
      <c r="AI44" s="112">
        <f t="shared" si="35"/>
        <v>22.652910881688442</v>
      </c>
      <c r="AJ44" s="148">
        <f t="shared" si="36"/>
        <v>11.326455440844221</v>
      </c>
      <c r="AK44" s="147">
        <f t="shared" si="37"/>
        <v>11.326455440844221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</v>
      </c>
      <c r="H47" s="24">
        <f t="shared" si="26"/>
        <v>0.27999999999999997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</v>
      </c>
      <c r="H48" s="24">
        <f t="shared" si="26"/>
        <v>0.27999999999999997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</v>
      </c>
      <c r="H49" s="24">
        <f t="shared" si="26"/>
        <v>0.27999999999999997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0.2</v>
      </c>
      <c r="F50" s="75">
        <f>Middle!F50</f>
        <v>1.4</v>
      </c>
      <c r="G50" s="22">
        <f t="shared" si="32"/>
        <v>1</v>
      </c>
      <c r="H50" s="24">
        <f t="shared" si="26"/>
        <v>0.27999999999999997</v>
      </c>
      <c r="I50" s="39">
        <f t="shared" si="27"/>
        <v>2799.9999999999995</v>
      </c>
      <c r="J50" s="38">
        <f t="shared" si="33"/>
        <v>2799.9999999999995</v>
      </c>
      <c r="K50" s="40">
        <f t="shared" si="28"/>
        <v>4.6407588568882781E-2</v>
      </c>
      <c r="L50" s="22">
        <f t="shared" si="29"/>
        <v>1.2994124799287177E-2</v>
      </c>
      <c r="M50" s="24">
        <f t="shared" si="30"/>
        <v>1.2994124799287177E-2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699.99999999999989</v>
      </c>
      <c r="AB50" s="156">
        <f>Poor!AB55</f>
        <v>0.25</v>
      </c>
      <c r="AC50" s="147">
        <f t="shared" si="39"/>
        <v>699.99999999999989</v>
      </c>
      <c r="AD50" s="156">
        <f>Poor!AD55</f>
        <v>0.25</v>
      </c>
      <c r="AE50" s="147">
        <f t="shared" si="40"/>
        <v>699.99999999999989</v>
      </c>
      <c r="AF50" s="122">
        <f t="shared" si="31"/>
        <v>0.25</v>
      </c>
      <c r="AG50" s="147">
        <f t="shared" si="34"/>
        <v>699.99999999999989</v>
      </c>
      <c r="AH50" s="123">
        <f t="shared" si="35"/>
        <v>1</v>
      </c>
      <c r="AI50" s="112">
        <f t="shared" si="35"/>
        <v>2799.9999999999995</v>
      </c>
      <c r="AJ50" s="148">
        <f t="shared" si="36"/>
        <v>1399.9999999999998</v>
      </c>
      <c r="AK50" s="147">
        <f t="shared" si="37"/>
        <v>1399.9999999999998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0.5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0.55500000000000005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0.6</v>
      </c>
      <c r="F54" s="75">
        <f>Middle!F54</f>
        <v>1.18</v>
      </c>
      <c r="G54" s="22">
        <f t="shared" si="32"/>
        <v>1</v>
      </c>
      <c r="H54" s="24">
        <f t="shared" si="41"/>
        <v>0.70799999999999996</v>
      </c>
      <c r="I54" s="39">
        <f t="shared" si="42"/>
        <v>50976</v>
      </c>
      <c r="J54" s="38">
        <f t="shared" si="33"/>
        <v>50976</v>
      </c>
      <c r="K54" s="40">
        <f t="shared" si="43"/>
        <v>0.33413463769595603</v>
      </c>
      <c r="L54" s="22">
        <f t="shared" si="44"/>
        <v>0.23656732348873685</v>
      </c>
      <c r="M54" s="24">
        <f t="shared" si="45"/>
        <v>0.23656732348873688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0.4</v>
      </c>
      <c r="F55" s="75">
        <f>Middle!F55</f>
        <v>1.18</v>
      </c>
      <c r="G55" s="22">
        <f t="shared" si="32"/>
        <v>1</v>
      </c>
      <c r="H55" s="24">
        <f t="shared" si="41"/>
        <v>0.47199999999999998</v>
      </c>
      <c r="I55" s="39">
        <f t="shared" si="42"/>
        <v>17841.599999999999</v>
      </c>
      <c r="J55" s="38">
        <f t="shared" si="33"/>
        <v>17841.599999999999</v>
      </c>
      <c r="K55" s="40">
        <f t="shared" si="43"/>
        <v>0.17542068479037692</v>
      </c>
      <c r="L55" s="22">
        <f t="shared" si="44"/>
        <v>8.27985632210579E-2</v>
      </c>
      <c r="M55" s="24">
        <f t="shared" si="45"/>
        <v>8.27985632210579E-2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0</v>
      </c>
      <c r="F57" s="75">
        <f>Middle!F57</f>
        <v>1.18</v>
      </c>
      <c r="G57" s="22">
        <f t="shared" si="32"/>
        <v>1</v>
      </c>
      <c r="H57" s="24">
        <f t="shared" si="41"/>
        <v>0</v>
      </c>
      <c r="I57" s="39">
        <f t="shared" si="42"/>
        <v>0</v>
      </c>
      <c r="J57" s="38">
        <f t="shared" si="33"/>
        <v>0</v>
      </c>
      <c r="K57" s="40">
        <f t="shared" si="43"/>
        <v>3.7172478443675112E-2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146318.35</v>
      </c>
      <c r="J65" s="39">
        <f>SUM(J37:J64)</f>
        <v>145653.80468580147</v>
      </c>
      <c r="K65" s="40">
        <f>SUM(K37:K64)</f>
        <v>1.0000000000000002</v>
      </c>
      <c r="L65" s="22">
        <f>SUM(L37:L64)</f>
        <v>0.6759404961899369</v>
      </c>
      <c r="M65" s="24">
        <f>SUM(M37:M64)</f>
        <v>0.67594418413510859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6966.7621976978298</v>
      </c>
      <c r="AB65" s="137"/>
      <c r="AC65" s="153">
        <f>SUM(AC37:AC64)</f>
        <v>5917.3429116335119</v>
      </c>
      <c r="AD65" s="137"/>
      <c r="AE65" s="153">
        <f>SUM(AE37:AE64)</f>
        <v>5898.7269461546512</v>
      </c>
      <c r="AF65" s="137"/>
      <c r="AG65" s="153">
        <f>SUM(AG37:AG64)</f>
        <v>17130.972630315482</v>
      </c>
      <c r="AH65" s="137"/>
      <c r="AI65" s="153">
        <f>SUM(AI37:AI64)</f>
        <v>35913.804685801479</v>
      </c>
      <c r="AJ65" s="153">
        <f>SUM(AJ37:AJ64)</f>
        <v>12884.10510933134</v>
      </c>
      <c r="AK65" s="153">
        <f>SUM(AK37:AK64)</f>
        <v>23029.699576470131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128514.99376720897</v>
      </c>
      <c r="J74" s="51">
        <f>J128*I$83</f>
        <v>5309.1038619428136</v>
      </c>
      <c r="K74" s="40">
        <f>B74/B$76</f>
        <v>3.8162650535183681E-2</v>
      </c>
      <c r="L74" s="22">
        <f>(L128*G$37*F$9/F$7)/B$130</f>
        <v>2.4062703279406631E-2</v>
      </c>
      <c r="M74" s="24">
        <f>J74/B$76</f>
        <v>2.4638270769450875E-2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1160.6124968906329</v>
      </c>
      <c r="AB74" s="156"/>
      <c r="AC74" s="147">
        <f>AC30*$I$83/4</f>
        <v>1466.5038534357507</v>
      </c>
      <c r="AD74" s="156"/>
      <c r="AE74" s="147">
        <f>AE30*$I$83/4</f>
        <v>1447.8878879568902</v>
      </c>
      <c r="AF74" s="156"/>
      <c r="AG74" s="147">
        <f>AG30*$I$83/4</f>
        <v>1236.771432801105</v>
      </c>
      <c r="AH74" s="155"/>
      <c r="AI74" s="147">
        <f>SUM(AA74,AC74,AE74,AG74)</f>
        <v>5311.7756710843787</v>
      </c>
      <c r="AJ74" s="148">
        <f>(AA74+AC74)</f>
        <v>2627.1163503263833</v>
      </c>
      <c r="AK74" s="147">
        <f>(AE74+AG74)</f>
        <v>2684.6593207579954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60753.66014662321</v>
      </c>
      <c r="K75" s="40">
        <f>B75/B$76</f>
        <v>0.65982081226975331</v>
      </c>
      <c r="L75" s="22">
        <f>(L129*G$37*F$9/F$7)/B$130</f>
        <v>0.28251496595869463</v>
      </c>
      <c r="M75" s="24">
        <f>J75/B$76</f>
        <v>0.2819430864138221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1355.3106426094359</v>
      </c>
      <c r="AB75" s="158"/>
      <c r="AC75" s="149">
        <f>AA75+AC65-SUM(AC70,AC74)</f>
        <v>1355.3106426094364</v>
      </c>
      <c r="AD75" s="158"/>
      <c r="AE75" s="149">
        <f>AC75+AE65-SUM(AE70,AE74)</f>
        <v>1355.3106426094364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12798.672781926049</v>
      </c>
      <c r="AJ75" s="151">
        <f>AJ76-SUM(AJ70,AJ74)</f>
        <v>1355.3106426094364</v>
      </c>
      <c r="AK75" s="149">
        <f>AJ75+AK76-SUM(AK70,AK74)</f>
        <v>12798.672781926056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146318.35</v>
      </c>
      <c r="J76" s="51">
        <f>J130*I$83</f>
        <v>145653.80468580147</v>
      </c>
      <c r="K76" s="40">
        <f>SUM(K70:K75)</f>
        <v>0.83365805754334743</v>
      </c>
      <c r="L76" s="22">
        <f>SUM(L70:L75)</f>
        <v>0.4796570040910868</v>
      </c>
      <c r="M76" s="24">
        <f>SUM(M70:M75)</f>
        <v>0.47966069203625861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6966.7621976978298</v>
      </c>
      <c r="AB76" s="137"/>
      <c r="AC76" s="153">
        <f>AC65</f>
        <v>5917.3429116335119</v>
      </c>
      <c r="AD76" s="137"/>
      <c r="AE76" s="153">
        <f>AE65</f>
        <v>5898.7269461546512</v>
      </c>
      <c r="AF76" s="137"/>
      <c r="AG76" s="153">
        <f>AG65</f>
        <v>17130.972630315482</v>
      </c>
      <c r="AH76" s="137"/>
      <c r="AI76" s="153">
        <f>SUM(AA76,AC76,AE76,AG76)</f>
        <v>35913.804685801471</v>
      </c>
      <c r="AJ76" s="154">
        <f>SUM(AA76,AC76)</f>
        <v>12884.105109331342</v>
      </c>
      <c r="AK76" s="154">
        <f>SUM(AE76,AG76)</f>
        <v>23029.699576470135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1355.3106426094359</v>
      </c>
      <c r="AD78" s="112"/>
      <c r="AE78" s="112">
        <f>AC75</f>
        <v>1355.3106426094364</v>
      </c>
      <c r="AF78" s="112"/>
      <c r="AG78" s="112">
        <f>AE75</f>
        <v>1355.3106426094364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2515.9231395000688</v>
      </c>
      <c r="AB79" s="112"/>
      <c r="AC79" s="112">
        <f>AA79-AA74+AC65-AC70</f>
        <v>2821.8144960451873</v>
      </c>
      <c r="AD79" s="112"/>
      <c r="AE79" s="112">
        <f>AC79-AC74+AE65-AE70</f>
        <v>2803.1985305663266</v>
      </c>
      <c r="AF79" s="112"/>
      <c r="AG79" s="112">
        <f>AE79-AE74+AG65-AG70</f>
        <v>14035.444214727158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0.59</v>
      </c>
      <c r="I91" s="22">
        <f t="shared" ref="I91" si="52">(D91*H91)</f>
        <v>0.83991341217604909</v>
      </c>
      <c r="J91" s="24">
        <f>IF(I$32&lt;=1+I$131,I91,L91+J$33*(I91-L91))</f>
        <v>0.79106856705704931</v>
      </c>
      <c r="K91" s="22">
        <f t="shared" ref="K91" si="53">(B91)</f>
        <v>1.3406951809091452</v>
      </c>
      <c r="L91" s="22">
        <f t="shared" ref="L91" si="54">(K91*H91)</f>
        <v>0.79101015673639563</v>
      </c>
      <c r="M91" s="227">
        <f t="shared" si="50"/>
        <v>0.79106856705704931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0.59</v>
      </c>
      <c r="I92" s="22">
        <f t="shared" ref="I92:I118" si="59">(D92*H92)</f>
        <v>0.31542599758576517</v>
      </c>
      <c r="J92" s="24">
        <f t="shared" ref="J92:J118" si="60">IF(I$32&lt;=1+I$131,I92,L92+J$33*(I92-L92))</f>
        <v>0.2397164876513154</v>
      </c>
      <c r="K92" s="22">
        <f t="shared" ref="K92:K118" si="61">(B92)</f>
        <v>0.40614568077000379</v>
      </c>
      <c r="L92" s="22">
        <f t="shared" ref="L92:L118" si="62">(K92*H92)</f>
        <v>0.23962595165430223</v>
      </c>
      <c r="M92" s="227">
        <f t="shared" ref="M92:M118" si="63">(J92)</f>
        <v>0.2397164876513154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0.59</v>
      </c>
      <c r="I93" s="22">
        <f t="shared" si="59"/>
        <v>5.868390652758422E-2</v>
      </c>
      <c r="J93" s="24">
        <f t="shared" si="60"/>
        <v>5.868390652758422E-2</v>
      </c>
      <c r="K93" s="22">
        <f t="shared" si="61"/>
        <v>9.9464248351837661E-2</v>
      </c>
      <c r="L93" s="22">
        <f t="shared" si="62"/>
        <v>5.868390652758422E-2</v>
      </c>
      <c r="M93" s="227">
        <f t="shared" si="63"/>
        <v>5.868390652758422E-2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0.42</v>
      </c>
      <c r="I95" s="22">
        <f t="shared" si="59"/>
        <v>0</v>
      </c>
      <c r="J95" s="24">
        <f t="shared" si="60"/>
        <v>6.2587632050786254E-2</v>
      </c>
      <c r="K95" s="22">
        <f t="shared" si="61"/>
        <v>0.1491963725277565</v>
      </c>
      <c r="L95" s="22">
        <f t="shared" si="62"/>
        <v>6.2662476461657721E-2</v>
      </c>
      <c r="M95" s="227">
        <f t="shared" si="63"/>
        <v>6.2587632050786254E-2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0.27999999999999997</v>
      </c>
      <c r="I96" s="22">
        <f t="shared" si="59"/>
        <v>8.4246218354006489E-2</v>
      </c>
      <c r="J96" s="24">
        <f t="shared" si="60"/>
        <v>8.4246218354006489E-2</v>
      </c>
      <c r="K96" s="22">
        <f t="shared" si="61"/>
        <v>0.30087935126430893</v>
      </c>
      <c r="L96" s="22">
        <f t="shared" si="62"/>
        <v>8.4246218354006489E-2</v>
      </c>
      <c r="M96" s="227">
        <f t="shared" si="63"/>
        <v>8.4246218354006489E-2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0.27999999999999997</v>
      </c>
      <c r="I97" s="22">
        <f t="shared" si="59"/>
        <v>0</v>
      </c>
      <c r="J97" s="24">
        <f t="shared" si="60"/>
        <v>5.0070105640628998E-3</v>
      </c>
      <c r="K97" s="22">
        <f t="shared" si="61"/>
        <v>1.7903564703330779E-2</v>
      </c>
      <c r="L97" s="22">
        <f t="shared" si="62"/>
        <v>5.0129981169326175E-3</v>
      </c>
      <c r="M97" s="227">
        <f t="shared" si="63"/>
        <v>5.0070105640628998E-3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0.27999999999999997</v>
      </c>
      <c r="I98" s="22">
        <f t="shared" si="59"/>
        <v>0</v>
      </c>
      <c r="J98" s="24">
        <f t="shared" si="60"/>
        <v>1.8776289615235876E-3</v>
      </c>
      <c r="K98" s="22">
        <f t="shared" si="61"/>
        <v>6.7138367637490422E-3</v>
      </c>
      <c r="L98" s="22">
        <f t="shared" si="62"/>
        <v>1.8798742938497316E-3</v>
      </c>
      <c r="M98" s="227">
        <f t="shared" si="63"/>
        <v>1.8776289615235876E-3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0.27999999999999997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0.27999999999999997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0.27999999999999997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0.27999999999999997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0.27999999999999997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0.27999999999999997</v>
      </c>
      <c r="I104" s="22">
        <f t="shared" si="59"/>
        <v>0.23208324615428785</v>
      </c>
      <c r="J104" s="24">
        <f t="shared" si="60"/>
        <v>0.23208324615428785</v>
      </c>
      <c r="K104" s="22">
        <f t="shared" si="61"/>
        <v>0.82886873626531388</v>
      </c>
      <c r="L104" s="22">
        <f t="shared" si="62"/>
        <v>0.23208324615428785</v>
      </c>
      <c r="M104" s="227">
        <f t="shared" si="63"/>
        <v>0.23208324615428785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0.55500000000000005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0.55500000000000005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0.55500000000000005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0.70799999999999996</v>
      </c>
      <c r="I108" s="22">
        <f t="shared" si="59"/>
        <v>4.2252412699860642</v>
      </c>
      <c r="J108" s="24">
        <f t="shared" si="60"/>
        <v>4.2252412699860642</v>
      </c>
      <c r="K108" s="22">
        <f t="shared" si="61"/>
        <v>5.9678549011102602</v>
      </c>
      <c r="L108" s="22">
        <f t="shared" si="62"/>
        <v>4.2252412699860642</v>
      </c>
      <c r="M108" s="227">
        <f t="shared" si="63"/>
        <v>4.2252412699860642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0.47199999999999992</v>
      </c>
      <c r="I109" s="22">
        <f t="shared" si="59"/>
        <v>1.4788344444951222</v>
      </c>
      <c r="J109" s="24">
        <f t="shared" si="60"/>
        <v>1.4788344444951222</v>
      </c>
      <c r="K109" s="22">
        <f t="shared" si="61"/>
        <v>3.1331238230828866</v>
      </c>
      <c r="L109" s="22">
        <f t="shared" si="62"/>
        <v>1.4788344444951222</v>
      </c>
      <c r="M109" s="227">
        <f t="shared" si="63"/>
        <v>1.4788344444951222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0</v>
      </c>
      <c r="I111" s="22">
        <f t="shared" si="59"/>
        <v>0</v>
      </c>
      <c r="J111" s="24">
        <f t="shared" si="60"/>
        <v>0</v>
      </c>
      <c r="K111" s="22">
        <f t="shared" si="61"/>
        <v>0.66392385774851637</v>
      </c>
      <c r="L111" s="22">
        <f t="shared" si="62"/>
        <v>0</v>
      </c>
      <c r="M111" s="227">
        <f t="shared" si="63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12.127870585692589</v>
      </c>
      <c r="J119" s="24">
        <f>SUM(J91:J118)</f>
        <v>12.072788502215513</v>
      </c>
      <c r="K119" s="22">
        <f>SUM(K91:K118)</f>
        <v>17.86062930279224</v>
      </c>
      <c r="L119" s="22">
        <f>SUM(L91:L118)</f>
        <v>12.072722633193914</v>
      </c>
      <c r="M119" s="57">
        <f t="shared" si="50"/>
        <v>12.072788502215513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10.652206047497119</v>
      </c>
      <c r="J128" s="228">
        <f>(J30)</f>
        <v>0.44005502087498372</v>
      </c>
      <c r="K128" s="22">
        <f>(B128)</f>
        <v>0.68160895442092151</v>
      </c>
      <c r="L128" s="22">
        <f>IF(L124=L119,0,(L119-L124)/(B119-B124)*K128)</f>
        <v>0.42977502329656503</v>
      </c>
      <c r="M128" s="57">
        <f t="shared" si="90"/>
        <v>0.44005502087498372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5.0356809509223943</v>
      </c>
      <c r="K129" s="29">
        <f>(B129)</f>
        <v>11.784814934217332</v>
      </c>
      <c r="L129" s="60">
        <f>IF(SUM(L124:L128)&gt;L130,0,L130-SUM(L124:L128))</f>
        <v>5.0458950794792141</v>
      </c>
      <c r="M129" s="57">
        <f t="shared" si="90"/>
        <v>5.0356809509223943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12.127870585692589</v>
      </c>
      <c r="J130" s="228">
        <f>(J119)</f>
        <v>12.072788502215513</v>
      </c>
      <c r="K130" s="22">
        <f>(B130)</f>
        <v>17.86062930279224</v>
      </c>
      <c r="L130" s="22">
        <f>(L119)</f>
        <v>12.072722633193914</v>
      </c>
      <c r="M130" s="57">
        <f t="shared" si="90"/>
        <v>12.072788502215513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350.07850714488495</v>
      </c>
      <c r="G72" s="109">
        <f>Poor!T7</f>
        <v>756.73375053887412</v>
      </c>
      <c r="H72" s="109">
        <f>Middle!T7</f>
        <v>1133.0762591059859</v>
      </c>
      <c r="I72" s="109">
        <f>Rich!T7</f>
        <v>359.35053415256368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4.4799999999999995</v>
      </c>
      <c r="G73" s="109">
        <f>Poor!T8</f>
        <v>211.67999999999998</v>
      </c>
      <c r="H73" s="109">
        <f>Middle!T8</f>
        <v>2288.209728892974</v>
      </c>
      <c r="I73" s="109">
        <f>Rich!T8</f>
        <v>5319.4945172828247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97.67916250578088</v>
      </c>
      <c r="G74" s="109">
        <f>Poor!T9</f>
        <v>178.07168754085009</v>
      </c>
      <c r="H74" s="109">
        <f>Middle!T9</f>
        <v>311.52599663915959</v>
      </c>
      <c r="I74" s="109">
        <f>Rich!T9</f>
        <v>356.32787322935076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870.24999999999989</v>
      </c>
      <c r="G76" s="109">
        <f>Poor!T11</f>
        <v>4375.4399999999996</v>
      </c>
      <c r="H76" s="109">
        <f>Middle!T11</f>
        <v>10888.148698197532</v>
      </c>
      <c r="I76" s="109">
        <f>Rich!T11</f>
        <v>15021.767980776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123.13076565969908</v>
      </c>
      <c r="H77" s="109">
        <f>Middle!T12</f>
        <v>76.999596440750977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2440.8012997781993</v>
      </c>
      <c r="G78" s="109">
        <f>Poor!T13</f>
        <v>1117.4000000000001</v>
      </c>
      <c r="H78" s="109">
        <f>Middle!T13</f>
        <v>26893.71428571429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14791.131428571429</v>
      </c>
      <c r="I79" s="109">
        <f>Rich!T14</f>
        <v>78648.685714285719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11852.409785568832</v>
      </c>
      <c r="G88" s="109">
        <f>Poor!T23</f>
        <v>19530.995518687116</v>
      </c>
      <c r="H88" s="109">
        <f>Middle!T23</f>
        <v>65026.962411569439</v>
      </c>
      <c r="I88" s="109">
        <f>Rich!T23</f>
        <v>167505.45890513688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19183.582706394904</v>
      </c>
      <c r="G98" s="239">
        <f t="shared" si="0"/>
        <v>11504.996973276619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36147.524928617124</v>
      </c>
      <c r="G99" s="239">
        <f t="shared" si="0"/>
        <v>28468.939195498839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67521.364928617128</v>
      </c>
      <c r="G100" s="239">
        <f t="shared" si="0"/>
        <v>59842.779195498828</v>
      </c>
      <c r="H100" s="239">
        <f t="shared" si="0"/>
        <v>14346.812302616519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2016-08-10T08:05:05Z</dcterms:modified>
  <cp:category/>
</cp:coreProperties>
</file>