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08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H101" i="8"/>
  <c r="I101" i="8"/>
  <c r="B102" i="8"/>
  <c r="C102" i="8"/>
  <c r="D102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H101" i="12"/>
  <c r="I101" i="12"/>
  <c r="B102" i="12"/>
  <c r="C102" i="12"/>
  <c r="D102" i="12"/>
  <c r="G48" i="12"/>
  <c r="F48" i="12"/>
  <c r="H102" i="12"/>
  <c r="I102" i="12"/>
  <c r="B103" i="12"/>
  <c r="C103" i="12"/>
  <c r="D103" i="12"/>
  <c r="G49" i="12"/>
  <c r="F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H105" i="12"/>
  <c r="I105" i="12"/>
  <c r="B106" i="12"/>
  <c r="C106" i="12"/>
  <c r="D106" i="12"/>
  <c r="G52" i="12"/>
  <c r="F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E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E51" i="12"/>
  <c r="E52" i="12"/>
  <c r="F54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E51" i="7"/>
  <c r="E52" i="7"/>
  <c r="F54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E51" i="8"/>
  <c r="E52" i="8"/>
  <c r="F54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<sst xmlns="http://schemas.openxmlformats.org/spreadsheetml/2006/main" count="790" uniqueCount="145">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</sst>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0.0945542897260274</c:v>
                </c:pt>
                <c:pt idx="2" formatCode="0.0%">
                  <c:v>0.0945542897260274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0.0662823100871731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3.58453507425166E-5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0.0288797626608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0.183038098485907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0.401592125306916</c:v>
                </c:pt>
                <c:pt idx="2" formatCode="0.0%">
                  <c:v>0.404671788618584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061368"/>
        <c:axId val="2131613176"/>
      </c:barChart>
      <c:catAx>
        <c:axId val="-20590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61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61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61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0.0170649458933198</c:v>
                </c:pt>
                <c:pt idx="2">
                  <c:v>0.0170649458933198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0.0533279559166243</c:v>
                </c:pt>
                <c:pt idx="2">
                  <c:v>0.0533279559166243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0.0149318276566548</c:v>
                </c:pt>
                <c:pt idx="2">
                  <c:v>0.0148416239350313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0.00426623647332994</c:v>
                </c:pt>
                <c:pt idx="2">
                  <c:v>0.00426623647332994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0.00237264210645998</c:v>
                </c:pt>
                <c:pt idx="2">
                  <c:v>0.00237264210645998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0.0122902861114627</c:v>
                </c:pt>
                <c:pt idx="2">
                  <c:v>0.0122902861114627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0.383961282599695</c:v>
                </c:pt>
                <c:pt idx="2">
                  <c:v>0.383961282599695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0.0323818358630034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0.107708126406477</c:v>
                </c:pt>
                <c:pt idx="2">
                  <c:v>0.107708126406477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687064"/>
        <c:axId val="-2036591432"/>
      </c:barChart>
      <c:catAx>
        <c:axId val="-206068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59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59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687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0.00188652898499398</c:v>
                </c:pt>
                <c:pt idx="2">
                  <c:v>0.00188652898499398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0.0377305796998796</c:v>
                </c:pt>
                <c:pt idx="2">
                  <c:v>0.0377305796998796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0.0132057028949579</c:v>
                </c:pt>
                <c:pt idx="2">
                  <c:v>0.0132493741779658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0.00282979347749097</c:v>
                </c:pt>
                <c:pt idx="2">
                  <c:v>0.00282979347749097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0.00457443310026612</c:v>
                </c:pt>
                <c:pt idx="2">
                  <c:v>0.00463494373392543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0.000693903168206503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0.00699454602487174</c:v>
                </c:pt>
                <c:pt idx="2">
                  <c:v>0.00708706992954959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0.000699454602487174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0.0326412147827348</c:v>
                </c:pt>
                <c:pt idx="2">
                  <c:v>0.0326412147827348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0.0163206073913674</c:v>
                </c:pt>
                <c:pt idx="2">
                  <c:v>0.0163206073913674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0.000932606136649566</c:v>
                </c:pt>
                <c:pt idx="2">
                  <c:v>0.000932606136649566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0.00116575767081196</c:v>
                </c:pt>
                <c:pt idx="2">
                  <c:v>0.00116575767081196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0.641419854897953</c:v>
                </c:pt>
                <c:pt idx="2">
                  <c:v>0.641419854897953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0.015945237128997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0.0317523424772582</c:v>
                </c:pt>
                <c:pt idx="2">
                  <c:v>0.0317523424772582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079912"/>
        <c:axId val="2137773032"/>
      </c:barChart>
      <c:catAx>
        <c:axId val="208907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77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77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079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0.0139993262412787</c:v>
                </c:pt>
                <c:pt idx="2">
                  <c:v>0.0139993262412787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0.0230413625567963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0.0497124379512864</c:v>
                </c:pt>
                <c:pt idx="2">
                  <c:v>0.0497124379512864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0.148149649523701</c:v>
                </c:pt>
                <c:pt idx="2">
                  <c:v>0.148149649523701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0.0873796059253457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0.699298135190093</c:v>
                </c:pt>
                <c:pt idx="2">
                  <c:v>0.699298135190093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250968"/>
        <c:axId val="-2036447560"/>
      </c:barChart>
      <c:catAx>
        <c:axId val="-201825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447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44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25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Non-Affected Area with Grants</a:t>
            </a:r>
          </a:p>
        </c:rich>
      </c:tx>
      <c:layout>
        <c:manualLayout>
          <c:xMode val="edge"/>
          <c:yMode val="edge"/>
          <c:x val="0.30462799015408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2479.764256448982</c:v>
                </c:pt>
                <c:pt idx="5">
                  <c:v>3837.392898779859</c:v>
                </c:pt>
                <c:pt idx="6">
                  <c:v>3798.722225638531</c:v>
                </c:pt>
                <c:pt idx="7">
                  <c:v>5766.387401062698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210.0</c:v>
                </c:pt>
                <c:pt idx="7">
                  <c:v>23121.21531727445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76.61849045545877</c:v>
                </c:pt>
                <c:pt idx="6">
                  <c:v>837.4841342933683</c:v>
                </c:pt>
                <c:pt idx="7">
                  <c:v>1425.590053583389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631.3</c:v>
                </c:pt>
                <c:pt idx="5">
                  <c:v>2688.04</c:v>
                </c:pt>
                <c:pt idx="6">
                  <c:v>8039.61616565374</c:v>
                </c:pt>
                <c:pt idx="7">
                  <c:v>20639.77392079896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777.3818179753994</c:v>
                </c:pt>
                <c:pt idx="5">
                  <c:v>774.9837668901788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6671.100000000001</c:v>
                </c:pt>
                <c:pt idx="5">
                  <c:v>13375.5</c:v>
                </c:pt>
                <c:pt idx="6">
                  <c:v>2650.506623897899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33984.0</c:v>
                </c:pt>
                <c:pt idx="7">
                  <c:v>231091.2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2946.082781837942</c:v>
                </c:pt>
                <c:pt idx="5">
                  <c:v>3347.124570803686</c:v>
                </c:pt>
                <c:pt idx="6">
                  <c:v>2866.08145101863</c:v>
                </c:pt>
                <c:pt idx="7">
                  <c:v>5744.761335787932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23577.47180978447</c:v>
                </c:pt>
                <c:pt idx="5">
                  <c:v>23577.47180978447</c:v>
                </c:pt>
                <c:pt idx="6">
                  <c:v>9533.130379746837</c:v>
                </c:pt>
                <c:pt idx="7">
                  <c:v>11439.7564556962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322856"/>
        <c:axId val="-214323064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22856"/>
        <c:axId val="-2143230648"/>
      </c:lineChart>
      <c:catAx>
        <c:axId val="212032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3230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30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322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628184"/>
        <c:axId val="-20446125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28184"/>
        <c:axId val="-2044612568"/>
      </c:lineChart>
      <c:catAx>
        <c:axId val="-205762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612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612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628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192120"/>
        <c:axId val="-20421582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92120"/>
        <c:axId val="-2042158280"/>
      </c:lineChart>
      <c:catAx>
        <c:axId val="20891921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158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15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192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0.341107275633258</c:v>
                </c:pt>
                <c:pt idx="2">
                  <c:v>0.341107275633258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0.345483233946136</c:v>
                </c:pt>
                <c:pt idx="2">
                  <c:v>0.34652639916162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0.116883265376444</c:v>
                </c:pt>
                <c:pt idx="2">
                  <c:v>0.117779600442408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776424"/>
        <c:axId val="2117828120"/>
      </c:barChart>
      <c:catAx>
        <c:axId val="208777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828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828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776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0.0520735870580714</c:v>
                </c:pt>
                <c:pt idx="2">
                  <c:v>0.0395955637627864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0.298903192912679</c:v>
                </c:pt>
                <c:pt idx="2">
                  <c:v>0.298903192912679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0.0569636784545655</c:v>
                </c:pt>
                <c:pt idx="2">
                  <c:v>0.0691942421454937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0.0520735870580714</c:v>
                </c:pt>
                <c:pt idx="2">
                  <c:v>0.0395955637627864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762344"/>
        <c:axId val="-2059036696"/>
      </c:barChart>
      <c:catAx>
        <c:axId val="-20587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3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03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762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0.0124070002151303</c:v>
                </c:pt>
                <c:pt idx="2">
                  <c:v>0.00236791297388198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0.659831038545637</c:v>
                </c:pt>
                <c:pt idx="2">
                  <c:v>0.670018983531811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0.0124070002151303</c:v>
                </c:pt>
                <c:pt idx="2">
                  <c:v>0.00236791297388198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930824"/>
        <c:axId val="2037779880"/>
      </c:barChart>
      <c:catAx>
        <c:axId val="-206993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777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779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93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0.394958937603853</c:v>
                </c:pt>
                <c:pt idx="2">
                  <c:v>0.394958937603853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0.450918298231586</c:v>
                </c:pt>
                <c:pt idx="2">
                  <c:v>0.450918298231586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0.103507527315784</c:v>
                </c:pt>
                <c:pt idx="2">
                  <c:v>0.0784680307025772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0.166678059776056</c:v>
                </c:pt>
                <c:pt idx="2">
                  <c:v>0.194319985141963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-0.347410770915802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252072"/>
        <c:axId val="-2070261064"/>
      </c:barChart>
      <c:catAx>
        <c:axId val="-210225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26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26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252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0.128937667808219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0.0139929321295143</c:v>
                </c:pt>
                <c:pt idx="2" formatCode="0.0%">
                  <c:v>0.0139929321295143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0.00593086550435865</c:v>
                </c:pt>
                <c:pt idx="2" formatCode="0.0%">
                  <c:v>0.00593086550435865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0.00742987546699875</c:v>
                </c:pt>
                <c:pt idx="2" formatCode="0.0%">
                  <c:v>0.00742987546699875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0.120467130203126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0.0233622300516488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0.228608923499306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0.35530037652811</c:v>
                </c:pt>
                <c:pt idx="2" formatCode="0.0%">
                  <c:v>0.27016227436132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516120"/>
        <c:axId val="-2070250328"/>
      </c:barChart>
      <c:catAx>
        <c:axId val="211751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250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250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516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632328"/>
        <c:axId val="208750122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32328"/>
        <c:axId val="208750122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632328"/>
        <c:axId val="2087501224"/>
      </c:scatterChart>
      <c:catAx>
        <c:axId val="-21026323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7501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7501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26323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832712"/>
        <c:axId val="-20191068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32712"/>
        <c:axId val="-2019106840"/>
      </c:lineChart>
      <c:catAx>
        <c:axId val="2086832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1068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9106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832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687848"/>
        <c:axId val="-213761612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41656"/>
        <c:axId val="2086754760"/>
      </c:scatterChart>
      <c:valAx>
        <c:axId val="20866878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616120"/>
        <c:crosses val="autoZero"/>
        <c:crossBetween val="midCat"/>
      </c:valAx>
      <c:valAx>
        <c:axId val="-21376161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6687848"/>
        <c:crosses val="autoZero"/>
        <c:crossBetween val="midCat"/>
      </c:valAx>
      <c:valAx>
        <c:axId val="-21375416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6754760"/>
        <c:crosses val="autoZero"/>
        <c:crossBetween val="midCat"/>
      </c:valAx>
      <c:valAx>
        <c:axId val="20867547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5416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55336"/>
        <c:axId val="-20593268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55336"/>
        <c:axId val="-2059326808"/>
      </c:lineChart>
      <c:catAx>
        <c:axId val="213165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326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9326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165533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0.0450485080946451</c:v>
                </c:pt>
                <c:pt idx="2" formatCode="0.0%">
                  <c:v>0.0450485080946451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0.0648484744707347</c:v>
                </c:pt>
                <c:pt idx="2" formatCode="0.0%">
                  <c:v>0.0648484744707347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0.221772788630137</c:v>
                </c:pt>
                <c:pt idx="2" formatCode="0.0%">
                  <c:v>0.216314905785646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0.0292502465753425</c:v>
                </c:pt>
                <c:pt idx="2" formatCode="0.0%">
                  <c:v>0.0293557708853997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0.0600959611457036</c:v>
                </c:pt>
                <c:pt idx="2" formatCode="0.0%">
                  <c:v>0.0600959611457036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0.00469255292652553</c:v>
                </c:pt>
                <c:pt idx="2" formatCode="0.0%">
                  <c:v>0.00450633355583625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0.0142340772104608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0.0089158505603985</c:v>
                </c:pt>
                <c:pt idx="2" formatCode="0.0%">
                  <c:v>0.0089158505603985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0.0694341414694894</c:v>
                </c:pt>
                <c:pt idx="2" formatCode="0.0%">
                  <c:v>0.0694341414694894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0.0554706372510339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0.324343213656674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0.344587016511781</c:v>
                </c:pt>
                <c:pt idx="2" formatCode="0.0%">
                  <c:v>0.0657654592473107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293048"/>
        <c:axId val="2131183080"/>
      </c:barChart>
      <c:catAx>
        <c:axId val="209229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183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18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29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0.0670475872602739</c:v>
                </c:pt>
                <c:pt idx="2" formatCode="0.0%">
                  <c:v>0.0670475872602739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0.0353505653798257</c:v>
                </c:pt>
                <c:pt idx="2" formatCode="0.0%">
                  <c:v>0.0353505653798257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0.0264151625155666</c:v>
                </c:pt>
                <c:pt idx="2" formatCode="0.0%">
                  <c:v>0.0264151625155666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4.01902756865564E-5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0.0203097379451319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0.00609281224029939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0.194164484287547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0.433215924230312</c:v>
                </c:pt>
                <c:pt idx="2" formatCode="0.0%">
                  <c:v>0.505060546497851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066248"/>
        <c:axId val="2131443048"/>
      </c:barChart>
      <c:catAx>
        <c:axId val="-207006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443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443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066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0.113565536053437</c:v>
                </c:pt>
                <c:pt idx="1">
                  <c:v>0.0531011306132295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0.257714606373319</c:v>
                </c:pt>
                <c:pt idx="1">
                  <c:v>0.12050255253079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0.0966347616588794</c:v>
                </c:pt>
                <c:pt idx="1">
                  <c:v>0.0451846156761143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0.180657265821839</c:v>
                </c:pt>
                <c:pt idx="1">
                  <c:v>0.0844719745268535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0.000143381402970066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0.183038098485907</c:v>
                </c:pt>
                <c:pt idx="1">
                  <c:v>0.183038098485907</c:v>
                </c:pt>
                <c:pt idx="2">
                  <c:v>0.183038098485907</c:v>
                </c:pt>
                <c:pt idx="3">
                  <c:v>0.183038098485907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0.345311896560487</c:v>
                </c:pt>
                <c:pt idx="2">
                  <c:v>0.648572169907475</c:v>
                </c:pt>
                <c:pt idx="3">
                  <c:v>0.624803088006373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246744"/>
        <c:axId val="-2062895080"/>
      </c:barChart>
      <c:catAx>
        <c:axId val="20922467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8950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289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24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0.268190349041096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0.141402261519303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0.0264151625155666</c:v>
                </c:pt>
                <c:pt idx="1">
                  <c:v>0.0264151625155666</c:v>
                </c:pt>
                <c:pt idx="2">
                  <c:v>0.0264151625155666</c:v>
                </c:pt>
                <c:pt idx="3">
                  <c:v>0.0264151625155666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0.0121856244805988</c:v>
                </c:pt>
                <c:pt idx="3">
                  <c:v>0.0121856244805988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0.194164484287547</c:v>
                </c:pt>
                <c:pt idx="1">
                  <c:v>0.194164484287547</c:v>
                </c:pt>
                <c:pt idx="2">
                  <c:v>0.194164484287547</c:v>
                </c:pt>
                <c:pt idx="3">
                  <c:v>0.194164484287547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-0.0176717415946845</c:v>
                </c:pt>
                <c:pt idx="1">
                  <c:v>-0.212336301491506</c:v>
                </c:pt>
                <c:pt idx="2">
                  <c:v>-0.212336301491506</c:v>
                </c:pt>
                <c:pt idx="3">
                  <c:v>-0.212336301491506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213640"/>
        <c:axId val="2092349304"/>
      </c:barChart>
      <c:catAx>
        <c:axId val="20872136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349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234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213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0.0945227961864375</c:v>
                </c:pt>
                <c:pt idx="1">
                  <c:v>0.0721438704802291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0.292501173479781</c:v>
                </c:pt>
                <c:pt idx="1">
                  <c:v>0.223249497753095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0.0804309845947386</c:v>
                </c:pt>
                <c:pt idx="1">
                  <c:v>0.0613883927402552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0.0317436257214897</c:v>
                </c:pt>
                <c:pt idx="1">
                  <c:v>0.0242281027965676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0.00419201394769614</c:v>
                </c:pt>
                <c:pt idx="3">
                  <c:v>0.00206472328767123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0.0237234620174346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0.029719501867995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0.141717531970957</c:v>
                </c:pt>
                <c:pt idx="1">
                  <c:v>0.0850497939234067</c:v>
                </c:pt>
                <c:pt idx="2">
                  <c:v>0.113383662947182</c:v>
                </c:pt>
                <c:pt idx="3">
                  <c:v>0.141717531970957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0.228608923499306</c:v>
                </c:pt>
                <c:pt idx="1">
                  <c:v>0.228608923499306</c:v>
                </c:pt>
                <c:pt idx="2">
                  <c:v>0.228608923499306</c:v>
                </c:pt>
                <c:pt idx="3">
                  <c:v>0.228608923499306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0.16886041440929</c:v>
                </c:pt>
                <c:pt idx="2">
                  <c:v>0.52303802609215</c:v>
                </c:pt>
                <c:pt idx="3">
                  <c:v>0.388750656943842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617192"/>
        <c:axId val="2084517160"/>
      </c:barChart>
      <c:catAx>
        <c:axId val="-20706171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5171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451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617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0.0306329855043587</c:v>
                </c:pt>
                <c:pt idx="1">
                  <c:v>0.0306329855043587</c:v>
                </c:pt>
                <c:pt idx="2">
                  <c:v>0.0594640306849315</c:v>
                </c:pt>
                <c:pt idx="3">
                  <c:v>0.0594640306849315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0.0555481569291511</c:v>
                </c:pt>
                <c:pt idx="1">
                  <c:v>0.0580993548048459</c:v>
                </c:pt>
                <c:pt idx="2">
                  <c:v>0.0530191549326696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0.288381463984695</c:v>
                </c:pt>
                <c:pt idx="1">
                  <c:v>0.30162615505961</c:v>
                </c:pt>
                <c:pt idx="2">
                  <c:v>0.27525200409828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0.0391358152300414</c:v>
                </c:pt>
                <c:pt idx="1">
                  <c:v>0.0409332323577745</c:v>
                </c:pt>
                <c:pt idx="2">
                  <c:v>0.037354035953783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0.0801172771327131</c:v>
                </c:pt>
                <c:pt idx="1">
                  <c:v>0.0837968776546193</c:v>
                </c:pt>
                <c:pt idx="2">
                  <c:v>0.076469689795482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0.0120769739296412</c:v>
                </c:pt>
                <c:pt idx="3">
                  <c:v>0.00594836029370386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0.0569363088418431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0.035663402241594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0.0694341414694894</c:v>
                </c:pt>
                <c:pt idx="1">
                  <c:v>0.0694341414694894</c:v>
                </c:pt>
                <c:pt idx="2">
                  <c:v>0.0694341414694894</c:v>
                </c:pt>
                <c:pt idx="3">
                  <c:v>0.0694341414694894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0.324343213656674</c:v>
                </c:pt>
                <c:pt idx="1">
                  <c:v>0.324343213656674</c:v>
                </c:pt>
                <c:pt idx="2">
                  <c:v>0.324343213656674</c:v>
                </c:pt>
                <c:pt idx="3">
                  <c:v>0.324343213656674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-2.22044604925031E-16</c:v>
                </c:pt>
                <c:pt idx="2">
                  <c:v>0.0371161182280151</c:v>
                </c:pt>
                <c:pt idx="3">
                  <c:v>0.225945718761228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105784"/>
        <c:axId val="-2036267736"/>
      </c:barChart>
      <c:catAx>
        <c:axId val="20891057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267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626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10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0.0550685449640776</c:v>
                </c:pt>
                <c:pt idx="2">
                  <c:v>0.0550685449640776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0.0173776166077904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0.0759593216166415</c:v>
                </c:pt>
                <c:pt idx="2">
                  <c:v>0.0759593216166414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0.224142260508122</c:v>
                </c:pt>
                <c:pt idx="2">
                  <c:v>0.224142260508122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0.075098305055277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0.528999782633796</c:v>
                </c:pt>
                <c:pt idx="2">
                  <c:v>0.528999782633796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818008"/>
        <c:axId val="-2035570872"/>
      </c:barChart>
      <c:catAx>
        <c:axId val="211481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57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57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818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2479.7642564489815</v>
      </c>
      <c r="T7" s="222">
        <f>IF($B$81=0,0,(SUMIF($N$6:$N$28,$U7,M$6:M$28)+SUMIF($N$91:$N$118,$U7,M$91:M$118))*$I$83*Poor!$B$81/$B$81)</f>
        <v>2479.7642564489815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0.16666666666666666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6.7047587260273961E-2</v>
      </c>
      <c r="J9" s="24">
        <f t="shared" si="3"/>
        <v>6.7047587260273961E-2</v>
      </c>
      <c r="K9" s="22">
        <f t="shared" si="4"/>
        <v>6.1511547945205469E-2</v>
      </c>
      <c r="L9" s="22">
        <f t="shared" si="5"/>
        <v>6.7047587260273961E-2</v>
      </c>
      <c r="M9" s="224">
        <f t="shared" si="6"/>
        <v>6.7047587260273961E-2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0.26819034904109584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0.26819034904109584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6.7047587260273961E-2</v>
      </c>
      <c r="AJ9" s="120">
        <f t="shared" si="14"/>
        <v>0.13409517452054792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1</v>
      </c>
      <c r="H10" s="24">
        <f t="shared" si="1"/>
        <v>1</v>
      </c>
      <c r="I10" s="22">
        <f t="shared" si="2"/>
        <v>2.0681992528019926E-2</v>
      </c>
      <c r="J10" s="24">
        <f t="shared" si="3"/>
        <v>2.0681992528019926E-2</v>
      </c>
      <c r="K10" s="22">
        <f t="shared" si="4"/>
        <v>2.0681992528019926E-2</v>
      </c>
      <c r="L10" s="22">
        <f t="shared" si="5"/>
        <v>2.0681992528019926E-2</v>
      </c>
      <c r="M10" s="224">
        <f t="shared" si="6"/>
        <v>2.0681992528019926E-2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8.2727970112079705E-2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8.2727970112079705E-2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2.0681992528019926E-2</v>
      </c>
      <c r="AJ10" s="120">
        <f t="shared" si="14"/>
        <v>4.1363985056039852E-2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1</v>
      </c>
      <c r="H11" s="24">
        <f t="shared" si="1"/>
        <v>1</v>
      </c>
      <c r="I11" s="22">
        <f t="shared" si="2"/>
        <v>3.5350565379825657E-2</v>
      </c>
      <c r="J11" s="24">
        <f t="shared" si="3"/>
        <v>3.5350565379825657E-2</v>
      </c>
      <c r="K11" s="22">
        <f t="shared" si="4"/>
        <v>3.5350565379825657E-2</v>
      </c>
      <c r="L11" s="22">
        <f t="shared" si="5"/>
        <v>3.5350565379825657E-2</v>
      </c>
      <c r="M11" s="224">
        <f t="shared" si="6"/>
        <v>3.5350565379825657E-2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631.29999999999995</v>
      </c>
      <c r="T11" s="222">
        <f>IF($B$81=0,0,(SUMIF($N$6:$N$28,$U11,M$6:M$28)+SUMIF($N$91:$N$118,$U11,M$91:M$118))*$I$83*Poor!$B$81/$B$81)</f>
        <v>631.29999999999995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0.14140226151930263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0.14140226151930263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3.5350565379825657E-2</v>
      </c>
      <c r="AJ11" s="120">
        <f t="shared" si="14"/>
        <v>7.0701130759651315E-2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777.38181797539949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6671.1000000000013</v>
      </c>
      <c r="T13" s="222">
        <f>IF($B$81=0,0,(SUMIF($N$6:$N$28,$U13,M$6:M$28)+SUMIF($N$91:$N$118,$U13,M$91:M$118))*$I$83*Poor!$B$81/$B$81)</f>
        <v>6671.1000000000013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1</v>
      </c>
      <c r="F15" s="22"/>
      <c r="H15" s="24">
        <f t="shared" si="1"/>
        <v>1</v>
      </c>
      <c r="I15" s="22">
        <f t="shared" si="2"/>
        <v>2.6415162515566623E-2</v>
      </c>
      <c r="J15" s="24">
        <f t="shared" ref="J15:J25" si="17">IF(I$32&lt;=1+I131,I15,B15*H15+J$33*(I15-B15*H15))</f>
        <v>2.6415162515566623E-2</v>
      </c>
      <c r="K15" s="22">
        <f t="shared" si="4"/>
        <v>2.6415162515566623E-2</v>
      </c>
      <c r="L15" s="22">
        <f t="shared" si="5"/>
        <v>2.6415162515566623E-2</v>
      </c>
      <c r="M15" s="226">
        <f t="shared" si="6"/>
        <v>2.6415162515566623E-2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0.10566065006226649</v>
      </c>
      <c r="Z15" s="156">
        <f>Poor!Z15</f>
        <v>0.25</v>
      </c>
      <c r="AA15" s="121">
        <f t="shared" si="16"/>
        <v>2.6415162515566623E-2</v>
      </c>
      <c r="AB15" s="156">
        <f>Poor!AB15</f>
        <v>0.25</v>
      </c>
      <c r="AC15" s="121">
        <f t="shared" si="7"/>
        <v>2.6415162515566623E-2</v>
      </c>
      <c r="AD15" s="156">
        <f>Poor!AD15</f>
        <v>0.25</v>
      </c>
      <c r="AE15" s="121">
        <f t="shared" si="8"/>
        <v>2.6415162515566623E-2</v>
      </c>
      <c r="AF15" s="122">
        <f t="shared" si="10"/>
        <v>0.25</v>
      </c>
      <c r="AG15" s="121">
        <f t="shared" si="11"/>
        <v>2.6415162515566623E-2</v>
      </c>
      <c r="AH15" s="123">
        <f t="shared" si="12"/>
        <v>1</v>
      </c>
      <c r="AI15" s="184">
        <f t="shared" si="13"/>
        <v>2.6415162515566623E-2</v>
      </c>
      <c r="AJ15" s="120">
        <f t="shared" si="14"/>
        <v>2.6415162515566623E-2</v>
      </c>
      <c r="AK15" s="119">
        <f t="shared" si="15"/>
        <v>2.6415162515566623E-2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4.0190275686556367E-5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4.0190275686556367E-5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2946.0827818379416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41187.725446663586</v>
      </c>
      <c r="T23" s="179">
        <f>SUM(T7:T22)</f>
        <v>41275.990046476931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2.0309737945131939E-2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2.0309737945131939E-2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8.1238951780527757E-2</v>
      </c>
      <c r="Z27" s="156">
        <f>Poor!Z27</f>
        <v>0.25</v>
      </c>
      <c r="AA27" s="121">
        <f t="shared" si="16"/>
        <v>2.0309737945131939E-2</v>
      </c>
      <c r="AB27" s="156">
        <f>Poor!AB27</f>
        <v>0.25</v>
      </c>
      <c r="AC27" s="121">
        <f t="shared" si="7"/>
        <v>2.0309737945131939E-2</v>
      </c>
      <c r="AD27" s="156">
        <f>Poor!AD27</f>
        <v>0.25</v>
      </c>
      <c r="AE27" s="121">
        <f t="shared" si="8"/>
        <v>2.0309737945131939E-2</v>
      </c>
      <c r="AF27" s="122">
        <f t="shared" si="10"/>
        <v>0.25</v>
      </c>
      <c r="AG27" s="121">
        <f t="shared" si="11"/>
        <v>2.0309737945131939E-2</v>
      </c>
      <c r="AH27" s="123">
        <f t="shared" si="12"/>
        <v>1</v>
      </c>
      <c r="AI27" s="184">
        <f t="shared" si="13"/>
        <v>2.0309737945131939E-2</v>
      </c>
      <c r="AJ27" s="120">
        <f t="shared" si="14"/>
        <v>2.0309737945131939E-2</v>
      </c>
      <c r="AK27" s="119">
        <f t="shared" si="15"/>
        <v>2.0309737945131939E-2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6.0928122402993936E-3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6.0928122402993936E-3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2.4371248961197575E-2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1.2185624480598787E-2</v>
      </c>
      <c r="AF28" s="122">
        <f t="shared" si="10"/>
        <v>0.5</v>
      </c>
      <c r="AG28" s="121">
        <f t="shared" si="11"/>
        <v>1.2185624480598787E-2</v>
      </c>
      <c r="AH28" s="123">
        <f t="shared" si="12"/>
        <v>1</v>
      </c>
      <c r="AI28" s="184">
        <f t="shared" si="13"/>
        <v>6.0928122402993936E-3</v>
      </c>
      <c r="AJ28" s="120">
        <f t="shared" si="14"/>
        <v>0</v>
      </c>
      <c r="AK28" s="119">
        <f t="shared" si="15"/>
        <v>1.2185624480598787E-2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0.19416448428754748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0.19416448428754748</v>
      </c>
      <c r="N29" s="229"/>
      <c r="P29" s="22"/>
      <c r="V29" s="56"/>
      <c r="W29" s="110"/>
      <c r="X29" s="118"/>
      <c r="Y29" s="184">
        <f t="shared" si="9"/>
        <v>0.77665793715018994</v>
      </c>
      <c r="Z29" s="156">
        <f>Poor!Z29</f>
        <v>0.25</v>
      </c>
      <c r="AA29" s="121">
        <f t="shared" si="16"/>
        <v>0.19416448428754748</v>
      </c>
      <c r="AB29" s="156">
        <f>Poor!AB29</f>
        <v>0.25</v>
      </c>
      <c r="AC29" s="121">
        <f t="shared" si="7"/>
        <v>0.19416448428754748</v>
      </c>
      <c r="AD29" s="156">
        <f>Poor!AD29</f>
        <v>0.25</v>
      </c>
      <c r="AE29" s="121">
        <f t="shared" si="8"/>
        <v>0.19416448428754748</v>
      </c>
      <c r="AF29" s="122">
        <f t="shared" si="10"/>
        <v>0.25</v>
      </c>
      <c r="AG29" s="121">
        <f t="shared" si="11"/>
        <v>0.19416448428754748</v>
      </c>
      <c r="AH29" s="123">
        <f t="shared" si="12"/>
        <v>1</v>
      </c>
      <c r="AI29" s="184">
        <f t="shared" si="13"/>
        <v>0.19416448428754748</v>
      </c>
      <c r="AJ29" s="120">
        <f t="shared" si="14"/>
        <v>0.19416448428754748</v>
      </c>
      <c r="AK29" s="119">
        <f t="shared" si="15"/>
        <v>0.19416448428754748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1.933191487418874</v>
      </c>
      <c r="J30" s="231">
        <f>IF(I$32&lt;=1,I30,1-SUM(J6:J29))</f>
        <v>0.5050605464978507</v>
      </c>
      <c r="K30" s="22">
        <f t="shared" si="4"/>
        <v>0.71161696139476982</v>
      </c>
      <c r="L30" s="22">
        <f>IF(L124=L119,0,IF(K30="",0,(L119-L124)/(B119-B124)*K30))</f>
        <v>0.43321592423031208</v>
      </c>
      <c r="M30" s="175">
        <f t="shared" si="6"/>
        <v>0.5050605464978507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2.0202421859914028</v>
      </c>
      <c r="Z30" s="122">
        <f>IF($Y30=0,0,AA30/($Y$30))</f>
        <v>-8.7473381742161835E-3</v>
      </c>
      <c r="AA30" s="188">
        <f>IF(AA79*4/$I$83+SUM(AA6:AA29)&lt;1,AA79*4/$I$83,1-SUM(AA6:AA29))</f>
        <v>-1.7671741594684549E-2</v>
      </c>
      <c r="AB30" s="122">
        <f>IF($Y30=0,0,AC30/($Y$30))</f>
        <v>-0.10510437954611151</v>
      </c>
      <c r="AC30" s="188">
        <f>IF(AC79*4/$I$83+SUM(AC6:AC29)&lt;1,AC79*4/$I$83,1-SUM(AC6:AC29))</f>
        <v>-0.21233630149150642</v>
      </c>
      <c r="AD30" s="122">
        <f>IF($Y30=0,0,AE30/($Y$30))</f>
        <v>-0.10510437954611151</v>
      </c>
      <c r="AE30" s="188">
        <f>IF(AE79*4/$I$83+SUM(AE6:AE29)&lt;1,AE79*4/$I$83,1-SUM(AE6:AE29))</f>
        <v>-0.21233630149150642</v>
      </c>
      <c r="AF30" s="122">
        <f>IF($Y30=0,0,AG30/($Y$30))</f>
        <v>-0.10510437954611151</v>
      </c>
      <c r="AG30" s="188">
        <f>IF(AG79*4/$I$83+SUM(AG6:AG29)&lt;1,AG79*4/$I$83,1-SUM(AG6:AG29))</f>
        <v>-0.21233630149150642</v>
      </c>
      <c r="AH30" s="123">
        <f t="shared" si="12"/>
        <v>-0.32406047681255074</v>
      </c>
      <c r="AI30" s="184">
        <f t="shared" si="13"/>
        <v>-0.16367016151730096</v>
      </c>
      <c r="AJ30" s="120">
        <f t="shared" si="14"/>
        <v>-0.11500402154309548</v>
      </c>
      <c r="AK30" s="119">
        <f t="shared" si="15"/>
        <v>-0.21233630149150642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7.2455356978844088E-2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U31" s="242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3.4624855104162688E-2</v>
      </c>
      <c r="AB31" s="131"/>
      <c r="AC31" s="133">
        <f>1-AC32+IF($Y32&lt;0,$Y32/4,0)</f>
        <v>0.88827666234012925</v>
      </c>
      <c r="AD31" s="134"/>
      <c r="AE31" s="133">
        <f>1-AE32+IF($Y32&lt;0,$Y32/4,0)</f>
        <v>0.87609103785953046</v>
      </c>
      <c r="AF31" s="134"/>
      <c r="AG31" s="133">
        <f>1-AG32+IF($Y32&lt;0,$Y32/4,0)</f>
        <v>0.87609103785953046</v>
      </c>
      <c r="AH31" s="123"/>
      <c r="AI31" s="183">
        <f>SUM(AA31,AC31,AE31,AG31)/4</f>
        <v>0.66877089829083824</v>
      </c>
      <c r="AJ31" s="135">
        <f t="shared" si="14"/>
        <v>0.46145075872214597</v>
      </c>
      <c r="AK31" s="136">
        <f t="shared" si="15"/>
        <v>0.87609103785953046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2.4328435776527462</v>
      </c>
      <c r="J32" s="17"/>
      <c r="L32" s="22">
        <f>SUM(L6:L30)</f>
        <v>0.92754464302115591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21938.973991659659</v>
      </c>
      <c r="T32" s="234">
        <f t="shared" si="24"/>
        <v>21850.709391846314</v>
      </c>
      <c r="U32" s="56"/>
      <c r="V32" s="56"/>
      <c r="W32" s="110"/>
      <c r="X32" s="118"/>
      <c r="Y32" s="115">
        <f>SUM(Y6:Y31)</f>
        <v>3.9998392388972537</v>
      </c>
      <c r="Z32" s="137"/>
      <c r="AA32" s="138">
        <f>SUM(AA6:AA30)</f>
        <v>0.96537514489583731</v>
      </c>
      <c r="AB32" s="137"/>
      <c r="AC32" s="139">
        <f>SUM(AC6:AC30)</f>
        <v>0.11172333765987072</v>
      </c>
      <c r="AD32" s="137"/>
      <c r="AE32" s="139">
        <f>SUM(AE6:AE30)</f>
        <v>0.12390896214046951</v>
      </c>
      <c r="AF32" s="137"/>
      <c r="AG32" s="139">
        <f>SUM(AG6:AG30)</f>
        <v>0.12390896214046951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0.11472705180198146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472</v>
      </c>
      <c r="J37" s="38">
        <f>J91*I$83</f>
        <v>472</v>
      </c>
      <c r="K37" s="40">
        <f>(B37/B$65)</f>
        <v>1.4829794747117245E-2</v>
      </c>
      <c r="L37" s="22">
        <f t="shared" ref="L37" si="28">(K37*H37)</f>
        <v>1.3999326241278679E-2</v>
      </c>
      <c r="M37" s="24">
        <f>J37/B$65</f>
        <v>1.399932624127868E-2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472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472</v>
      </c>
      <c r="AJ37" s="148">
        <f>(AA37+AC37)</f>
        <v>472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776.86046738021412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2.3041362556796296E-2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194.21511684505353</v>
      </c>
      <c r="AB50" s="156">
        <f>Poor!AB55</f>
        <v>0.25</v>
      </c>
      <c r="AC50" s="147">
        <f t="shared" si="41"/>
        <v>194.21511684505353</v>
      </c>
      <c r="AD50" s="156">
        <f>Poor!AD55</f>
        <v>0.25</v>
      </c>
      <c r="AE50" s="147">
        <f t="shared" si="42"/>
        <v>194.21511684505353</v>
      </c>
      <c r="AF50" s="122">
        <f t="shared" si="29"/>
        <v>0.25</v>
      </c>
      <c r="AG50" s="147">
        <f t="shared" si="36"/>
        <v>194.21511684505353</v>
      </c>
      <c r="AH50" s="123">
        <f t="shared" si="37"/>
        <v>1</v>
      </c>
      <c r="AI50" s="112">
        <f t="shared" si="37"/>
        <v>776.86046738021412</v>
      </c>
      <c r="AJ50" s="148">
        <f t="shared" si="38"/>
        <v>388.43023369010706</v>
      </c>
      <c r="AK50" s="147">
        <f t="shared" si="39"/>
        <v>388.43023369010706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1676.1000000000001</v>
      </c>
      <c r="J51" s="38">
        <f t="shared" si="32"/>
        <v>1676.1000000000001</v>
      </c>
      <c r="K51" s="40">
        <f t="shared" si="33"/>
        <v>4.4785980136294083E-2</v>
      </c>
      <c r="L51" s="22">
        <f t="shared" si="34"/>
        <v>4.9712437951286437E-2</v>
      </c>
      <c r="M51" s="24">
        <f t="shared" si="35"/>
        <v>4.9712437951286437E-2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419.02500000000003</v>
      </c>
      <c r="AB51" s="156">
        <f>Poor!AB56</f>
        <v>0.25</v>
      </c>
      <c r="AC51" s="147">
        <f t="shared" si="41"/>
        <v>419.02500000000003</v>
      </c>
      <c r="AD51" s="156">
        <f>Poor!AD56</f>
        <v>0.25</v>
      </c>
      <c r="AE51" s="147">
        <f t="shared" si="42"/>
        <v>419.02500000000003</v>
      </c>
      <c r="AF51" s="122">
        <f t="shared" si="29"/>
        <v>0.25</v>
      </c>
      <c r="AG51" s="147">
        <f t="shared" si="36"/>
        <v>419.02500000000003</v>
      </c>
      <c r="AH51" s="123">
        <f t="shared" si="37"/>
        <v>1</v>
      </c>
      <c r="AI51" s="112">
        <f t="shared" si="37"/>
        <v>1676.1000000000001</v>
      </c>
      <c r="AJ51" s="148">
        <f t="shared" si="38"/>
        <v>838.05000000000007</v>
      </c>
      <c r="AK51" s="147">
        <f t="shared" si="39"/>
        <v>838.05000000000007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4995</v>
      </c>
      <c r="J52" s="38">
        <f t="shared" si="32"/>
        <v>4995.0000000000009</v>
      </c>
      <c r="K52" s="40">
        <f t="shared" si="33"/>
        <v>0.13346815272405521</v>
      </c>
      <c r="L52" s="22">
        <f t="shared" si="34"/>
        <v>0.1481496495237013</v>
      </c>
      <c r="M52" s="24">
        <f t="shared" si="35"/>
        <v>0.1481496495237013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1248.7500000000002</v>
      </c>
      <c r="AB52" s="156">
        <f>Poor!AB57</f>
        <v>0.25</v>
      </c>
      <c r="AC52" s="147">
        <f t="shared" si="41"/>
        <v>1248.7500000000002</v>
      </c>
      <c r="AD52" s="156">
        <f>Poor!AD57</f>
        <v>0.25</v>
      </c>
      <c r="AE52" s="147">
        <f t="shared" si="42"/>
        <v>1248.7500000000002</v>
      </c>
      <c r="AF52" s="122">
        <f t="shared" si="29"/>
        <v>0.25</v>
      </c>
      <c r="AG52" s="147">
        <f t="shared" si="36"/>
        <v>1248.7500000000002</v>
      </c>
      <c r="AH52" s="123">
        <f t="shared" si="37"/>
        <v>1</v>
      </c>
      <c r="AI52" s="112">
        <f t="shared" si="37"/>
        <v>4995.0000000000009</v>
      </c>
      <c r="AJ52" s="148">
        <f t="shared" si="38"/>
        <v>2497.5000000000005</v>
      </c>
      <c r="AK52" s="147">
        <f t="shared" si="39"/>
        <v>2497.5000000000005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2946.0827818379412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8.737960592534573E-2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23577.471809784467</v>
      </c>
      <c r="J56" s="38">
        <f t="shared" si="32"/>
        <v>23577.471809784471</v>
      </c>
      <c r="K56" s="40">
        <f t="shared" si="33"/>
        <v>0.59262553829668929</v>
      </c>
      <c r="L56" s="22">
        <f t="shared" si="34"/>
        <v>0.69929813519009332</v>
      </c>
      <c r="M56" s="24">
        <f t="shared" si="35"/>
        <v>0.69929813519009332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38393.871809784468</v>
      </c>
      <c r="J65" s="39">
        <f>SUM(J37:J64)</f>
        <v>37716.815059002627</v>
      </c>
      <c r="K65" s="40">
        <f>SUM(K37:K64)</f>
        <v>1</v>
      </c>
      <c r="L65" s="22">
        <f>SUM(L37:L64)</f>
        <v>1.1160628229272787</v>
      </c>
      <c r="M65" s="24">
        <f>SUM(M37:M64)</f>
        <v>1.1186652516799793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3271.7901168450535</v>
      </c>
      <c r="AB65" s="137"/>
      <c r="AC65" s="153">
        <f>SUM(AC37:AC64)</f>
        <v>2640.4901168450538</v>
      </c>
      <c r="AD65" s="137"/>
      <c r="AE65" s="153">
        <f>SUM(AE37:AE64)</f>
        <v>2640.4901168450538</v>
      </c>
      <c r="AF65" s="137"/>
      <c r="AG65" s="153">
        <f>SUM(AG37:AG64)</f>
        <v>2640.4901168450538</v>
      </c>
      <c r="AH65" s="137"/>
      <c r="AI65" s="153">
        <f>SUM(AI37:AI64)</f>
        <v>11193.260467380216</v>
      </c>
      <c r="AJ65" s="153">
        <f>SUM(AJ37:AJ64)</f>
        <v>5912.2802336901077</v>
      </c>
      <c r="AK65" s="153">
        <f>SUM(AK37:AK64)</f>
        <v>5280.9802336901075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0.28211352685989483</v>
      </c>
      <c r="L70" s="22">
        <f t="shared" ref="L70:L74" si="45">(L124*G$37*F$9/F$7)/B$130</f>
        <v>0.39495893760385281</v>
      </c>
      <c r="M70" s="24">
        <f>J70/B$76</f>
        <v>0.39495893760385281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0.38213415104371717</v>
      </c>
      <c r="L71" s="22">
        <f t="shared" si="45"/>
        <v>0.4509182982315863</v>
      </c>
      <c r="M71" s="24">
        <f t="shared" ref="M71:M72" si="48">J71/B$76</f>
        <v>0.4509182982315863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2645.620928699318</v>
      </c>
      <c r="K72" s="40">
        <f t="shared" si="47"/>
        <v>0.61715673819603134</v>
      </c>
      <c r="L72" s="22">
        <f t="shared" si="45"/>
        <v>0.10350752731578418</v>
      </c>
      <c r="M72" s="24">
        <f t="shared" si="48"/>
        <v>7.8468030702577185E-2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25077.472481984318</v>
      </c>
      <c r="J74" s="51">
        <f t="shared" si="44"/>
        <v>6551.6748025031438</v>
      </c>
      <c r="K74" s="40">
        <f>B74/B$76</f>
        <v>0.16593437771979364</v>
      </c>
      <c r="L74" s="22">
        <f t="shared" si="45"/>
        <v>0.16667805977605557</v>
      </c>
      <c r="M74" s="24">
        <f>J74/B$76</f>
        <v>0.19431998514196308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-57.309715104986033</v>
      </c>
      <c r="AB74" s="156"/>
      <c r="AC74" s="147">
        <f>AC30*$I$83/4</f>
        <v>-688.60971510498575</v>
      </c>
      <c r="AD74" s="156"/>
      <c r="AE74" s="147">
        <f>AE30*$I$83/4</f>
        <v>-688.60971510498575</v>
      </c>
      <c r="AF74" s="156"/>
      <c r="AG74" s="147">
        <f>AG30*$I$83/4</f>
        <v>-688.60971510498575</v>
      </c>
      <c r="AH74" s="155"/>
      <c r="AI74" s="147">
        <f>SUM(AA74,AC74,AE74,AG74)</f>
        <v>-2123.1388604199433</v>
      </c>
      <c r="AJ74" s="148">
        <f>(AA74+AC74)</f>
        <v>-745.91943020997178</v>
      </c>
      <c r="AK74" s="147">
        <f>(AE74+AG74)</f>
        <v>-1377.2194302099715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38393.871809784476</v>
      </c>
      <c r="J76" s="51">
        <f t="shared" si="44"/>
        <v>37716.815059002627</v>
      </c>
      <c r="K76" s="40">
        <f>SUM(K70:K75)</f>
        <v>1.4800236614420834</v>
      </c>
      <c r="L76" s="22">
        <f>SUM(L70:L75)</f>
        <v>1.1160628229272789</v>
      </c>
      <c r="M76" s="24">
        <f>SUM(M70:M75)</f>
        <v>1.1186652516799793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3271.7901168450535</v>
      </c>
      <c r="AB76" s="137"/>
      <c r="AC76" s="153">
        <f>AC65</f>
        <v>2640.4901168450538</v>
      </c>
      <c r="AD76" s="137"/>
      <c r="AE76" s="153">
        <f>AE65</f>
        <v>2640.4901168450538</v>
      </c>
      <c r="AF76" s="137"/>
      <c r="AG76" s="153">
        <f>AG65</f>
        <v>2640.4901168450538</v>
      </c>
      <c r="AH76" s="137"/>
      <c r="AI76" s="153">
        <f>SUM(AA76,AC76,AE76,AG76)</f>
        <v>11193.260467380216</v>
      </c>
      <c r="AJ76" s="154">
        <f>SUM(AA76,AC76)</f>
        <v>5912.2802336901077</v>
      </c>
      <c r="AK76" s="154">
        <f>SUM(AE76,AG76)</f>
        <v>5280.9802336901075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-0.34741077091580225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112.28890887403261</v>
      </c>
      <c r="AB77" s="112"/>
      <c r="AC77" s="111">
        <f>AC31*$I$83/4</f>
        <v>2880.6941398709037</v>
      </c>
      <c r="AD77" s="112"/>
      <c r="AE77" s="111">
        <f>AE31*$I$83/4</f>
        <v>2841.1759823866682</v>
      </c>
      <c r="AF77" s="112"/>
      <c r="AG77" s="111">
        <f>AG31*$I$83/4</f>
        <v>2841.1759823866682</v>
      </c>
      <c r="AH77" s="110"/>
      <c r="AI77" s="154">
        <f>SUM(AA77,AC77,AE77,AG77)</f>
        <v>8675.3350135182736</v>
      </c>
      <c r="AJ77" s="153">
        <f>SUM(AA77,AC77)</f>
        <v>2992.9830487449362</v>
      </c>
      <c r="AK77" s="160">
        <f>SUM(AE77,AG77)</f>
        <v>5682.3519647733365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-57.309715104986026</v>
      </c>
      <c r="AB79" s="112"/>
      <c r="AC79" s="112">
        <f>AA79-AA74+AC65-AC70</f>
        <v>-688.60971510498575</v>
      </c>
      <c r="AD79" s="112"/>
      <c r="AE79" s="112">
        <f>AC79-AC74+AE65-AE70</f>
        <v>-688.60971510498575</v>
      </c>
      <c r="AF79" s="112"/>
      <c r="AG79" s="112">
        <f>AE79-AE74+AG65-AG70</f>
        <v>-688.60971510498575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0.57212121212121214</v>
      </c>
      <c r="I91" s="22">
        <f t="shared" ref="I91:I106" si="54">(D91*H91)</f>
        <v>3.6385899046134949E-2</v>
      </c>
      <c r="J91" s="24">
        <f t="shared" ref="J91:J99" si="55">IF(I$32&lt;=1+I$131,I91,L91+J$33*(I91-L91))</f>
        <v>3.6385899046134949E-2</v>
      </c>
      <c r="K91" s="22">
        <f t="shared" ref="K91:K106" si="56">(B91)</f>
        <v>6.3598234561570613E-2</v>
      </c>
      <c r="L91" s="22">
        <f t="shared" ref="L91:L106" si="57">(K91*H91)</f>
        <v>3.6385899046134949E-2</v>
      </c>
      <c r="M91" s="227">
        <f t="shared" si="49"/>
        <v>3.6385899046134949E-2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0.92484848484848492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5.9887217243706957E-2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5.9887217243706957E-2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0.67272727272727284</v>
      </c>
      <c r="I105" s="22">
        <f t="shared" si="54"/>
        <v>0.12920848599836185</v>
      </c>
      <c r="J105" s="24">
        <f>IF(I$32&lt;=1+I131,I105,L105+J$33*(I105-L105))</f>
        <v>0.12920848599836185</v>
      </c>
      <c r="K105" s="22">
        <f t="shared" si="56"/>
        <v>0.19206666837594324</v>
      </c>
      <c r="L105" s="22">
        <f t="shared" si="57"/>
        <v>0.12920848599836185</v>
      </c>
      <c r="M105" s="228">
        <f t="shared" si="49"/>
        <v>0.12920848599836185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0.67272727272727284</v>
      </c>
      <c r="I106" s="22">
        <f t="shared" si="54"/>
        <v>0.38505840198187308</v>
      </c>
      <c r="J106" s="24">
        <f>IF(I$32&lt;=1+I132,I106,L106+J$33*(I106-L106))</f>
        <v>0.38505840198187308</v>
      </c>
      <c r="K106" s="22">
        <f t="shared" si="56"/>
        <v>0.57238411105413556</v>
      </c>
      <c r="L106" s="22">
        <f t="shared" si="57"/>
        <v>0.38505840198187308</v>
      </c>
      <c r="M106" s="228">
        <f>(J106)</f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0.57212121212121214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0.22710989551167743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0.22710989551167743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0.7151515151515152</v>
      </c>
      <c r="I110" s="22">
        <f t="shared" si="61"/>
        <v>1.817558281851505</v>
      </c>
      <c r="J110" s="24">
        <f t="shared" si="62"/>
        <v>1.817558281851505</v>
      </c>
      <c r="K110" s="22">
        <f t="shared" si="63"/>
        <v>2.5415009873347314</v>
      </c>
      <c r="L110" s="22">
        <f t="shared" si="64"/>
        <v>1.817558281851505</v>
      </c>
      <c r="M110" s="228">
        <f t="shared" si="65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2.9597363213158143</v>
      </c>
      <c r="J119" s="24">
        <f>SUM(J91:J118)</f>
        <v>2.9075428497428217</v>
      </c>
      <c r="K119" s="22">
        <f>SUM(K91:K118)</f>
        <v>4.2885444907410761</v>
      </c>
      <c r="L119" s="22">
        <f>SUM(L91:L118)</f>
        <v>2.9007788306580093</v>
      </c>
      <c r="M119" s="57">
        <f t="shared" si="49"/>
        <v>2.9075428497428217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66"/>
        <v>1.0265448338969403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66"/>
        <v>1.1719898082760067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0.20394766107202367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0.26902826425475013</v>
      </c>
      <c r="M126" s="240">
        <f t="shared" si="66"/>
        <v>0.20394766107202367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1.933191487418874</v>
      </c>
      <c r="J128" s="228">
        <f>(J30)</f>
        <v>0.5050605464978507</v>
      </c>
      <c r="K128" s="29">
        <f>(B128)</f>
        <v>0.71161696139476982</v>
      </c>
      <c r="L128" s="29">
        <f>IF(L124=L119,0,(L119-L124)/(B119-B124)*K128)</f>
        <v>0.43321592423031208</v>
      </c>
      <c r="M128" s="240">
        <f t="shared" si="66"/>
        <v>0.5050605464978507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2.9597363213158143</v>
      </c>
      <c r="J130" s="228">
        <f>(J119)</f>
        <v>2.9075428497428217</v>
      </c>
      <c r="K130" s="29">
        <f>(B130)</f>
        <v>4.2885444907410761</v>
      </c>
      <c r="L130" s="29">
        <f>(L119)</f>
        <v>2.9007788306580093</v>
      </c>
      <c r="M130" s="240">
        <f t="shared" si="66"/>
        <v>2.9075428497428217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0.90296154402125683</v>
      </c>
      <c r="M131" s="237">
        <f>IF(I131&lt;SUM(M126:M127),0,I131-(SUM(M126:M127)))</f>
        <v>0.96804214720398329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97" activePane="bottomRight" state="frozen"/>
      <selection pane="topRight" activeCell="B1" sqref="B1"/>
      <selection pane="bottomLeft" activeCell="A3" sqref="A3"/>
      <selection pane="bottomRight" activeCell="N105" sqref="N105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5.9064251245330018E-3</v>
      </c>
      <c r="J7" s="24">
        <f t="shared" si="3"/>
        <v>5.9064251245330018E-3</v>
      </c>
      <c r="K7" s="22">
        <f t="shared" si="4"/>
        <v>1.1812850249066004E-2</v>
      </c>
      <c r="L7" s="22">
        <f t="shared" si="5"/>
        <v>5.9064251245330018E-3</v>
      </c>
      <c r="M7" s="224">
        <f t="shared" si="6"/>
        <v>5.9064251245330018E-3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3837.3928987798586</v>
      </c>
      <c r="T7" s="222">
        <f>IF($B$81=0,0,(SUMIF($N$6:$N$28,$U7,M$6:M$28)+SUMIF($N$91:$N$118,$U7,M$91:M$118))*$I$83*Poor!$B$81/$B$81)</f>
        <v>3837.3928987798586</v>
      </c>
      <c r="U7" s="223">
        <v>1</v>
      </c>
      <c r="V7" s="56"/>
      <c r="W7" s="115"/>
      <c r="X7" s="124">
        <v>4</v>
      </c>
      <c r="Y7" s="184">
        <f t="shared" ref="Y7:Y29" si="9">M7*4</f>
        <v>2.3625700498132007E-2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2.3625700498132007E-2</v>
      </c>
      <c r="AH7" s="123">
        <f t="shared" ref="AH7:AH30" si="12">SUM(Z7,AB7,AD7,AF7)</f>
        <v>1</v>
      </c>
      <c r="AI7" s="184">
        <f t="shared" ref="AI7:AI30" si="13">SUM(AA7,AC7,AE7,AG7)/4</f>
        <v>5.9064251245330018E-3</v>
      </c>
      <c r="AJ7" s="120">
        <f t="shared" ref="AJ7:AJ31" si="14">(AA7+AC7)/2</f>
        <v>0</v>
      </c>
      <c r="AK7" s="119">
        <f t="shared" ref="AK7:AK31" si="15">(AE7+AG7)/2</f>
        <v>1.1812850249066004E-2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0.16666666666666666</v>
      </c>
      <c r="Z8" s="125">
        <f>IF($Y8=0,0,AA8/$Y8)</f>
        <v>0.68139321632062266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0.11356553605343711</v>
      </c>
      <c r="AB8" s="125">
        <f>IF($Y8=0,0,AC8/$Y8)</f>
        <v>0.31860678367937728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5.3101130613229547E-2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9.4554289726027391E-2</v>
      </c>
      <c r="J9" s="24">
        <f t="shared" si="3"/>
        <v>9.4554289726027391E-2</v>
      </c>
      <c r="K9" s="22">
        <f t="shared" si="4"/>
        <v>8.6747054794520537E-2</v>
      </c>
      <c r="L9" s="22">
        <f t="shared" si="5"/>
        <v>9.4554289726027391E-2</v>
      </c>
      <c r="M9" s="224">
        <f t="shared" si="6"/>
        <v>9.4554289726027391E-2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76.618490455458769</v>
      </c>
      <c r="T9" s="222">
        <f>IF($B$81=0,0,(SUMIF($N$6:$N$28,$U9,M$6:M$28)+SUMIF($N$91:$N$118,$U9,M$91:M$118))*$I$83*Poor!$B$81/$B$81)</f>
        <v>76.618490455458769</v>
      </c>
      <c r="U9" s="223">
        <v>3</v>
      </c>
      <c r="V9" s="56"/>
      <c r="W9" s="115"/>
      <c r="X9" s="124">
        <v>1</v>
      </c>
      <c r="Y9" s="184">
        <f t="shared" si="9"/>
        <v>0.37821715890410956</v>
      </c>
      <c r="Z9" s="125">
        <f>IF($Y9=0,0,AA9/$Y9)</f>
        <v>0.68139321632062277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0.25771460637331928</v>
      </c>
      <c r="AB9" s="125">
        <f>IF($Y9=0,0,AC9/$Y9)</f>
        <v>0.31860678367937723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0.12050255253079029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9.4554289726027391E-2</v>
      </c>
      <c r="AJ9" s="120">
        <f t="shared" si="14"/>
        <v>0.18910857945205478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0.14181937733499378</v>
      </c>
      <c r="Z10" s="125">
        <f>IF($Y10=0,0,AA10/$Y10)</f>
        <v>0.68139321632062277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9.6634761658879437E-2</v>
      </c>
      <c r="AB10" s="125">
        <f>IF($Y10=0,0,AC10/$Y10)</f>
        <v>0.31860678367937728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4.5184615676114342E-2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1</v>
      </c>
      <c r="H11" s="24">
        <f t="shared" si="1"/>
        <v>1</v>
      </c>
      <c r="I11" s="22">
        <f t="shared" si="2"/>
        <v>6.6282310087173099E-2</v>
      </c>
      <c r="J11" s="24">
        <f t="shared" si="3"/>
        <v>6.6282310087173099E-2</v>
      </c>
      <c r="K11" s="22">
        <f t="shared" si="4"/>
        <v>6.6282310087173099E-2</v>
      </c>
      <c r="L11" s="22">
        <f t="shared" si="5"/>
        <v>6.6282310087173099E-2</v>
      </c>
      <c r="M11" s="224">
        <f t="shared" si="6"/>
        <v>6.6282310087173099E-2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2688.04</v>
      </c>
      <c r="T11" s="222">
        <f>IF($B$81=0,0,(SUMIF($N$6:$N$28,$U11,M$6:M$28)+SUMIF($N$91:$N$118,$U11,M$91:M$118))*$I$83*Poor!$B$81/$B$81)</f>
        <v>2688.04</v>
      </c>
      <c r="U11" s="223">
        <v>5</v>
      </c>
      <c r="V11" s="56"/>
      <c r="W11" s="115"/>
      <c r="X11" s="124">
        <v>1</v>
      </c>
      <c r="Y11" s="184">
        <f t="shared" si="9"/>
        <v>0.2651292403486924</v>
      </c>
      <c r="Z11" s="125">
        <f>IF($Y11=0,0,AA11/$Y11)</f>
        <v>0.68139321632062266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0.18065726582183891</v>
      </c>
      <c r="AB11" s="125">
        <f>IF($Y11=0,0,AC11/$Y11)</f>
        <v>0.31860678367937734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8.4471974526853483E-2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6.6282310087173099E-2</v>
      </c>
      <c r="AJ11" s="120">
        <f t="shared" si="14"/>
        <v>0.1325646201743462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774.9837668901788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13375.500000000002</v>
      </c>
      <c r="T13" s="222">
        <f>IF($B$81=0,0,(SUMIF($N$6:$N$28,$U13,M$6:M$28)+SUMIF($N$91:$N$118,$U13,M$91:M$118))*$I$83*Poor!$B$81/$B$81)</f>
        <v>13375.500000000002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0.23144713823163138</v>
      </c>
      <c r="Z15" s="116">
        <v>0.25</v>
      </c>
      <c r="AA15" s="121">
        <f t="shared" si="16"/>
        <v>5.7861784557907844E-2</v>
      </c>
      <c r="AB15" s="116">
        <v>0.25</v>
      </c>
      <c r="AC15" s="121">
        <f t="shared" si="7"/>
        <v>5.7861784557907844E-2</v>
      </c>
      <c r="AD15" s="116"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3.5845350742516621E-5</v>
      </c>
      <c r="K16" s="22">
        <f t="shared" si="4"/>
        <v>0</v>
      </c>
      <c r="L16" s="22">
        <f t="shared" si="5"/>
        <v>0</v>
      </c>
      <c r="M16" s="224">
        <f t="shared" si="6"/>
        <v>3.5845350742516621E-5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3347.1245708036863</v>
      </c>
      <c r="U16" s="223">
        <v>10</v>
      </c>
      <c r="V16" s="56"/>
      <c r="W16" s="110"/>
      <c r="X16" s="118"/>
      <c r="Y16" s="184">
        <f t="shared" si="9"/>
        <v>1.4338140297006648E-4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1.4338140297006648E-4</v>
      </c>
      <c r="AH16" s="123">
        <f t="shared" si="12"/>
        <v>1</v>
      </c>
      <c r="AI16" s="184">
        <f t="shared" si="13"/>
        <v>3.5845350742516621E-5</v>
      </c>
      <c r="AJ16" s="120">
        <f t="shared" si="14"/>
        <v>0</v>
      </c>
      <c r="AK16" s="119">
        <f t="shared" si="15"/>
        <v>7.1690701485033242E-5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54100.308198631596</v>
      </c>
      <c r="T23" s="179">
        <f>SUM(T7:T22)</f>
        <v>54187.216536325461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2.887976266080005E-2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2.887976266080005E-2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0.1155190506432002</v>
      </c>
      <c r="Z27" s="116">
        <v>0.25</v>
      </c>
      <c r="AA27" s="121">
        <f t="shared" si="16"/>
        <v>2.887976266080005E-2</v>
      </c>
      <c r="AB27" s="116">
        <v>0.25</v>
      </c>
      <c r="AC27" s="121">
        <f t="shared" si="7"/>
        <v>2.887976266080005E-2</v>
      </c>
      <c r="AD27" s="116">
        <v>0.25</v>
      </c>
      <c r="AE27" s="121">
        <f t="shared" si="8"/>
        <v>2.887976266080005E-2</v>
      </c>
      <c r="AF27" s="122">
        <f t="shared" si="10"/>
        <v>0.25</v>
      </c>
      <c r="AG27" s="121">
        <f t="shared" si="11"/>
        <v>2.887976266080005E-2</v>
      </c>
      <c r="AH27" s="123">
        <f t="shared" si="12"/>
        <v>1</v>
      </c>
      <c r="AI27" s="184">
        <f t="shared" si="13"/>
        <v>2.887976266080005E-2</v>
      </c>
      <c r="AJ27" s="120">
        <f t="shared" si="14"/>
        <v>2.887976266080005E-2</v>
      </c>
      <c r="AK27" s="119">
        <f t="shared" si="15"/>
        <v>2.887976266080005E-2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0.18303809848590688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0.18303809848590688</v>
      </c>
      <c r="N29" s="229"/>
      <c r="P29" s="22"/>
      <c r="V29" s="56"/>
      <c r="W29" s="110"/>
      <c r="X29" s="118"/>
      <c r="Y29" s="184">
        <f t="shared" si="9"/>
        <v>0.73215239394362752</v>
      </c>
      <c r="Z29" s="116">
        <v>0.25</v>
      </c>
      <c r="AA29" s="121">
        <f t="shared" si="16"/>
        <v>0.18303809848590688</v>
      </c>
      <c r="AB29" s="116">
        <v>0.25</v>
      </c>
      <c r="AC29" s="121">
        <f t="shared" si="7"/>
        <v>0.18303809848590688</v>
      </c>
      <c r="AD29" s="116">
        <v>0.25</v>
      </c>
      <c r="AE29" s="121">
        <f t="shared" si="8"/>
        <v>0.18303809848590688</v>
      </c>
      <c r="AF29" s="122">
        <f t="shared" si="10"/>
        <v>0.25</v>
      </c>
      <c r="AG29" s="121">
        <f t="shared" si="11"/>
        <v>0.18303809848590688</v>
      </c>
      <c r="AH29" s="123">
        <f t="shared" si="12"/>
        <v>1</v>
      </c>
      <c r="AI29" s="184">
        <f t="shared" si="13"/>
        <v>0.18303809848590688</v>
      </c>
      <c r="AJ29" s="120">
        <f t="shared" si="14"/>
        <v>0.18303809848590688</v>
      </c>
      <c r="AK29" s="119">
        <f t="shared" si="15"/>
        <v>0.18303809848590688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2.8257314239190312</v>
      </c>
      <c r="J30" s="231">
        <f>IF(I$32&lt;=1,I30,1-SUM(J6:J29))</f>
        <v>0.40467178861858366</v>
      </c>
      <c r="K30" s="22">
        <f t="shared" si="4"/>
        <v>0.64870199252802008</v>
      </c>
      <c r="L30" s="22">
        <f>IF(L124=L119,0,IF(K30="",0,(L119-L124)/(B119-B124)*K30))</f>
        <v>0.40159212530691601</v>
      </c>
      <c r="M30" s="175">
        <f t="shared" si="6"/>
        <v>0.40467178861858366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1.6186871544743346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0.21332837269140276</v>
      </c>
      <c r="AC30" s="188">
        <f>IF(AC79*4/$I$83+SUM(AC6:AC29)&lt;1,AC79*4/$I$83,1-SUM(AC6:AC29))</f>
        <v>0.34531189656048711</v>
      </c>
      <c r="AD30" s="122">
        <f>IF($Y30=0,0,AE30/($Y$30))</f>
        <v>0.40067790005913606</v>
      </c>
      <c r="AE30" s="188">
        <f>IF(AE79*4/$I$83+SUM(AE6:AE29)&lt;1,AE79*4/$I$83,1-SUM(AE6:AE29))</f>
        <v>0.64857216990747479</v>
      </c>
      <c r="AF30" s="122">
        <f>IF($Y30=0,0,AG30/($Y$30))</f>
        <v>0.38599372724946118</v>
      </c>
      <c r="AG30" s="188">
        <f>IF(AG79*4/$I$83+SUM(AG6:AG29)&lt;1,AG79*4/$I$83,1-SUM(AG6:AG29))</f>
        <v>0.62480308800637274</v>
      </c>
      <c r="AH30" s="123">
        <f t="shared" si="12"/>
        <v>1</v>
      </c>
      <c r="AI30" s="184">
        <f t="shared" si="13"/>
        <v>0.40467178861858366</v>
      </c>
      <c r="AJ30" s="120">
        <f t="shared" si="14"/>
        <v>0.17265594828024355</v>
      </c>
      <c r="AK30" s="119">
        <f t="shared" si="15"/>
        <v>0.63668762895692377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4.6032409174607825E-3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3.4344257902833863</v>
      </c>
      <c r="J32" s="17"/>
      <c r="L32" s="22">
        <f>SUM(L6:L30)</f>
        <v>0.99539675908253922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9026.3912396916494</v>
      </c>
      <c r="T32" s="234">
        <f t="shared" si="50"/>
        <v>8939.4829019977842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0.10232404085927944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2454.4</v>
      </c>
      <c r="J37" s="38">
        <f t="shared" ref="J37:J49" si="53">J91*I$83</f>
        <v>2454.3999999999996</v>
      </c>
      <c r="K37" s="40">
        <f t="shared" ref="K37:K49" si="54">(B37/B$65)</f>
        <v>5.833532305516697E-2</v>
      </c>
      <c r="L37" s="22">
        <f t="shared" ref="L37:L49" si="55">(K37*H37)</f>
        <v>5.5068544964077613E-2</v>
      </c>
      <c r="M37" s="24">
        <f t="shared" ref="M37:M49" si="56">J37/B$65</f>
        <v>5.5068544964077613E-2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2454.3999999999996</v>
      </c>
      <c r="AH37" s="123">
        <f>SUM(Z37,AB37,AD37,AF37)</f>
        <v>1</v>
      </c>
      <c r="AI37" s="112">
        <f>SUM(AA37,AC37,AE37,AG37)</f>
        <v>2454.3999999999996</v>
      </c>
      <c r="AJ37" s="148">
        <f>(AA37+AC37)</f>
        <v>0</v>
      </c>
      <c r="AK37" s="147">
        <f>(AE37+AG37)</f>
        <v>2454.3999999999996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0.68139321632062266</v>
      </c>
      <c r="AA39" s="147">
        <f t="shared" ref="AA39:AA64" si="64">$J39*Z39</f>
        <v>0</v>
      </c>
      <c r="AB39" s="122">
        <f>AB8</f>
        <v>0.31860678367937728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0.68139321632062277</v>
      </c>
      <c r="AA40" s="147">
        <f t="shared" si="64"/>
        <v>0</v>
      </c>
      <c r="AB40" s="122">
        <f>AB9</f>
        <v>0.31860678367937723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0.68139321632062266</v>
      </c>
      <c r="AA41" s="147">
        <f t="shared" si="64"/>
        <v>159.20071106115029</v>
      </c>
      <c r="AB41" s="122">
        <f>AB11</f>
        <v>0.31860678367937734</v>
      </c>
      <c r="AC41" s="147">
        <f t="shared" si="65"/>
        <v>74.439288938849728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1.0900000000000001</v>
      </c>
      <c r="F42" s="26">
        <v>1.4</v>
      </c>
      <c r="G42" s="22">
        <f t="shared" si="59"/>
        <v>1.65</v>
      </c>
      <c r="H42" s="24">
        <f t="shared" si="51"/>
        <v>1.526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774.51877891423203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1.7377616607790448E-2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3385.5000000000005</v>
      </c>
      <c r="J51" s="38">
        <f t="shared" si="70"/>
        <v>3385.5000000000005</v>
      </c>
      <c r="K51" s="40">
        <f t="shared" si="71"/>
        <v>6.8431821276253565E-2</v>
      </c>
      <c r="L51" s="22">
        <f t="shared" si="72"/>
        <v>7.595932161664147E-2</v>
      </c>
      <c r="M51" s="24">
        <f t="shared" si="73"/>
        <v>7.5959321616641456E-2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9990</v>
      </c>
      <c r="J52" s="38">
        <f t="shared" si="70"/>
        <v>9990.0000000000018</v>
      </c>
      <c r="K52" s="40">
        <f t="shared" si="71"/>
        <v>0.20192996442173181</v>
      </c>
      <c r="L52" s="22">
        <f t="shared" si="72"/>
        <v>0.22414226050812233</v>
      </c>
      <c r="M52" s="24">
        <f t="shared" si="73"/>
        <v>0.22414226050812236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0.8</v>
      </c>
      <c r="F53" s="26">
        <v>1.18</v>
      </c>
      <c r="G53" s="22">
        <f t="shared" si="59"/>
        <v>1.65</v>
      </c>
      <c r="H53" s="24">
        <f t="shared" si="68"/>
        <v>0.94399999999999995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3347.1245708036868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7.5098305055276982E-2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23577.471809784467</v>
      </c>
      <c r="J56" s="38">
        <f t="shared" si="70"/>
        <v>23577.471809784471</v>
      </c>
      <c r="K56" s="40">
        <f t="shared" si="71"/>
        <v>0.44830490053711514</v>
      </c>
      <c r="L56" s="22">
        <f t="shared" si="72"/>
        <v>0.52899978263379588</v>
      </c>
      <c r="M56" s="24">
        <f t="shared" si="73"/>
        <v>0.52899978263379588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5894.3679524461177</v>
      </c>
      <c r="AB56" s="116">
        <v>0.25</v>
      </c>
      <c r="AC56" s="147">
        <f t="shared" si="65"/>
        <v>5894.3679524461177</v>
      </c>
      <c r="AD56" s="116">
        <v>0.25</v>
      </c>
      <c r="AE56" s="147">
        <f t="shared" si="66"/>
        <v>5894.3679524461177</v>
      </c>
      <c r="AF56" s="122">
        <f t="shared" si="57"/>
        <v>0.25</v>
      </c>
      <c r="AG56" s="147">
        <f t="shared" si="60"/>
        <v>5894.3679524461177</v>
      </c>
      <c r="AH56" s="123">
        <f t="shared" si="61"/>
        <v>1</v>
      </c>
      <c r="AI56" s="112">
        <f t="shared" si="61"/>
        <v>23577.471809784471</v>
      </c>
      <c r="AJ56" s="148">
        <f t="shared" si="62"/>
        <v>11788.735904892235</v>
      </c>
      <c r="AK56" s="147">
        <f t="shared" si="63"/>
        <v>11788.735904892235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49971.95180978447</v>
      </c>
      <c r="J65" s="39">
        <f>SUM(J37:J64)</f>
        <v>49213.595159502394</v>
      </c>
      <c r="K65" s="40">
        <f>SUM(K37:K64)</f>
        <v>0.99999999999999989</v>
      </c>
      <c r="L65" s="22">
        <f>SUM(L37:L64)</f>
        <v>1.1022493352323106</v>
      </c>
      <c r="M65" s="24">
        <f>SUM(M37:M64)</f>
        <v>1.104188835513759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7416.3036635072676</v>
      </c>
      <c r="AB65" s="137"/>
      <c r="AC65" s="153">
        <f>SUM(AC37:AC64)</f>
        <v>7331.5422413849674</v>
      </c>
      <c r="AD65" s="137"/>
      <c r="AE65" s="153">
        <f>SUM(AE37:AE64)</f>
        <v>7257.1029524461173</v>
      </c>
      <c r="AF65" s="137"/>
      <c r="AG65" s="153">
        <f>SUM(AG37:AG64)</f>
        <v>9711.5029524461188</v>
      </c>
      <c r="AH65" s="137"/>
      <c r="AI65" s="153">
        <f>SUM(AI37:AI64)</f>
        <v>31716.45180978447</v>
      </c>
      <c r="AJ65" s="153">
        <f>SUM(AJ37:AJ64)</f>
        <v>14747.845904892236</v>
      </c>
      <c r="AK65" s="153">
        <f>SUM(AK37:AK64)</f>
        <v>16968.605904892236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15203.12</v>
      </c>
      <c r="J71" s="51">
        <f t="shared" si="75"/>
        <v>15203.12</v>
      </c>
      <c r="K71" s="40">
        <f t="shared" ref="K71:K72" si="78">B71/B$76</f>
        <v>0.28907396240106586</v>
      </c>
      <c r="L71" s="22">
        <f t="shared" si="76"/>
        <v>0.34110727563325777</v>
      </c>
      <c r="M71" s="24">
        <f t="shared" ref="M71:M72" si="79">J71/B$76</f>
        <v>0.34110727563325771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15444.649838797961</v>
      </c>
      <c r="K72" s="40">
        <f t="shared" si="78"/>
        <v>0.46686207774304395</v>
      </c>
      <c r="L72" s="22">
        <f t="shared" si="76"/>
        <v>0.34548323394613595</v>
      </c>
      <c r="M72" s="24">
        <f t="shared" si="79"/>
        <v>0.34652639916161981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36655.552481984319</v>
      </c>
      <c r="J74" s="51">
        <f t="shared" si="75"/>
        <v>5249.4259929042701</v>
      </c>
      <c r="K74" s="40">
        <f>B74/B$76</f>
        <v>0.11442697983898133</v>
      </c>
      <c r="L74" s="22">
        <f t="shared" si="76"/>
        <v>0.11688326537644382</v>
      </c>
      <c r="M74" s="24">
        <f>J74/B$76</f>
        <v>0.11777960044240816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1119.8515046302191</v>
      </c>
      <c r="AD74" s="156"/>
      <c r="AE74" s="147">
        <f>AE30*$I$83/4</f>
        <v>2103.3289833527283</v>
      </c>
      <c r="AF74" s="156"/>
      <c r="AG74" s="147">
        <f>AG30*$I$83/4</f>
        <v>2026.2455049213227</v>
      </c>
      <c r="AH74" s="155"/>
      <c r="AI74" s="147">
        <f>SUM(AA74,AC74,AE74,AG74)</f>
        <v>5249.4259929042701</v>
      </c>
      <c r="AJ74" s="148">
        <f>(AA74+AC74)</f>
        <v>1119.8515046302191</v>
      </c>
      <c r="AK74" s="147">
        <f>(AE74+AG74)</f>
        <v>4129.574488274051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8443.3614471319852</v>
      </c>
      <c r="AB75" s="158"/>
      <c r="AC75" s="149">
        <f>AA75+AC65-SUM(AC70,AC74)</f>
        <v>11325.952351936692</v>
      </c>
      <c r="AD75" s="158"/>
      <c r="AE75" s="149">
        <f>AC75+AE65-SUM(AE70,AE74)</f>
        <v>13150.626489080043</v>
      </c>
      <c r="AF75" s="158"/>
      <c r="AG75" s="149">
        <f>IF(SUM(AG6:AG29)+((AG65-AG70-$J$75)*4/I$83)&lt;1,0,AG65-AG70-$J$75-(1-SUM(AG6:AG29))*I$83/4)</f>
        <v>4356.1576155747571</v>
      </c>
      <c r="AH75" s="134"/>
      <c r="AI75" s="149">
        <f>AI76-SUM(AI70,AI74)</f>
        <v>13150.626489080041</v>
      </c>
      <c r="AJ75" s="151">
        <f>AJ76-SUM(AJ70,AJ74)</f>
        <v>6969.794736361936</v>
      </c>
      <c r="AK75" s="149">
        <f>AJ75+AK76-SUM(AK70,AK74)</f>
        <v>13150.626489080041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49971.951809784478</v>
      </c>
      <c r="J76" s="51">
        <f t="shared" si="75"/>
        <v>49213.595159502394</v>
      </c>
      <c r="K76" s="40">
        <f>SUM(K70:K75)</f>
        <v>1.1441960671538112</v>
      </c>
      <c r="L76" s="22">
        <f>SUM(L70:L75)</f>
        <v>1.1022493352323108</v>
      </c>
      <c r="M76" s="24">
        <f>SUM(M70:M75)</f>
        <v>1.104188835513759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7416.3036635072676</v>
      </c>
      <c r="AB76" s="137"/>
      <c r="AC76" s="153">
        <f>AC65</f>
        <v>7331.5422413849674</v>
      </c>
      <c r="AD76" s="137"/>
      <c r="AE76" s="153">
        <f>AE65</f>
        <v>7257.1029524461173</v>
      </c>
      <c r="AF76" s="137"/>
      <c r="AG76" s="153">
        <f>AG65</f>
        <v>9711.5029524461188</v>
      </c>
      <c r="AH76" s="137"/>
      <c r="AI76" s="153">
        <f>SUM(AA76,AC76,AE76,AG76)</f>
        <v>31716.45180978447</v>
      </c>
      <c r="AJ76" s="154">
        <f>SUM(AA76,AC76)</f>
        <v>14747.845904892234</v>
      </c>
      <c r="AK76" s="154">
        <f>SUM(AE76,AG76)</f>
        <v>16968.605904892236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15203.12000000001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4356.1576155747571</v>
      </c>
      <c r="AB78" s="112"/>
      <c r="AC78" s="112">
        <f>IF(AA75&lt;0,0,AA75)</f>
        <v>8443.3614471319852</v>
      </c>
      <c r="AD78" s="112"/>
      <c r="AE78" s="112">
        <f>AC75</f>
        <v>11325.952351936692</v>
      </c>
      <c r="AF78" s="112"/>
      <c r="AG78" s="112">
        <f>AE75</f>
        <v>13150.626489080043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8443.3614471319852</v>
      </c>
      <c r="AB79" s="112"/>
      <c r="AC79" s="112">
        <f>AA79-AA74+AC65-AC70</f>
        <v>12445.803856566912</v>
      </c>
      <c r="AD79" s="112"/>
      <c r="AE79" s="112">
        <f>AC79-AC74+AE65-AE70</f>
        <v>15253.955472432772</v>
      </c>
      <c r="AF79" s="112"/>
      <c r="AG79" s="112">
        <f>AE79-AE74+AG65-AG70</f>
        <v>19533.029609576122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0.57212121212121214</v>
      </c>
      <c r="I91" s="22">
        <f t="shared" ref="I91" si="82">(D91*H91)</f>
        <v>0.18920667503990171</v>
      </c>
      <c r="J91" s="24">
        <f>IF(I$32&lt;=1+I$131,I91,L91+J$33*(I91-L91))</f>
        <v>0.18920667503990171</v>
      </c>
      <c r="K91" s="22">
        <f t="shared" ref="K91" si="83">IF(B91="",0,B91)</f>
        <v>0.33071081972016719</v>
      </c>
      <c r="L91" s="22">
        <f t="shared" ref="L91" si="84">(K91*H91)</f>
        <v>0.18920667503990171</v>
      </c>
      <c r="M91" s="227">
        <f t="shared" si="80"/>
        <v>0.18920667503990171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0.57212121212121214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0.92484848484848492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5.9706699362095252E-2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5.9706699362095252E-2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0.67272727272727284</v>
      </c>
      <c r="I105" s="22">
        <f t="shared" si="88"/>
        <v>0.2609840280099362</v>
      </c>
      <c r="J105" s="24">
        <f t="shared" si="89"/>
        <v>0.2609840280099362</v>
      </c>
      <c r="K105" s="22">
        <f t="shared" si="90"/>
        <v>0.38794923082558075</v>
      </c>
      <c r="L105" s="22">
        <f t="shared" si="91"/>
        <v>0.2609840280099362</v>
      </c>
      <c r="M105" s="227">
        <f t="shared" si="92"/>
        <v>0.2609840280099362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0.67272727272727284</v>
      </c>
      <c r="I106" s="22">
        <f t="shared" si="88"/>
        <v>0.77011680396374615</v>
      </c>
      <c r="J106" s="24">
        <f t="shared" si="89"/>
        <v>0.77011680396374615</v>
      </c>
      <c r="K106" s="22">
        <f t="shared" si="90"/>
        <v>1.1447682221082711</v>
      </c>
      <c r="L106" s="22">
        <f t="shared" si="91"/>
        <v>0.77011680396374615</v>
      </c>
      <c r="M106" s="227">
        <f t="shared" si="92"/>
        <v>0.77011680396374615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0.57212121212121214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0.25802571340699304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0.25802571340699304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0.7151515151515152</v>
      </c>
      <c r="I110" s="22">
        <f t="shared" si="88"/>
        <v>1.817558281851505</v>
      </c>
      <c r="J110" s="24">
        <f t="shared" si="89"/>
        <v>1.817558281851505</v>
      </c>
      <c r="K110" s="22">
        <f t="shared" si="90"/>
        <v>2.5415009873347314</v>
      </c>
      <c r="L110" s="22">
        <f t="shared" si="91"/>
        <v>1.817558281851505</v>
      </c>
      <c r="M110" s="227">
        <f t="shared" si="92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3.8522762578159715</v>
      </c>
      <c r="J119" s="24">
        <f>SUM(J91:J118)</f>
        <v>3.7938154770572239</v>
      </c>
      <c r="K119" s="22">
        <f>SUM(K91:K118)</f>
        <v>5.6691349666036501</v>
      </c>
      <c r="L119" s="22">
        <f>SUM(L91:L118)</f>
        <v>3.7871516656249229</v>
      </c>
      <c r="M119" s="57">
        <f t="shared" si="80"/>
        <v>3.7938154770572239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93"/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1.1906090462656929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1.1870248981450597</v>
      </c>
      <c r="M126" s="240">
        <f t="shared" si="93"/>
        <v>1.1906090462656929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2.8257314239190312</v>
      </c>
      <c r="J128" s="228">
        <f>(J30)</f>
        <v>0.40467178861858366</v>
      </c>
      <c r="K128" s="29">
        <f>(B128)</f>
        <v>0.64870199252802008</v>
      </c>
      <c r="L128" s="29">
        <f>IF(L124=L119,0,(L119-L124)/(B119-B124)*K128)</f>
        <v>0.40159212530691601</v>
      </c>
      <c r="M128" s="240">
        <f t="shared" si="93"/>
        <v>0.40467178861858366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3.8522762578159715</v>
      </c>
      <c r="J130" s="228">
        <f>(J119)</f>
        <v>3.7938154770572239</v>
      </c>
      <c r="K130" s="29">
        <f>(B130)</f>
        <v>5.6691349666036501</v>
      </c>
      <c r="L130" s="29">
        <f>(L119)</f>
        <v>3.7871516656249229</v>
      </c>
      <c r="M130" s="240">
        <f t="shared" si="93"/>
        <v>3.7938154770572239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3.7540423412204225E-2</v>
      </c>
      <c r="J6" s="24">
        <f t="shared" ref="J6:J13" si="3">IF(I$32&lt;=1+I$131,I6,B6*H6+J$33*(I6-B6*H6))</f>
        <v>3.7540423412204225E-2</v>
      </c>
      <c r="K6" s="22">
        <f t="shared" ref="K6:K31" si="4">B6</f>
        <v>7.5080846824408451E-2</v>
      </c>
      <c r="L6" s="22">
        <f t="shared" ref="L6:L29" si="5">IF(K6="","",K6*H6)</f>
        <v>3.7540423412204225E-2</v>
      </c>
      <c r="M6" s="224">
        <f t="shared" ref="M6:M31" si="6">J6</f>
        <v>3.7540423412204225E-2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0.1501616936488169</v>
      </c>
      <c r="Z6" s="156">
        <f>Poor!Z6</f>
        <v>0.17</v>
      </c>
      <c r="AA6" s="121">
        <f>$M6*Z6*4</f>
        <v>2.5527487920298877E-2</v>
      </c>
      <c r="AB6" s="156">
        <f>Poor!AB6</f>
        <v>0.17</v>
      </c>
      <c r="AC6" s="121">
        <f t="shared" ref="AC6:AC29" si="7">$M6*AB6*4</f>
        <v>2.5527487920298877E-2</v>
      </c>
      <c r="AD6" s="156">
        <f>Poor!AD6</f>
        <v>0.33</v>
      </c>
      <c r="AE6" s="121">
        <f t="shared" ref="AE6:AE29" si="8">$M6*AD6*4</f>
        <v>4.9553358904109578E-2</v>
      </c>
      <c r="AF6" s="122">
        <f>1-SUM(Z6,AB6,AD6)</f>
        <v>0.32999999999999996</v>
      </c>
      <c r="AG6" s="121">
        <f>$M6*AF6*4</f>
        <v>4.9553358904109571E-2</v>
      </c>
      <c r="AH6" s="123">
        <f>SUM(Z6,AB6,AD6,AF6)</f>
        <v>1</v>
      </c>
      <c r="AI6" s="184">
        <f>SUM(AA6,AC6,AE6,AG6)/4</f>
        <v>3.7540423412204225E-2</v>
      </c>
      <c r="AJ6" s="120">
        <f>(AA6+AC6)/2</f>
        <v>2.5527487920298877E-2</v>
      </c>
      <c r="AK6" s="119">
        <f>(AE6+AG6)/2</f>
        <v>4.9553358904109571E-2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2.7020197696139482E-2</v>
      </c>
      <c r="J7" s="24">
        <f t="shared" si="3"/>
        <v>2.7020197696139482E-2</v>
      </c>
      <c r="K7" s="22">
        <f t="shared" si="4"/>
        <v>5.4040395392278964E-2</v>
      </c>
      <c r="L7" s="22">
        <f t="shared" si="5"/>
        <v>2.7020197696139482E-2</v>
      </c>
      <c r="M7" s="224">
        <f t="shared" si="6"/>
        <v>2.7020197696139482E-2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3798.7222256385307</v>
      </c>
      <c r="T7" s="222">
        <f>IF($B$81=0,0,(SUMIF($N$6:$N$28,$U7,M$6:M$28)+SUMIF($N$91:$N$118,$U7,M$91:M$118))*$I$83*Poor!$B$81/$B$81)</f>
        <v>3798.7222256385307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0.10808079078455793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0.10808079078455793</v>
      </c>
      <c r="AH7" s="123">
        <f t="shared" ref="AH7:AH30" si="12">SUM(Z7,AB7,AD7,AF7)</f>
        <v>1</v>
      </c>
      <c r="AI7" s="184">
        <f t="shared" ref="AI7:AI30" si="13">SUM(AA7,AC7,AE7,AG7)/4</f>
        <v>2.7020197696139482E-2</v>
      </c>
      <c r="AJ7" s="120">
        <f t="shared" ref="AJ7:AJ31" si="14">(AA7+AC7)/2</f>
        <v>0</v>
      </c>
      <c r="AK7" s="119">
        <f t="shared" ref="AK7:AK31" si="15">(AE7+AG7)/2</f>
        <v>5.4040395392278964E-2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210</v>
      </c>
      <c r="T8" s="222">
        <f>IF($B$81=0,0,(SUMIF($N$6:$N$28,$U8,M$6:M$28)+SUMIF($N$91:$N$118,$U8,M$91:M$118))*$I$83*Poor!$B$81/$B$81)</f>
        <v>210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0.56713677711862531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9.4522796186437552E-2</v>
      </c>
      <c r="AB8" s="125">
        <f>IF($Y8=0,0,AC8/$Y8)</f>
        <v>0.43286322288137463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7.2143870480229105E-2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0.12893766780821914</v>
      </c>
      <c r="J9" s="24">
        <f t="shared" si="3"/>
        <v>0.12893766780821914</v>
      </c>
      <c r="K9" s="22">
        <f t="shared" si="4"/>
        <v>0.11829143835616435</v>
      </c>
      <c r="L9" s="22">
        <f t="shared" si="5"/>
        <v>0.12893766780821914</v>
      </c>
      <c r="M9" s="224">
        <f t="shared" si="6"/>
        <v>0.12893766780821914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837.48413429336836</v>
      </c>
      <c r="T9" s="222">
        <f>IF($B$81=0,0,(SUMIF($N$6:$N$28,$U9,M$6:M$28)+SUMIF($N$91:$N$118,$U9,M$91:M$118))*$I$83*Poor!$B$81/$B$81)</f>
        <v>837.48413429336836</v>
      </c>
      <c r="U9" s="223">
        <v>3</v>
      </c>
      <c r="V9" s="56"/>
      <c r="W9" s="115"/>
      <c r="X9" s="118">
        <f>Poor!X9</f>
        <v>1</v>
      </c>
      <c r="Y9" s="184">
        <f t="shared" si="9"/>
        <v>0.51575067123287655</v>
      </c>
      <c r="Z9" s="125">
        <f>IF($Y9=0,0,AA9/$Y9)</f>
        <v>0.56713677711862531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0.29250117347978133</v>
      </c>
      <c r="AB9" s="125">
        <f>IF($Y9=0,0,AC9/$Y9)</f>
        <v>0.43286322288137463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0.22324949775309522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0.12893766780821914</v>
      </c>
      <c r="AJ9" s="120">
        <f t="shared" si="14"/>
        <v>0.25787533561643827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0.14181937733499378</v>
      </c>
      <c r="Z10" s="125">
        <f>IF($Y10=0,0,AA10/$Y10)</f>
        <v>0.56713677711862531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8.0430984594738589E-2</v>
      </c>
      <c r="AB10" s="125">
        <f>IF($Y10=0,0,AC10/$Y10)</f>
        <v>0.43286322288137469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6.138839274025519E-2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1</v>
      </c>
      <c r="H11" s="24">
        <f t="shared" si="1"/>
        <v>1</v>
      </c>
      <c r="I11" s="22">
        <f t="shared" si="2"/>
        <v>1.3992932129514322E-2</v>
      </c>
      <c r="J11" s="24">
        <f t="shared" si="3"/>
        <v>1.3992932129514322E-2</v>
      </c>
      <c r="K11" s="22">
        <f t="shared" si="4"/>
        <v>1.3992932129514322E-2</v>
      </c>
      <c r="L11" s="22">
        <f t="shared" si="5"/>
        <v>1.3992932129514322E-2</v>
      </c>
      <c r="M11" s="224">
        <f t="shared" si="6"/>
        <v>1.3992932129514322E-2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8047.5999999999985</v>
      </c>
      <c r="T11" s="222">
        <f>IF($B$81=0,0,(SUMIF($N$6:$N$28,$U11,M$6:M$28)+SUMIF($N$91:$N$118,$U11,M$91:M$118))*$I$83*Poor!$B$81/$B$81)</f>
        <v>8039.6161656537406</v>
      </c>
      <c r="U11" s="223">
        <v>5</v>
      </c>
      <c r="V11" s="56"/>
      <c r="W11" s="115"/>
      <c r="X11" s="118">
        <f>Poor!X11</f>
        <v>1</v>
      </c>
      <c r="Y11" s="184">
        <f t="shared" si="9"/>
        <v>5.597172851805729E-2</v>
      </c>
      <c r="Z11" s="125">
        <f>IF($Y11=0,0,AA11/$Y11)</f>
        <v>0.56713677711862531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3.1743625721489664E-2</v>
      </c>
      <c r="AB11" s="125">
        <f>IF($Y11=0,0,AC11/$Y11)</f>
        <v>0.43286322288137463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2.4228102796567626E-2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1.3992932129514322E-2</v>
      </c>
      <c r="AJ11" s="120">
        <f t="shared" si="14"/>
        <v>2.7985864259028645E-2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1</v>
      </c>
      <c r="H12" s="24">
        <f t="shared" si="1"/>
        <v>1</v>
      </c>
      <c r="I12" s="22">
        <f t="shared" si="2"/>
        <v>1.5641843088418431E-3</v>
      </c>
      <c r="J12" s="24">
        <f t="shared" si="3"/>
        <v>1.5641843088418431E-3</v>
      </c>
      <c r="K12" s="22">
        <f t="shared" si="4"/>
        <v>1.5641843088418431E-3</v>
      </c>
      <c r="L12" s="22">
        <f t="shared" si="5"/>
        <v>1.5641843088418431E-3</v>
      </c>
      <c r="M12" s="224">
        <f t="shared" si="6"/>
        <v>1.5641843088418431E-3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6.2567372353673724E-3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4.19201394769614E-3</v>
      </c>
      <c r="AF12" s="122">
        <f>1-SUM(Z12,AB12,AD12)</f>
        <v>0.32999999999999996</v>
      </c>
      <c r="AG12" s="121">
        <f>$M12*AF12*4</f>
        <v>2.0647232876712328E-3</v>
      </c>
      <c r="AH12" s="123">
        <f t="shared" si="12"/>
        <v>1</v>
      </c>
      <c r="AI12" s="184">
        <f t="shared" si="13"/>
        <v>1.5641843088418433E-3</v>
      </c>
      <c r="AJ12" s="120">
        <f t="shared" si="14"/>
        <v>0</v>
      </c>
      <c r="AK12" s="119">
        <f t="shared" si="15"/>
        <v>3.1283686176836866E-3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1</v>
      </c>
      <c r="H13" s="24">
        <f t="shared" si="1"/>
        <v>1</v>
      </c>
      <c r="I13" s="22">
        <f t="shared" si="2"/>
        <v>5.9308655043586551E-3</v>
      </c>
      <c r="J13" s="24">
        <f t="shared" si="3"/>
        <v>5.9308655043586551E-3</v>
      </c>
      <c r="K13" s="22">
        <f t="shared" si="4"/>
        <v>5.9308655043586551E-3</v>
      </c>
      <c r="L13" s="22">
        <f t="shared" si="5"/>
        <v>5.9308655043586551E-3</v>
      </c>
      <c r="M13" s="225">
        <f t="shared" si="6"/>
        <v>5.9308655043586551E-3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2622.2834226389814</v>
      </c>
      <c r="T13" s="222">
        <f>IF($B$81=0,0,(SUMIF($N$6:$N$28,$U13,M$6:M$28)+SUMIF($N$91:$N$118,$U13,M$91:M$118))*$I$83*Poor!$B$81/$B$81)</f>
        <v>2650.5066238978993</v>
      </c>
      <c r="U13" s="223">
        <v>7</v>
      </c>
      <c r="V13" s="56"/>
      <c r="W13" s="110"/>
      <c r="X13" s="118"/>
      <c r="Y13" s="184">
        <f t="shared" si="9"/>
        <v>2.372346201743462E-2</v>
      </c>
      <c r="Z13" s="156">
        <f>Poor!Z13</f>
        <v>1</v>
      </c>
      <c r="AA13" s="121">
        <f>$M13*Z13*4</f>
        <v>2.372346201743462E-2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5.9308655043586551E-3</v>
      </c>
      <c r="AJ13" s="120">
        <f t="shared" si="14"/>
        <v>1.186173100871731E-2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1</v>
      </c>
      <c r="F14" s="22"/>
      <c r="H14" s="24">
        <f t="shared" si="1"/>
        <v>1</v>
      </c>
      <c r="I14" s="22">
        <f t="shared" si="2"/>
        <v>7.4298754669987538E-3</v>
      </c>
      <c r="J14" s="24">
        <f>IF(I$32&lt;=1+I131,I14,B14*H14+J$33*(I14-B14*H14))</f>
        <v>7.4298754669987538E-3</v>
      </c>
      <c r="K14" s="22">
        <f t="shared" si="4"/>
        <v>7.4298754669987538E-3</v>
      </c>
      <c r="L14" s="22">
        <f t="shared" si="5"/>
        <v>7.4298754669987538E-3</v>
      </c>
      <c r="M14" s="225">
        <f t="shared" si="6"/>
        <v>7.4298754669987538E-3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33984</v>
      </c>
      <c r="T14" s="222">
        <f>IF($B$81=0,0,(SUMIF($N$6:$N$28,$U14,M$6:M$28)+SUMIF($N$91:$N$118,$U14,M$91:M$118))*$I$83*Poor!$B$81/$B$81)</f>
        <v>33984</v>
      </c>
      <c r="U14" s="223">
        <v>8</v>
      </c>
      <c r="V14" s="56"/>
      <c r="W14" s="110"/>
      <c r="X14" s="118"/>
      <c r="Y14" s="184">
        <f>M14*4</f>
        <v>2.9719501867995015E-2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2.9719501867995015E-2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7.4298754669987538E-3</v>
      </c>
      <c r="AJ14" s="120">
        <f t="shared" si="14"/>
        <v>1.4859750933997508E-2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0.23144713823163138</v>
      </c>
      <c r="Z15" s="156">
        <f>Poor!Z15</f>
        <v>0.25</v>
      </c>
      <c r="AA15" s="121">
        <f t="shared" si="16"/>
        <v>5.7861784557907844E-2</v>
      </c>
      <c r="AB15" s="156">
        <f>Poor!AB15</f>
        <v>0.25</v>
      </c>
      <c r="AC15" s="121">
        <f t="shared" si="7"/>
        <v>5.7861784557907844E-2</v>
      </c>
      <c r="AD15" s="156">
        <f>Poor!AD15</f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2866.0814510186297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1</v>
      </c>
      <c r="F17" s="22"/>
      <c r="H17" s="24">
        <f t="shared" si="1"/>
        <v>1</v>
      </c>
      <c r="I17" s="22">
        <f t="shared" si="2"/>
        <v>2.8253424657534248E-2</v>
      </c>
      <c r="J17" s="24">
        <f t="shared" ref="J17:J25" si="17">IF(I$32&lt;=1+I131,I17,B17*H17+J$33*(I17-B17*H17))</f>
        <v>0.12046713020312572</v>
      </c>
      <c r="K17" s="22">
        <f t="shared" si="4"/>
        <v>0.1182914383561644</v>
      </c>
      <c r="L17" s="22">
        <f t="shared" si="5"/>
        <v>0.1182914383561644</v>
      </c>
      <c r="M17" s="225">
        <f t="shared" si="6"/>
        <v>0.12046713020312572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0.48186852081250287</v>
      </c>
      <c r="Z17" s="156">
        <f>Poor!Z17</f>
        <v>0.29409999999999997</v>
      </c>
      <c r="AA17" s="121">
        <f t="shared" si="16"/>
        <v>0.14171753197095707</v>
      </c>
      <c r="AB17" s="156">
        <f>Poor!AB17</f>
        <v>0.17649999999999999</v>
      </c>
      <c r="AC17" s="121">
        <f t="shared" si="7"/>
        <v>8.5049793923406752E-2</v>
      </c>
      <c r="AD17" s="156">
        <f>Poor!AD17</f>
        <v>0.23530000000000001</v>
      </c>
      <c r="AE17" s="121">
        <f t="shared" si="8"/>
        <v>0.11338366294718193</v>
      </c>
      <c r="AF17" s="122">
        <f t="shared" si="10"/>
        <v>0.29410000000000003</v>
      </c>
      <c r="AG17" s="121">
        <f t="shared" si="11"/>
        <v>0.1417175319709571</v>
      </c>
      <c r="AH17" s="123">
        <f t="shared" si="12"/>
        <v>1</v>
      </c>
      <c r="AI17" s="184">
        <f t="shared" si="13"/>
        <v>0.12046713020312572</v>
      </c>
      <c r="AJ17" s="120">
        <f t="shared" si="14"/>
        <v>0.11338366294718191</v>
      </c>
      <c r="AK17" s="119">
        <f t="shared" si="15"/>
        <v>0.12755059745906952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9533.1303797468372</v>
      </c>
      <c r="T20" s="222">
        <f>IF($B$81=0,0,(SUMIF($N$6:$N$28,$U20,M$6:M$28)+SUMIF($N$91:$N$118,$U20,M$91:M$118))*$I$83*Poor!$B$81/$B$81)</f>
        <v>9533.1303797468372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95350.020162317727</v>
      </c>
      <c r="T23" s="179">
        <f>SUM(T7:T22)</f>
        <v>95356.340980249021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2.3362230051648794E-2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2.3362230051648794E-2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9.3448920206595176E-2</v>
      </c>
      <c r="Z27" s="156">
        <f>Poor!Z27</f>
        <v>0.25</v>
      </c>
      <c r="AA27" s="121">
        <f t="shared" si="16"/>
        <v>2.3362230051648794E-2</v>
      </c>
      <c r="AB27" s="156">
        <f>Poor!AB27</f>
        <v>0.25</v>
      </c>
      <c r="AC27" s="121">
        <f t="shared" si="7"/>
        <v>2.3362230051648794E-2</v>
      </c>
      <c r="AD27" s="156">
        <f>Poor!AD27</f>
        <v>0.25</v>
      </c>
      <c r="AE27" s="121">
        <f t="shared" si="8"/>
        <v>2.3362230051648794E-2</v>
      </c>
      <c r="AF27" s="122">
        <f t="shared" si="10"/>
        <v>0.25</v>
      </c>
      <c r="AG27" s="121">
        <f t="shared" si="11"/>
        <v>2.3362230051648794E-2</v>
      </c>
      <c r="AH27" s="123">
        <f t="shared" si="12"/>
        <v>1</v>
      </c>
      <c r="AI27" s="184">
        <f t="shared" si="13"/>
        <v>2.3362230051648794E-2</v>
      </c>
      <c r="AJ27" s="120">
        <f t="shared" si="14"/>
        <v>2.3362230051648794E-2</v>
      </c>
      <c r="AK27" s="119">
        <f t="shared" si="15"/>
        <v>2.3362230051648794E-2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0.22860892349930567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0.22860892349930567</v>
      </c>
      <c r="N29" s="229"/>
      <c r="P29" s="22"/>
      <c r="V29" s="56"/>
      <c r="W29" s="110"/>
      <c r="X29" s="118"/>
      <c r="Y29" s="184">
        <f t="shared" si="9"/>
        <v>0.91443569399722269</v>
      </c>
      <c r="Z29" s="156">
        <f>Poor!Z29</f>
        <v>0.25</v>
      </c>
      <c r="AA29" s="121">
        <f t="shared" si="16"/>
        <v>0.22860892349930567</v>
      </c>
      <c r="AB29" s="156">
        <f>Poor!AB29</f>
        <v>0.25</v>
      </c>
      <c r="AC29" s="121">
        <f t="shared" si="7"/>
        <v>0.22860892349930567</v>
      </c>
      <c r="AD29" s="156">
        <f>Poor!AD29</f>
        <v>0.25</v>
      </c>
      <c r="AE29" s="121">
        <f t="shared" si="8"/>
        <v>0.22860892349930567</v>
      </c>
      <c r="AF29" s="122">
        <f t="shared" si="10"/>
        <v>0.25</v>
      </c>
      <c r="AG29" s="121">
        <f t="shared" si="11"/>
        <v>0.22860892349930567</v>
      </c>
      <c r="AH29" s="123">
        <f t="shared" si="12"/>
        <v>1</v>
      </c>
      <c r="AI29" s="184">
        <f t="shared" si="13"/>
        <v>0.22860892349930567</v>
      </c>
      <c r="AJ29" s="120">
        <f t="shared" si="14"/>
        <v>0.22860892349930567</v>
      </c>
      <c r="AK29" s="119">
        <f t="shared" si="15"/>
        <v>0.22860892349930567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5.9180532404564499</v>
      </c>
      <c r="J30" s="231">
        <f>IF(I$32&lt;=1,I30,1-SUM(J6:J29))</f>
        <v>0.27016227436132034</v>
      </c>
      <c r="K30" s="22">
        <f t="shared" si="4"/>
        <v>0.61046637608966381</v>
      </c>
      <c r="L30" s="22">
        <f>IF(L124=L119,0,IF(K30="",0,(L119-L124)/(B119-B124)*K30))</f>
        <v>0.35530037652810981</v>
      </c>
      <c r="M30" s="175">
        <f t="shared" si="6"/>
        <v>0.27016227436132034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1.0806490974452814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0.15625832178871554</v>
      </c>
      <c r="AC30" s="188">
        <f>IF(AC79*4/$I$84+SUM(AC6:AC29)&lt;1,AC79*4/$I$84,1-SUM(AC6:AC29))</f>
        <v>0.16886041440928978</v>
      </c>
      <c r="AD30" s="122">
        <f>IF($Y30=0,0,AE30/($Y$30))</f>
        <v>0.48400357463735738</v>
      </c>
      <c r="AE30" s="188">
        <f>IF(AE79*4/$I$84+SUM(AE6:AE29)&lt;1,AE79*4/$I$84,1-SUM(AE6:AE29))</f>
        <v>0.52303802609215011</v>
      </c>
      <c r="AF30" s="122">
        <f>IF($Y30=0,0,AG30/($Y$30))</f>
        <v>0.35973810357392749</v>
      </c>
      <c r="AG30" s="188">
        <f>IF(AG79*4/$I$84+SUM(AG6:AG29)&lt;1,AG79*4/$I$84,1-SUM(AG6:AG29))</f>
        <v>0.38875065694384192</v>
      </c>
      <c r="AH30" s="123">
        <f t="shared" si="12"/>
        <v>1.0000000000000004</v>
      </c>
      <c r="AI30" s="184">
        <f t="shared" si="13"/>
        <v>0.27016227436132045</v>
      </c>
      <c r="AJ30" s="120">
        <f t="shared" si="14"/>
        <v>8.4430207204644891E-2</v>
      </c>
      <c r="AK30" s="119">
        <f t="shared" si="15"/>
        <v>0.45589434151799602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-8.2325333979334392E-2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6.5286756563681374</v>
      </c>
      <c r="J32" s="17"/>
      <c r="L32" s="22">
        <f>SUM(L6:L30)</f>
        <v>1.0823253339793344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-2.4164147537101999E-2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1510.3999999999999</v>
      </c>
      <c r="J37" s="38">
        <f>J91*I$83</f>
        <v>1510.3999999999999</v>
      </c>
      <c r="K37" s="40">
        <f>(B37/B$65)</f>
        <v>1.807727319207603E-2</v>
      </c>
      <c r="L37" s="22">
        <f t="shared" ref="L37" si="28">(K37*H37)</f>
        <v>1.706494589331977E-2</v>
      </c>
      <c r="M37" s="24">
        <f>J37/B$65</f>
        <v>1.706494589331977E-2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1510.3999999999999</v>
      </c>
      <c r="AH37" s="123">
        <f>SUM(Z37,AB37,AD37,AF37)</f>
        <v>1</v>
      </c>
      <c r="AI37" s="112">
        <f>SUM(AA37,AC37,AE37,AG37)</f>
        <v>1510.3999999999999</v>
      </c>
      <c r="AJ37" s="148">
        <f>(AA37+AC37)</f>
        <v>0</v>
      </c>
      <c r="AK37" s="147">
        <f>(AE37+AG37)</f>
        <v>1510.3999999999999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4720</v>
      </c>
      <c r="J38" s="38">
        <f t="shared" ref="J38:J64" si="32">J92*I$83</f>
        <v>4720</v>
      </c>
      <c r="K38" s="40">
        <f t="shared" ref="K38:K64" si="33">(B38/B$65)</f>
        <v>5.6491478725237597E-2</v>
      </c>
      <c r="L38" s="22">
        <f t="shared" ref="L38:L64" si="34">(K38*H38)</f>
        <v>5.3327955916624287E-2</v>
      </c>
      <c r="M38" s="24">
        <f t="shared" ref="M38:M64" si="35">J38/B$65</f>
        <v>5.3327955916624294E-2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4720</v>
      </c>
      <c r="AH38" s="123">
        <f t="shared" ref="AH38:AI58" si="37">SUM(Z38,AB38,AD38,AF38)</f>
        <v>1</v>
      </c>
      <c r="AI38" s="112">
        <f t="shared" si="37"/>
        <v>4720</v>
      </c>
      <c r="AJ38" s="148">
        <f t="shared" ref="AJ38:AJ64" si="38">(AA38+AC38)</f>
        <v>0</v>
      </c>
      <c r="AK38" s="147">
        <f t="shared" ref="AK38:AK64" si="39">(AE38+AG38)</f>
        <v>4720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1652</v>
      </c>
      <c r="J39" s="38">
        <f t="shared" si="32"/>
        <v>1313.6161656537413</v>
      </c>
      <c r="K39" s="40">
        <f t="shared" si="33"/>
        <v>1.5817614043066527E-2</v>
      </c>
      <c r="L39" s="22">
        <f t="shared" si="34"/>
        <v>1.49318276566548E-2</v>
      </c>
      <c r="M39" s="24">
        <f t="shared" si="35"/>
        <v>1.4841623935031302E-2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0.56713677711862531</v>
      </c>
      <c r="AA39" s="147">
        <f t="shared" ref="AA39:AA64" si="40">$J39*Z39</f>
        <v>745.00003855978912</v>
      </c>
      <c r="AB39" s="122">
        <f>AB8</f>
        <v>0.43286322288137463</v>
      </c>
      <c r="AC39" s="147">
        <f t="shared" ref="AC39:AC64" si="41">$J39*AB39</f>
        <v>568.61612709395217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1313.6161656537413</v>
      </c>
      <c r="AJ39" s="148">
        <f t="shared" si="38"/>
        <v>1313.6161656537413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377.59999999999997</v>
      </c>
      <c r="J40" s="38">
        <f t="shared" si="32"/>
        <v>377.59999999999997</v>
      </c>
      <c r="K40" s="40">
        <f t="shared" si="33"/>
        <v>4.5193182980190075E-3</v>
      </c>
      <c r="L40" s="22">
        <f t="shared" si="34"/>
        <v>4.2662364733299426E-3</v>
      </c>
      <c r="M40" s="24">
        <f t="shared" si="35"/>
        <v>4.2662364733299426E-3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0.56713677711862531</v>
      </c>
      <c r="AA40" s="147">
        <f t="shared" si="40"/>
        <v>214.1508470399929</v>
      </c>
      <c r="AB40" s="122">
        <f>AB9</f>
        <v>0.43286322288137463</v>
      </c>
      <c r="AC40" s="147">
        <f t="shared" si="41"/>
        <v>163.44915296000704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377.59999999999991</v>
      </c>
      <c r="AJ40" s="148">
        <f t="shared" si="38"/>
        <v>377.59999999999991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0.56713677711862531</v>
      </c>
      <c r="AA41" s="147">
        <f t="shared" si="40"/>
        <v>66.922139699997786</v>
      </c>
      <c r="AB41" s="122">
        <f>AB11</f>
        <v>0.43286322288137463</v>
      </c>
      <c r="AC41" s="147">
        <f t="shared" si="41"/>
        <v>51.077860300002207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210</v>
      </c>
      <c r="J45" s="38">
        <f t="shared" si="32"/>
        <v>210</v>
      </c>
      <c r="K45" s="40">
        <f t="shared" si="33"/>
        <v>1.6947443617571279E-3</v>
      </c>
      <c r="L45" s="22">
        <f t="shared" si="34"/>
        <v>2.3726421064599787E-3</v>
      </c>
      <c r="M45" s="24">
        <f t="shared" si="35"/>
        <v>2.3726421064599792E-3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52.5</v>
      </c>
      <c r="AB45" s="156">
        <f>Poor!AB45</f>
        <v>0.25</v>
      </c>
      <c r="AC45" s="147">
        <f t="shared" si="41"/>
        <v>52.5</v>
      </c>
      <c r="AD45" s="156">
        <f>Poor!AD45</f>
        <v>0.25</v>
      </c>
      <c r="AE45" s="147">
        <f t="shared" si="42"/>
        <v>52.5</v>
      </c>
      <c r="AF45" s="122">
        <f t="shared" si="29"/>
        <v>0.25</v>
      </c>
      <c r="AG45" s="147">
        <f t="shared" si="36"/>
        <v>52.5</v>
      </c>
      <c r="AH45" s="123">
        <f t="shared" si="37"/>
        <v>1</v>
      </c>
      <c r="AI45" s="112">
        <f t="shared" si="37"/>
        <v>210</v>
      </c>
      <c r="AJ45" s="148">
        <f t="shared" si="38"/>
        <v>105</v>
      </c>
      <c r="AK45" s="147">
        <f t="shared" si="39"/>
        <v>105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1087.8000000000002</v>
      </c>
      <c r="J51" s="38">
        <f t="shared" si="32"/>
        <v>1087.8</v>
      </c>
      <c r="K51" s="40">
        <f t="shared" si="33"/>
        <v>1.1072329830146568E-2</v>
      </c>
      <c r="L51" s="22">
        <f t="shared" si="34"/>
        <v>1.2290286111462692E-2</v>
      </c>
      <c r="M51" s="24">
        <f t="shared" si="35"/>
        <v>1.2290286111462691E-2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271.95</v>
      </c>
      <c r="AB51" s="156">
        <f>Poor!AB56</f>
        <v>0.25</v>
      </c>
      <c r="AC51" s="147">
        <f t="shared" si="41"/>
        <v>271.95</v>
      </c>
      <c r="AD51" s="156">
        <f>Poor!AD56</f>
        <v>0.25</v>
      </c>
      <c r="AE51" s="147">
        <f t="shared" si="42"/>
        <v>271.95</v>
      </c>
      <c r="AF51" s="122">
        <f t="shared" si="29"/>
        <v>0.25</v>
      </c>
      <c r="AG51" s="147">
        <f t="shared" si="36"/>
        <v>271.95</v>
      </c>
      <c r="AH51" s="123">
        <f t="shared" si="37"/>
        <v>1</v>
      </c>
      <c r="AI51" s="112">
        <f t="shared" si="37"/>
        <v>1087.8</v>
      </c>
      <c r="AJ51" s="148">
        <f t="shared" si="38"/>
        <v>543.9</v>
      </c>
      <c r="AK51" s="147">
        <f t="shared" si="39"/>
        <v>543.9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33984</v>
      </c>
      <c r="J53" s="38">
        <f t="shared" si="32"/>
        <v>33984</v>
      </c>
      <c r="K53" s="40">
        <f t="shared" si="33"/>
        <v>0.40673864682171068</v>
      </c>
      <c r="L53" s="22">
        <f t="shared" si="34"/>
        <v>0.38396128259969486</v>
      </c>
      <c r="M53" s="24">
        <f t="shared" si="35"/>
        <v>0.38396128259969492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2866.0814510186292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3.2381835863003396E-2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9533.1303797468354</v>
      </c>
      <c r="J56" s="38">
        <f t="shared" si="32"/>
        <v>9533.1303797468372</v>
      </c>
      <c r="K56" s="40">
        <f t="shared" si="33"/>
        <v>9.1278073225827899E-2</v>
      </c>
      <c r="L56" s="22">
        <f t="shared" si="34"/>
        <v>0.10770812640647691</v>
      </c>
      <c r="M56" s="24">
        <f t="shared" si="35"/>
        <v>0.10770812640647694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90085.730379746848</v>
      </c>
      <c r="J65" s="39">
        <f>SUM(J37:J64)</f>
        <v>89157.42799641921</v>
      </c>
      <c r="K65" s="40">
        <f>SUM(K37:K64)</f>
        <v>0.99999999999999978</v>
      </c>
      <c r="L65" s="22">
        <f>SUM(L37:L64)</f>
        <v>1.0075744489756806</v>
      </c>
      <c r="M65" s="24">
        <f>SUM(M37:M64)</f>
        <v>1.0073269893713239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8010.5230252997808</v>
      </c>
      <c r="AB65" s="137"/>
      <c r="AC65" s="153">
        <f>SUM(AC37:AC64)</f>
        <v>7767.5931403539626</v>
      </c>
      <c r="AD65" s="137"/>
      <c r="AE65" s="153">
        <f>SUM(AE37:AE64)</f>
        <v>6984.4500000000007</v>
      </c>
      <c r="AF65" s="137"/>
      <c r="AG65" s="153">
        <f>SUM(AG37:AG64)</f>
        <v>13214.85</v>
      </c>
      <c r="AH65" s="137"/>
      <c r="AI65" s="153">
        <f>SUM(AI37:AI64)</f>
        <v>35977.416165653747</v>
      </c>
      <c r="AJ65" s="153">
        <f>SUM(AJ37:AJ64)</f>
        <v>15778.116165653742</v>
      </c>
      <c r="AK65" s="153">
        <f>SUM(AK37:AK64)</f>
        <v>20199.300000000003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26455.600000000002</v>
      </c>
      <c r="K73" s="40">
        <f>B73/B$76</f>
        <v>0.25330779060396541</v>
      </c>
      <c r="L73" s="22">
        <f t="shared" si="45"/>
        <v>0.29890319291267925</v>
      </c>
      <c r="M73" s="24">
        <f>J73/B$76</f>
        <v>0.29890319291267919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76769.331051946661</v>
      </c>
      <c r="J74" s="51">
        <f t="shared" si="44"/>
        <v>3504.5607458224536</v>
      </c>
      <c r="K74" s="40">
        <f>B74/B$76</f>
        <v>5.4225008815229715E-2</v>
      </c>
      <c r="L74" s="22">
        <f t="shared" si="45"/>
        <v>5.2073587058071399E-2</v>
      </c>
      <c r="M74" s="24">
        <f>J74/B$76</f>
        <v>3.959556376278639E-2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986.57285758953742</v>
      </c>
      <c r="AD74" s="156"/>
      <c r="AE74" s="147">
        <f>AE30*$I$84/4</f>
        <v>3055.8679003297248</v>
      </c>
      <c r="AF74" s="156"/>
      <c r="AG74" s="147">
        <f>AG30*$I$84/4</f>
        <v>2271.2892648793377</v>
      </c>
      <c r="AH74" s="155"/>
      <c r="AI74" s="147">
        <f>SUM(AA74,AC74,AE74,AG74)</f>
        <v>6313.7300227985997</v>
      </c>
      <c r="AJ74" s="148">
        <f>(AA74+AC74)</f>
        <v>986.57285758953742</v>
      </c>
      <c r="AK74" s="147">
        <f>(AE74+AG74)</f>
        <v>5327.1571652090624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6124.3079227966073</v>
      </c>
      <c r="K75" s="40">
        <f>B75/B$76</f>
        <v>0.20433886472106502</v>
      </c>
      <c r="L75" s="22">
        <f t="shared" si="45"/>
        <v>5.69636784545655E-2</v>
      </c>
      <c r="M75" s="24">
        <f>J75/B$76</f>
        <v>6.9194242145493717E-2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7182.1414020412958</v>
      </c>
      <c r="AB75" s="158"/>
      <c r="AC75" s="149">
        <f>AA75+AC65-SUM(AC70,AC74)</f>
        <v>10634.061852855681</v>
      </c>
      <c r="AD75" s="158"/>
      <c r="AE75" s="149">
        <f>AC75+AE65-SUM(AE70,AE74)</f>
        <v>11233.544120575916</v>
      </c>
      <c r="AF75" s="158"/>
      <c r="AG75" s="149">
        <f>IF(SUM(AG6:AG29)+((AG65-AG70-$J$75)*4/I$83)&lt;1,0,AG65-AG70-$J$75-(1-SUM(AG6:AG29))*I$83/4)</f>
        <v>2500.718208691555</v>
      </c>
      <c r="AH75" s="134"/>
      <c r="AI75" s="149">
        <f>AI76-SUM(AI70,AI74)</f>
        <v>16347.286815054991</v>
      </c>
      <c r="AJ75" s="151">
        <f>AJ76-SUM(AJ70,AJ74)</f>
        <v>8133.3436441641279</v>
      </c>
      <c r="AK75" s="149">
        <f>AJ75+AK76-SUM(AK70,AK74)</f>
        <v>16347.286815054989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90085.730379746819</v>
      </c>
      <c r="J76" s="51">
        <f t="shared" si="44"/>
        <v>89157.42799641921</v>
      </c>
      <c r="K76" s="40">
        <f>SUM(K70:K75)</f>
        <v>0.99999999999999978</v>
      </c>
      <c r="L76" s="22">
        <f>SUM(L70:L75)</f>
        <v>1.0075744489756808</v>
      </c>
      <c r="M76" s="24">
        <f>SUM(M70:M75)</f>
        <v>1.0073269893713237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8010.5230252997808</v>
      </c>
      <c r="AB76" s="137"/>
      <c r="AC76" s="153">
        <f>AC65</f>
        <v>7767.5931403539626</v>
      </c>
      <c r="AD76" s="137"/>
      <c r="AE76" s="153">
        <f>AE65</f>
        <v>6984.4500000000007</v>
      </c>
      <c r="AF76" s="137"/>
      <c r="AG76" s="153">
        <f>AG65</f>
        <v>13214.85</v>
      </c>
      <c r="AH76" s="137"/>
      <c r="AI76" s="153">
        <f>SUM(AA76,AC76,AE76,AG76)</f>
        <v>35977.416165653747</v>
      </c>
      <c r="AJ76" s="154">
        <f>SUM(AA76,AC76)</f>
        <v>15778.116165653744</v>
      </c>
      <c r="AK76" s="154">
        <f>SUM(AE76,AG76)</f>
        <v>20199.300000000003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15203.119999999992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2500.718208691555</v>
      </c>
      <c r="AB78" s="112"/>
      <c r="AC78" s="112">
        <f>IF(AA75&lt;0,0,AA75)</f>
        <v>7182.1414020412958</v>
      </c>
      <c r="AD78" s="112"/>
      <c r="AE78" s="112">
        <f>AC75</f>
        <v>10634.061852855681</v>
      </c>
      <c r="AF78" s="112"/>
      <c r="AG78" s="112">
        <f>AE75</f>
        <v>11233.544120575916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7182.1414020412958</v>
      </c>
      <c r="AB79" s="112"/>
      <c r="AC79" s="112">
        <f>AA79-AA74+AC65-AC70</f>
        <v>11620.634710445218</v>
      </c>
      <c r="AD79" s="112"/>
      <c r="AE79" s="112">
        <f>AC79-AC74+AE65-AE70</f>
        <v>14289.412020905642</v>
      </c>
      <c r="AF79" s="112"/>
      <c r="AG79" s="112">
        <f>AE79-AE74+AG65-AG70</f>
        <v>21119.294288625879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0.57212121212121214</v>
      </c>
      <c r="I91" s="22">
        <f t="shared" ref="I91" si="52">(D91*H91)</f>
        <v>0.11643487694763183</v>
      </c>
      <c r="J91" s="24">
        <f>IF(I$32&lt;=1+I$131,I91,L91+J$33*(I91-L91))</f>
        <v>0.11643487694763183</v>
      </c>
      <c r="K91" s="22">
        <f t="shared" ref="K91" si="53">(B91)</f>
        <v>0.20351435059702597</v>
      </c>
      <c r="L91" s="22">
        <f t="shared" ref="L91" si="54">(K91*H91)</f>
        <v>0.11643487694763183</v>
      </c>
      <c r="M91" s="227">
        <f t="shared" si="49"/>
        <v>0.11643487694763183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0.57212121212121214</v>
      </c>
      <c r="I92" s="22">
        <f t="shared" ref="I92:I118" si="58">(D92*H92)</f>
        <v>0.36385899046134945</v>
      </c>
      <c r="J92" s="24">
        <f t="shared" ref="J92:J118" si="59">IF(I$32&lt;=1+I$131,I92,L92+J$33*(I92-L92))</f>
        <v>0.36385899046134945</v>
      </c>
      <c r="K92" s="22">
        <f t="shared" ref="K92:K118" si="60">(B92)</f>
        <v>0.6359823456157061</v>
      </c>
      <c r="L92" s="22">
        <f t="shared" ref="L92:L118" si="61">(K92*H92)</f>
        <v>0.36385899046134945</v>
      </c>
      <c r="M92" s="227">
        <f t="shared" ref="M92:M118" si="62">(J92)</f>
        <v>0.36385899046134945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0.57212121212121214</v>
      </c>
      <c r="I93" s="22">
        <f t="shared" si="58"/>
        <v>0.12735064666147231</v>
      </c>
      <c r="J93" s="24">
        <f t="shared" si="59"/>
        <v>0.10126505336620321</v>
      </c>
      <c r="K93" s="22">
        <f t="shared" si="60"/>
        <v>0.17807505677239771</v>
      </c>
      <c r="L93" s="22">
        <f t="shared" si="61"/>
        <v>0.10188051732917784</v>
      </c>
      <c r="M93" s="227">
        <f t="shared" si="62"/>
        <v>0.10126505336620321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0.57212121212121214</v>
      </c>
      <c r="I94" s="22">
        <f t="shared" si="58"/>
        <v>2.9108719236907957E-2</v>
      </c>
      <c r="J94" s="24">
        <f t="shared" si="59"/>
        <v>2.9108719236907957E-2</v>
      </c>
      <c r="K94" s="22">
        <f t="shared" si="60"/>
        <v>5.0878587649256492E-2</v>
      </c>
      <c r="L94" s="22">
        <f t="shared" si="61"/>
        <v>2.9108719236907957E-2</v>
      </c>
      <c r="M94" s="227">
        <f t="shared" si="62"/>
        <v>2.9108719236907957E-2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0.92484848484848492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0.84848484848484851</v>
      </c>
      <c r="I99" s="22">
        <f t="shared" si="58"/>
        <v>1.6188641524763431E-2</v>
      </c>
      <c r="J99" s="24">
        <f t="shared" si="59"/>
        <v>1.6188641524763431E-2</v>
      </c>
      <c r="K99" s="22">
        <f t="shared" si="60"/>
        <v>1.9079470368471185E-2</v>
      </c>
      <c r="L99" s="22">
        <f t="shared" si="61"/>
        <v>1.6188641524763431E-2</v>
      </c>
      <c r="M99" s="227">
        <f t="shared" si="62"/>
        <v>1.6188641524763431E-2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0.67272727272727284</v>
      </c>
      <c r="I105" s="22">
        <f t="shared" si="58"/>
        <v>8.3857163098274567E-2</v>
      </c>
      <c r="J105" s="24">
        <f t="shared" si="59"/>
        <v>8.3857163098274567E-2</v>
      </c>
      <c r="K105" s="22">
        <f t="shared" si="60"/>
        <v>0.1246525397406784</v>
      </c>
      <c r="L105" s="22">
        <f t="shared" si="61"/>
        <v>8.3857163098274567E-2</v>
      </c>
      <c r="M105" s="227">
        <f t="shared" si="62"/>
        <v>8.3857163098274567E-2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0.57212121212121214</v>
      </c>
      <c r="I107" s="22">
        <f t="shared" si="58"/>
        <v>2.6197847313217162</v>
      </c>
      <c r="J107" s="24">
        <f t="shared" si="59"/>
        <v>2.6197847313217162</v>
      </c>
      <c r="K107" s="22">
        <f t="shared" si="60"/>
        <v>4.5790728884330845</v>
      </c>
      <c r="L107" s="22">
        <f t="shared" si="61"/>
        <v>2.6197847313217162</v>
      </c>
      <c r="M107" s="227">
        <f t="shared" si="62"/>
        <v>2.6197847313217162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0.22094269138721145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0.22094269138721145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0.7151515151515152</v>
      </c>
      <c r="I110" s="22">
        <f t="shared" si="58"/>
        <v>0.73489728726930204</v>
      </c>
      <c r="J110" s="24">
        <f t="shared" si="59"/>
        <v>0.73489728726930204</v>
      </c>
      <c r="K110" s="22">
        <f t="shared" si="60"/>
        <v>1.0276106135545324</v>
      </c>
      <c r="L110" s="22">
        <f t="shared" si="61"/>
        <v>0.73489728726930204</v>
      </c>
      <c r="M110" s="227">
        <f t="shared" si="62"/>
        <v>0.73489728726930204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6.9445980743533902</v>
      </c>
      <c r="J119" s="24">
        <f>SUM(J91:J118)</f>
        <v>6.8730363862092272</v>
      </c>
      <c r="K119" s="22">
        <f>SUM(K91:K118)</f>
        <v>11.258022625128781</v>
      </c>
      <c r="L119" s="22">
        <f>SUM(L91:L118)</f>
        <v>6.8747248139817447</v>
      </c>
      <c r="M119" s="57">
        <f t="shared" si="49"/>
        <v>6.8730363862092272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2.0394296415358641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2.0394296415358641</v>
      </c>
      <c r="M127" s="57">
        <f t="shared" si="63"/>
        <v>2.0394296415358641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5.9180532404564499</v>
      </c>
      <c r="J128" s="228">
        <f>(J30)</f>
        <v>0.27016227436132034</v>
      </c>
      <c r="K128" s="22">
        <f>(B128)</f>
        <v>0.61046637608966381</v>
      </c>
      <c r="L128" s="22">
        <f>IF(L124=L119,0,(L119-L124)/(B119-B124)*K128)</f>
        <v>0.35530037652810981</v>
      </c>
      <c r="M128" s="57">
        <f t="shared" si="63"/>
        <v>0.27016227436132034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0.47211535975915631</v>
      </c>
      <c r="K129" s="29">
        <f>(B129)</f>
        <v>2.3004515622228796</v>
      </c>
      <c r="L129" s="60">
        <f>IF(SUM(L124:L128)&gt;L130,0,L130-SUM(L124:L128))</f>
        <v>0.38866568536488444</v>
      </c>
      <c r="M129" s="57">
        <f t="shared" si="63"/>
        <v>0.47211535975915631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6.9445980743533902</v>
      </c>
      <c r="J130" s="228">
        <f>(J119)</f>
        <v>6.8730363862092272</v>
      </c>
      <c r="K130" s="22">
        <f>(B130)</f>
        <v>11.258022625128781</v>
      </c>
      <c r="L130" s="22">
        <f>(L119)</f>
        <v>6.8747248139817447</v>
      </c>
      <c r="M130" s="57">
        <f t="shared" si="63"/>
        <v>6.8730363862092272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1.1719898082760061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4.5048508094645084E-2</v>
      </c>
      <c r="J6" s="24">
        <f t="shared" ref="J6:J13" si="3">IF(I$32&lt;=1+I$131,I6,B6*H6+J$33*(I6-B6*H6))</f>
        <v>4.5048508094645084E-2</v>
      </c>
      <c r="K6" s="22">
        <f t="shared" ref="K6:K31" si="4">B6</f>
        <v>9.0097016189290169E-2</v>
      </c>
      <c r="L6" s="22">
        <f t="shared" ref="L6:L29" si="5">IF(K6="","",K6*H6)</f>
        <v>4.5048508094645084E-2</v>
      </c>
      <c r="M6" s="177">
        <f t="shared" ref="M6:M31" si="6">J6</f>
        <v>4.5048508094645084E-2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0.18019403237858034</v>
      </c>
      <c r="Z6" s="156">
        <f>Poor!Z6</f>
        <v>0.17</v>
      </c>
      <c r="AA6" s="121">
        <f>$M6*Z6*4</f>
        <v>3.063298550435866E-2</v>
      </c>
      <c r="AB6" s="156">
        <f>Poor!AB6</f>
        <v>0.17</v>
      </c>
      <c r="AC6" s="121">
        <f t="shared" ref="AC6:AC29" si="7">$M6*AB6*4</f>
        <v>3.063298550435866E-2</v>
      </c>
      <c r="AD6" s="156">
        <f>Poor!AD6</f>
        <v>0.33</v>
      </c>
      <c r="AE6" s="121">
        <f t="shared" ref="AE6:AE29" si="8">$M6*AD6*4</f>
        <v>5.9464030684931515E-2</v>
      </c>
      <c r="AF6" s="122">
        <f>1-SUM(Z6,AB6,AD6)</f>
        <v>0.32999999999999996</v>
      </c>
      <c r="AG6" s="121">
        <f>$M6*AF6*4</f>
        <v>5.9464030684931501E-2</v>
      </c>
      <c r="AH6" s="123">
        <f>SUM(Z6,AB6,AD6,AF6)</f>
        <v>1</v>
      </c>
      <c r="AI6" s="184">
        <f>SUM(AA6,AC6,AE6,AG6)/4</f>
        <v>4.5048508094645084E-2</v>
      </c>
      <c r="AJ6" s="120">
        <f>(AA6+AC6)/2</f>
        <v>3.063298550435866E-2</v>
      </c>
      <c r="AK6" s="119">
        <f>(AE6+AG6)/2</f>
        <v>5.9464030684931508E-2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6.4848474470734746E-2</v>
      </c>
      <c r="J7" s="24">
        <f t="shared" si="3"/>
        <v>6.4848474470734746E-2</v>
      </c>
      <c r="K7" s="22">
        <f t="shared" si="4"/>
        <v>0.12969694894146949</v>
      </c>
      <c r="L7" s="22">
        <f t="shared" si="5"/>
        <v>6.4848474470734746E-2</v>
      </c>
      <c r="M7" s="177">
        <f t="shared" si="6"/>
        <v>6.4848474470734746E-2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5838.2341559801262</v>
      </c>
      <c r="T7" s="222">
        <f>IF($B$81=0,0,(SUMIF($N$6:$N$28,$U7,M$6:M$28)+SUMIF($N$91:$N$118,$U7,M$91:M$118))*$I$83*Poor!$B$81/$B$81)</f>
        <v>5766.3874010626987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0.25939389788293898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0.25939389788293898</v>
      </c>
      <c r="AH7" s="123">
        <f t="shared" ref="AH7:AH30" si="12">SUM(Z7,AB7,AD7,AF7)</f>
        <v>1</v>
      </c>
      <c r="AI7" s="184">
        <f t="shared" ref="AI7:AI30" si="13">SUM(AA7,AC7,AE7,AG7)/4</f>
        <v>6.4848474470734746E-2</v>
      </c>
      <c r="AJ7" s="120">
        <f t="shared" ref="AJ7:AJ31" si="14">(AA7+AC7)/2</f>
        <v>0</v>
      </c>
      <c r="AK7" s="119">
        <f t="shared" ref="AK7:AK31" si="15">(AE7+AG7)/2</f>
        <v>0.12969694894146949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23068.080000000002</v>
      </c>
      <c r="T8" s="222">
        <f>IF($B$81=0,0,(SUMIF($N$6:$N$28,$U8,M$6:M$28)+SUMIF($N$91:$N$118,$U8,M$91:M$118))*$I$83*Poor!$B$81/$B$81)</f>
        <v>23121.215317274455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0.33328894157490691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5.5548156929151146E-2</v>
      </c>
      <c r="AB8" s="125">
        <f>IF($Y8=0,0,AC8/$Y8)</f>
        <v>0.34859612882907559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5.8099354804845932E-2</v>
      </c>
      <c r="AD8" s="125">
        <f>IF($Y8=0,0,AE8/$Y8)</f>
        <v>0.3181149295960175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5.3019154932669579E-2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5.6823755866998539E-2</v>
      </c>
      <c r="AK8" s="119">
        <f t="shared" si="15"/>
        <v>2.650957746633479E-2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0.63437332561643844</v>
      </c>
      <c r="J9" s="24">
        <f t="shared" si="3"/>
        <v>0.21631490578564624</v>
      </c>
      <c r="K9" s="22">
        <f t="shared" si="4"/>
        <v>0.20346127397260275</v>
      </c>
      <c r="L9" s="22">
        <f t="shared" si="5"/>
        <v>0.221772788630137</v>
      </c>
      <c r="M9" s="224">
        <f t="shared" si="6"/>
        <v>0.21631490578564624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1425.5900535833887</v>
      </c>
      <c r="T9" s="222">
        <f>IF($B$81=0,0,(SUMIF($N$6:$N$28,$U9,M$6:M$28)+SUMIF($N$91:$N$118,$U9,M$91:M$118))*$I$83*Poor!$B$81/$B$81)</f>
        <v>1425.5900535833887</v>
      </c>
      <c r="U9" s="223">
        <v>3</v>
      </c>
      <c r="V9" s="56"/>
      <c r="W9" s="115"/>
      <c r="X9" s="118">
        <f>Poor!X9</f>
        <v>1</v>
      </c>
      <c r="Y9" s="184">
        <f t="shared" si="9"/>
        <v>0.86525962314258498</v>
      </c>
      <c r="Z9" s="125">
        <f>IF($Y9=0,0,AA9/$Y9)</f>
        <v>0.33328894157490696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0.288381463984695</v>
      </c>
      <c r="AB9" s="125">
        <f>IF($Y9=0,0,AC9/$Y9)</f>
        <v>0.34859612882907565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0.30162615505960999</v>
      </c>
      <c r="AD9" s="125">
        <f>IF($Y9=0,0,AE9/$Y9)</f>
        <v>0.31811492959601745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0.27525200409827999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0.21631490578564624</v>
      </c>
      <c r="AJ9" s="120">
        <f t="shared" si="14"/>
        <v>0.29500380952215249</v>
      </c>
      <c r="AK9" s="119">
        <f t="shared" si="15"/>
        <v>0.13762600204913999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1</v>
      </c>
      <c r="H10" s="24">
        <f t="shared" si="1"/>
        <v>1</v>
      </c>
      <c r="I10" s="22">
        <f t="shared" si="2"/>
        <v>2.1272906600249067E-2</v>
      </c>
      <c r="J10" s="24">
        <f t="shared" si="3"/>
        <v>2.9355770885399722E-2</v>
      </c>
      <c r="K10" s="22">
        <f t="shared" si="4"/>
        <v>2.9250246575342465E-2</v>
      </c>
      <c r="L10" s="22">
        <f t="shared" si="5"/>
        <v>2.9250246575342465E-2</v>
      </c>
      <c r="M10" s="224">
        <f t="shared" si="6"/>
        <v>2.9355770885399722E-2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0.11742308354159889</v>
      </c>
      <c r="Z10" s="125">
        <f>IF($Y10=0,0,AA10/$Y10)</f>
        <v>0.33328894157490691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3.9135815230041365E-2</v>
      </c>
      <c r="AB10" s="125">
        <f>IF($Y10=0,0,AC10/$Y10)</f>
        <v>0.34859612882907565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4.0933232357774518E-2</v>
      </c>
      <c r="AD10" s="125">
        <f>IF($Y10=0,0,AE10/$Y10)</f>
        <v>0.31811492959601745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3.7354035953783005E-2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2.9355770885399722E-2</v>
      </c>
      <c r="AJ10" s="120">
        <f t="shared" si="14"/>
        <v>4.0034523793907942E-2</v>
      </c>
      <c r="AK10" s="119">
        <f t="shared" si="15"/>
        <v>1.8677017976891502E-2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1</v>
      </c>
      <c r="H11" s="24">
        <f t="shared" si="1"/>
        <v>1</v>
      </c>
      <c r="I11" s="22">
        <f t="shared" si="2"/>
        <v>6.0095961145703619E-2</v>
      </c>
      <c r="J11" s="24">
        <f t="shared" si="3"/>
        <v>6.0095961145703619E-2</v>
      </c>
      <c r="K11" s="22">
        <f t="shared" si="4"/>
        <v>6.0095961145703619E-2</v>
      </c>
      <c r="L11" s="22">
        <f t="shared" si="5"/>
        <v>6.0095961145703619E-2</v>
      </c>
      <c r="M11" s="224">
        <f t="shared" si="6"/>
        <v>6.0095961145703619E-2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20624.04</v>
      </c>
      <c r="T11" s="222">
        <f>IF($B$81=0,0,(SUMIF($N$6:$N$28,$U11,M$6:M$28)+SUMIF($N$91:$N$118,$U11,M$91:M$118))*$I$83*Poor!$B$81/$B$81)</f>
        <v>20639.773920798962</v>
      </c>
      <c r="U11" s="223">
        <v>5</v>
      </c>
      <c r="V11" s="56"/>
      <c r="W11" s="115"/>
      <c r="X11" s="118">
        <f>Poor!X11</f>
        <v>1</v>
      </c>
      <c r="Y11" s="184">
        <f t="shared" si="9"/>
        <v>0.24038384458281448</v>
      </c>
      <c r="Z11" s="125">
        <f>IF($Y11=0,0,AA11/$Y11)</f>
        <v>0.33328894157490691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8.0117277132713161E-2</v>
      </c>
      <c r="AB11" s="125">
        <f>IF($Y11=0,0,AC11/$Y11)</f>
        <v>0.34859612882907559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8.3796877654619281E-2</v>
      </c>
      <c r="AD11" s="125">
        <f>IF($Y11=0,0,AE11/$Y11)</f>
        <v>0.3181149295960175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7.6469689795482035E-2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6.0095961145703619E-2</v>
      </c>
      <c r="AJ11" s="120">
        <f t="shared" si="14"/>
        <v>8.1957077393666228E-2</v>
      </c>
      <c r="AK11" s="119">
        <f t="shared" si="15"/>
        <v>3.8234844897741017E-2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1</v>
      </c>
      <c r="H12" s="24">
        <f t="shared" si="1"/>
        <v>1</v>
      </c>
      <c r="I12" s="22">
        <f t="shared" si="2"/>
        <v>1.877021170610212E-2</v>
      </c>
      <c r="J12" s="24">
        <f t="shared" si="3"/>
        <v>4.5063335558362559E-3</v>
      </c>
      <c r="K12" s="22">
        <f t="shared" si="4"/>
        <v>4.6925529265255299E-3</v>
      </c>
      <c r="L12" s="22">
        <f t="shared" si="5"/>
        <v>4.6925529265255299E-3</v>
      </c>
      <c r="M12" s="224">
        <f t="shared" si="6"/>
        <v>4.5063335558362559E-3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1.8025334223345024E-2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1.2076973929641166E-2</v>
      </c>
      <c r="AF12" s="122">
        <f>1-SUM(Z12,AB12,AD12)</f>
        <v>0.32999999999999996</v>
      </c>
      <c r="AG12" s="121">
        <f>$M12*AF12*4</f>
        <v>5.948360293703857E-3</v>
      </c>
      <c r="AH12" s="123">
        <f t="shared" si="12"/>
        <v>1</v>
      </c>
      <c r="AI12" s="184">
        <f t="shared" si="13"/>
        <v>4.5063335558362559E-3</v>
      </c>
      <c r="AJ12" s="120">
        <f t="shared" si="14"/>
        <v>0</v>
      </c>
      <c r="AK12" s="119">
        <f t="shared" si="15"/>
        <v>9.0126671116725118E-3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1</v>
      </c>
      <c r="H13" s="24">
        <f t="shared" si="1"/>
        <v>1</v>
      </c>
      <c r="I13" s="22">
        <f t="shared" si="2"/>
        <v>1.4234077210460772E-2</v>
      </c>
      <c r="J13" s="24">
        <f t="shared" si="3"/>
        <v>1.4234077210460772E-2</v>
      </c>
      <c r="K13" s="22">
        <f t="shared" si="4"/>
        <v>1.4234077210460772E-2</v>
      </c>
      <c r="L13" s="22">
        <f t="shared" si="5"/>
        <v>1.4234077210460772E-2</v>
      </c>
      <c r="M13" s="225">
        <f t="shared" si="6"/>
        <v>1.4234077210460772E-2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5.6936308841843086E-2</v>
      </c>
      <c r="Z13" s="156">
        <f>Poor!Z13</f>
        <v>1</v>
      </c>
      <c r="AA13" s="121">
        <f>$M13*Z13*4</f>
        <v>5.6936308841843086E-2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1.4234077210460772E-2</v>
      </c>
      <c r="AJ13" s="120">
        <f t="shared" si="14"/>
        <v>2.8468154420921543E-2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1</v>
      </c>
      <c r="F14" s="22"/>
      <c r="H14" s="24">
        <f t="shared" si="1"/>
        <v>1</v>
      </c>
      <c r="I14" s="22">
        <f t="shared" si="2"/>
        <v>8.9158505603985048E-3</v>
      </c>
      <c r="J14" s="24">
        <f>IF(I$32&lt;=1+I131,I14,B14*H14+J$33*(I14-B14*H14))</f>
        <v>8.9158505603985048E-3</v>
      </c>
      <c r="K14" s="22">
        <f t="shared" si="4"/>
        <v>8.9158505603985048E-3</v>
      </c>
      <c r="L14" s="22">
        <f t="shared" si="5"/>
        <v>8.9158505603985048E-3</v>
      </c>
      <c r="M14" s="225">
        <f t="shared" si="6"/>
        <v>8.9158505603985048E-3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231091.20000000004</v>
      </c>
      <c r="T14" s="222">
        <f>IF($B$81=0,0,(SUMIF($N$6:$N$28,$U14,M$6:M$28)+SUMIF($N$91:$N$118,$U14,M$91:M$118))*$I$83*Poor!$B$81/$B$81)</f>
        <v>231091.20000000004</v>
      </c>
      <c r="U14" s="223">
        <v>8</v>
      </c>
      <c r="V14" s="56"/>
      <c r="W14" s="110"/>
      <c r="X14" s="118"/>
      <c r="Y14" s="184">
        <f>M14*4</f>
        <v>3.5663402241594019E-2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3.5663402241594019E-2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8.9158505603985048E-3</v>
      </c>
      <c r="AJ14" s="120">
        <f t="shared" si="14"/>
        <v>1.783170112079701E-2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1</v>
      </c>
      <c r="F15" s="22"/>
      <c r="H15" s="24">
        <f t="shared" si="1"/>
        <v>1</v>
      </c>
      <c r="I15" s="22">
        <f t="shared" si="2"/>
        <v>6.943414146948941E-2</v>
      </c>
      <c r="J15" s="24">
        <f>IF(I$32&lt;=1+I131,I15,B15*H15+J$33*(I15-B15*H15))</f>
        <v>6.943414146948941E-2</v>
      </c>
      <c r="K15" s="22">
        <f t="shared" si="4"/>
        <v>6.943414146948941E-2</v>
      </c>
      <c r="L15" s="22">
        <f t="shared" si="5"/>
        <v>6.943414146948941E-2</v>
      </c>
      <c r="M15" s="226">
        <f t="shared" si="6"/>
        <v>6.943414146948941E-2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0.27773656587795764</v>
      </c>
      <c r="Z15" s="156">
        <f>Poor!Z15</f>
        <v>0.25</v>
      </c>
      <c r="AA15" s="121">
        <f t="shared" si="16"/>
        <v>6.943414146948941E-2</v>
      </c>
      <c r="AB15" s="156">
        <f>Poor!AB15</f>
        <v>0.25</v>
      </c>
      <c r="AC15" s="121">
        <f t="shared" si="7"/>
        <v>6.943414146948941E-2</v>
      </c>
      <c r="AD15" s="156">
        <f>Poor!AD15</f>
        <v>0.25</v>
      </c>
      <c r="AE15" s="121">
        <f t="shared" si="8"/>
        <v>6.943414146948941E-2</v>
      </c>
      <c r="AF15" s="122">
        <f t="shared" si="10"/>
        <v>0.25</v>
      </c>
      <c r="AG15" s="121">
        <f t="shared" si="11"/>
        <v>6.943414146948941E-2</v>
      </c>
      <c r="AH15" s="123">
        <f t="shared" si="12"/>
        <v>1</v>
      </c>
      <c r="AI15" s="184">
        <f t="shared" si="13"/>
        <v>6.943414146948941E-2</v>
      </c>
      <c r="AJ15" s="120">
        <f t="shared" si="14"/>
        <v>6.943414146948941E-2</v>
      </c>
      <c r="AK15" s="119">
        <f t="shared" si="15"/>
        <v>6.943414146948941E-2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5744.7613357879327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11439.756455696202</v>
      </c>
      <c r="T20" s="222">
        <f>IF($B$81=0,0,(SUMIF($N$6:$N$28,$U20,M$6:M$28)+SUMIF($N$91:$N$118,$U20,M$91:M$118))*$I$83*Poor!$B$81/$B$81)</f>
        <v>11439.756455696202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363511.22066525975</v>
      </c>
      <c r="T23" s="179">
        <f>SUM(T7:T22)</f>
        <v>363493.0044842037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5.5470637251033905E-2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5.5470637251033905E-2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0.22188254900413562</v>
      </c>
      <c r="Z27" s="156">
        <f>Poor!Z27</f>
        <v>0.25</v>
      </c>
      <c r="AA27" s="121">
        <f t="shared" si="16"/>
        <v>5.5470637251033905E-2</v>
      </c>
      <c r="AB27" s="156">
        <f>Poor!AB27</f>
        <v>0.25</v>
      </c>
      <c r="AC27" s="121">
        <f t="shared" si="7"/>
        <v>5.5470637251033905E-2</v>
      </c>
      <c r="AD27" s="156">
        <f>Poor!AD27</f>
        <v>0.25</v>
      </c>
      <c r="AE27" s="121">
        <f t="shared" si="8"/>
        <v>5.5470637251033905E-2</v>
      </c>
      <c r="AF27" s="122">
        <f t="shared" si="10"/>
        <v>0.25</v>
      </c>
      <c r="AG27" s="121">
        <f t="shared" si="11"/>
        <v>5.5470637251033905E-2</v>
      </c>
      <c r="AH27" s="123">
        <f t="shared" si="12"/>
        <v>1</v>
      </c>
      <c r="AI27" s="184">
        <f t="shared" si="13"/>
        <v>5.5470637251033905E-2</v>
      </c>
      <c r="AJ27" s="120">
        <f t="shared" si="14"/>
        <v>5.5470637251033905E-2</v>
      </c>
      <c r="AK27" s="119">
        <f t="shared" si="15"/>
        <v>5.5470637251033905E-2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0.32434321365667435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0.32434321365667435</v>
      </c>
      <c r="N29" s="229"/>
      <c r="P29" s="22"/>
      <c r="V29" s="56"/>
      <c r="W29" s="110"/>
      <c r="X29" s="118"/>
      <c r="Y29" s="184">
        <f t="shared" si="9"/>
        <v>1.2973728546266974</v>
      </c>
      <c r="Z29" s="156">
        <f>Poor!Z29</f>
        <v>0.25</v>
      </c>
      <c r="AA29" s="121">
        <f t="shared" si="16"/>
        <v>0.32434321365667435</v>
      </c>
      <c r="AB29" s="156">
        <f>Poor!AB29</f>
        <v>0.25</v>
      </c>
      <c r="AC29" s="121">
        <f t="shared" si="7"/>
        <v>0.32434321365667435</v>
      </c>
      <c r="AD29" s="156">
        <f>Poor!AD29</f>
        <v>0.25</v>
      </c>
      <c r="AE29" s="121">
        <f t="shared" si="8"/>
        <v>0.32434321365667435</v>
      </c>
      <c r="AF29" s="122">
        <f t="shared" si="10"/>
        <v>0.25</v>
      </c>
      <c r="AG29" s="121">
        <f t="shared" si="11"/>
        <v>0.32434321365667435</v>
      </c>
      <c r="AH29" s="123">
        <f t="shared" si="12"/>
        <v>1</v>
      </c>
      <c r="AI29" s="184">
        <f t="shared" si="13"/>
        <v>0.32434321365667435</v>
      </c>
      <c r="AJ29" s="120">
        <f t="shared" si="14"/>
        <v>0.32434321365667435</v>
      </c>
      <c r="AK29" s="119">
        <f t="shared" si="15"/>
        <v>0.32434321365667435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26.123585938697655</v>
      </c>
      <c r="J30" s="231">
        <f>IF(I$32&lt;=1,I30,1-SUM(J6:J29))</f>
        <v>6.5765459247310698E-2</v>
      </c>
      <c r="K30" s="22">
        <f t="shared" si="4"/>
        <v>0.58156372602739725</v>
      </c>
      <c r="L30" s="22">
        <f>IF(L124=L119,0,IF(K30="",0,(L119-L124)/(B119-B124)*K30))</f>
        <v>0.34458701651178125</v>
      </c>
      <c r="M30" s="175">
        <f t="shared" si="6"/>
        <v>6.5765459247310698E-2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0.26306183698924279</v>
      </c>
      <c r="Z30" s="122">
        <f>IF($Y30=0,0,AA30/($Y$30))</f>
        <v>-8.4407760344998746E-16</v>
      </c>
      <c r="AA30" s="188">
        <f>IF(AA79*4/$I$83+SUM(AA6:AA29)&lt;1,AA79*4/$I$83,1-SUM(AA6:AA29))</f>
        <v>-2.2204460492503131E-16</v>
      </c>
      <c r="AB30" s="122">
        <f>IF($Y30=0,0,AC30/($Y$30))</f>
        <v>-8.4407760344998746E-16</v>
      </c>
      <c r="AC30" s="188">
        <f>IF(AC79*4/$I$83+SUM(AC6:AC29)&lt;1,AC79*4/$I$83,1-SUM(AC6:AC29))</f>
        <v>-2.2204460492503131E-16</v>
      </c>
      <c r="AD30" s="122">
        <f>IF($Y30=0,0,AE30/($Y$30))</f>
        <v>0.14109275086348935</v>
      </c>
      <c r="AE30" s="188">
        <f>IF(AE79*4/$I$83+SUM(AE6:AE29)&lt;1,AE79*4/$I$83,1-SUM(AE6:AE29))</f>
        <v>3.7116118228015083E-2</v>
      </c>
      <c r="AF30" s="122">
        <f>IF($Y30=0,0,AG30/($Y$30))</f>
        <v>0.85890724913651151</v>
      </c>
      <c r="AG30" s="188">
        <f>IF(AG79*4/$I$83+SUM(AG6:AG29)&lt;1,AG79*4/$I$83,1-SUM(AG6:AG29))</f>
        <v>0.22594571876122793</v>
      </c>
      <c r="AH30" s="123">
        <f t="shared" si="12"/>
        <v>0.99999999999999911</v>
      </c>
      <c r="AI30" s="184">
        <f t="shared" si="13"/>
        <v>6.5765459247310643E-2</v>
      </c>
      <c r="AJ30" s="120">
        <f t="shared" si="14"/>
        <v>-2.2204460492503131E-16</v>
      </c>
      <c r="AK30" s="119">
        <f t="shared" si="15"/>
        <v>0.13153091849462151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-0.28233859459812427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27.327215611608096</v>
      </c>
      <c r="J32" s="17"/>
      <c r="L32" s="22">
        <f>SUM(L6:L30)</f>
        <v>1.2823385945981243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-1.3228007128531574E-2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566.4</v>
      </c>
      <c r="J37" s="38">
        <f>J91*I$83</f>
        <v>566.4</v>
      </c>
      <c r="K37" s="40">
        <f t="shared" ref="K37:K52" si="28">(B37/B$65)</f>
        <v>1.9984417213919272E-3</v>
      </c>
      <c r="L37" s="22">
        <f t="shared" ref="L37:L52" si="29">(K37*H37)</f>
        <v>1.8865289849939791E-3</v>
      </c>
      <c r="M37" s="24">
        <f t="shared" ref="M37:M52" si="30">J37/B$65</f>
        <v>1.8865289849939793E-3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566.4</v>
      </c>
      <c r="AH37" s="123">
        <f>SUM(Z37,AB37,AD37,AF37)</f>
        <v>1</v>
      </c>
      <c r="AI37" s="112">
        <f>SUM(AA37,AC37,AE37,AG37)</f>
        <v>566.4</v>
      </c>
      <c r="AJ37" s="148">
        <f>(AA37+AC37)</f>
        <v>0</v>
      </c>
      <c r="AK37" s="147">
        <f>(AE37+AG37)</f>
        <v>566.4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11328</v>
      </c>
      <c r="J38" s="38">
        <f t="shared" ref="J38:J64" si="33">J92*I$83</f>
        <v>11328</v>
      </c>
      <c r="K38" s="40">
        <f t="shared" si="28"/>
        <v>3.9968834427838544E-2</v>
      </c>
      <c r="L38" s="22">
        <f t="shared" si="29"/>
        <v>3.7730579699879585E-2</v>
      </c>
      <c r="M38" s="24">
        <f t="shared" si="30"/>
        <v>3.7730579699879585E-2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11328</v>
      </c>
      <c r="AH38" s="123">
        <f t="shared" ref="AH38:AI58" si="35">SUM(Z38,AB38,AD38,AF38)</f>
        <v>1</v>
      </c>
      <c r="AI38" s="112">
        <f t="shared" si="35"/>
        <v>11328</v>
      </c>
      <c r="AJ38" s="148">
        <f t="shared" ref="AJ38:AJ64" si="36">(AA38+AC38)</f>
        <v>0</v>
      </c>
      <c r="AK38" s="147">
        <f t="shared" ref="AK38:AK64" si="37">(AE38+AG38)</f>
        <v>11328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2973.6</v>
      </c>
      <c r="J39" s="38">
        <f t="shared" si="33"/>
        <v>3977.9116006658001</v>
      </c>
      <c r="K39" s="40">
        <f t="shared" si="28"/>
        <v>1.398909204974349E-2</v>
      </c>
      <c r="L39" s="22">
        <f t="shared" si="29"/>
        <v>1.3205702894957854E-2</v>
      </c>
      <c r="M39" s="24">
        <f t="shared" si="30"/>
        <v>1.3249374177965796E-2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0.33328894157490691</v>
      </c>
      <c r="AA39" s="147">
        <f>$J39*Z39</f>
        <v>1325.7939470644483</v>
      </c>
      <c r="AB39" s="122">
        <f>AB8</f>
        <v>0.34859612882907559</v>
      </c>
      <c r="AC39" s="147">
        <f>$J39*AB39</f>
        <v>1386.6845848163696</v>
      </c>
      <c r="AD39" s="122">
        <f>AD8</f>
        <v>0.3181149295960175</v>
      </c>
      <c r="AE39" s="147">
        <f>$J39*AD39</f>
        <v>1265.4330687849822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3977.9116006658005</v>
      </c>
      <c r="AJ39" s="148">
        <f t="shared" si="36"/>
        <v>2712.4785318808181</v>
      </c>
      <c r="AK39" s="147">
        <f t="shared" si="37"/>
        <v>1265.4330687849822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849.59999999999991</v>
      </c>
      <c r="J40" s="38">
        <f t="shared" si="33"/>
        <v>849.6</v>
      </c>
      <c r="K40" s="40">
        <f t="shared" si="28"/>
        <v>2.9976625820878908E-3</v>
      </c>
      <c r="L40" s="22">
        <f t="shared" si="29"/>
        <v>2.8297934774909688E-3</v>
      </c>
      <c r="M40" s="24">
        <f t="shared" si="30"/>
        <v>2.8297934774909692E-3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0.33328894157490696</v>
      </c>
      <c r="AA40" s="147">
        <f>$J40*Z40</f>
        <v>283.16228476204094</v>
      </c>
      <c r="AB40" s="122">
        <f>AB9</f>
        <v>0.34859612882907565</v>
      </c>
      <c r="AC40" s="147">
        <f>$J40*AB40</f>
        <v>296.16727105318267</v>
      </c>
      <c r="AD40" s="122">
        <f>AD9</f>
        <v>0.31811492959601745</v>
      </c>
      <c r="AE40" s="147">
        <f>$J40*AD40</f>
        <v>270.27044418477641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849.59999999999991</v>
      </c>
      <c r="AJ40" s="148">
        <f t="shared" si="36"/>
        <v>579.32955581522356</v>
      </c>
      <c r="AK40" s="147">
        <f t="shared" si="37"/>
        <v>270.27044418477641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0.33328894157490691</v>
      </c>
      <c r="AA41" s="147">
        <f>$J41*Z41</f>
        <v>159.27878517864801</v>
      </c>
      <c r="AB41" s="122">
        <f>AB11</f>
        <v>0.34859612882907559</v>
      </c>
      <c r="AC41" s="147">
        <f>$J41*AB41</f>
        <v>166.59408996741524</v>
      </c>
      <c r="AD41" s="122">
        <f>AD11</f>
        <v>0.3181149295960175</v>
      </c>
      <c r="AE41" s="147">
        <f>$J41*AD41</f>
        <v>152.02712485393678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477.90000000000009</v>
      </c>
      <c r="AJ41" s="148">
        <f t="shared" si="36"/>
        <v>325.87287514606328</v>
      </c>
      <c r="AK41" s="147">
        <f t="shared" si="37"/>
        <v>152.02712485393678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1.0900000000000001</v>
      </c>
      <c r="F42" s="75">
        <f>Middle!F42</f>
        <v>1.4</v>
      </c>
      <c r="G42" s="22">
        <f t="shared" si="32"/>
        <v>1.65</v>
      </c>
      <c r="H42" s="24">
        <f t="shared" si="26"/>
        <v>1.526</v>
      </c>
      <c r="I42" s="39">
        <f t="shared" si="27"/>
        <v>0</v>
      </c>
      <c r="J42" s="38">
        <f t="shared" si="33"/>
        <v>1391.5673449903252</v>
      </c>
      <c r="K42" s="40">
        <f t="shared" si="28"/>
        <v>2.9976625820878908E-3</v>
      </c>
      <c r="L42" s="22">
        <f t="shared" si="29"/>
        <v>4.5744331002661211E-3</v>
      </c>
      <c r="M42" s="24">
        <f t="shared" si="30"/>
        <v>4.6349437339254325E-3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347.8918362475813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695.78367249516259</v>
      </c>
      <c r="AF42" s="122">
        <f t="shared" si="31"/>
        <v>0.25</v>
      </c>
      <c r="AG42" s="147">
        <f t="shared" si="34"/>
        <v>347.8918362475813</v>
      </c>
      <c r="AH42" s="123">
        <f t="shared" si="35"/>
        <v>1</v>
      </c>
      <c r="AI42" s="112">
        <f t="shared" si="35"/>
        <v>1391.5673449903252</v>
      </c>
      <c r="AJ42" s="148">
        <f t="shared" si="36"/>
        <v>347.8918362475813</v>
      </c>
      <c r="AK42" s="147">
        <f t="shared" si="37"/>
        <v>1043.6755087427439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336</v>
      </c>
      <c r="J43" s="38">
        <f t="shared" si="33"/>
        <v>208.333271101805</v>
      </c>
      <c r="K43" s="40">
        <f t="shared" si="28"/>
        <v>4.996104303479818E-4</v>
      </c>
      <c r="L43" s="22">
        <f t="shared" si="29"/>
        <v>6.9945460248717448E-4</v>
      </c>
      <c r="M43" s="24">
        <f t="shared" si="30"/>
        <v>6.9390316820650368E-4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52.083317775451249</v>
      </c>
      <c r="AB43" s="156">
        <f>Poor!AB43</f>
        <v>0.25</v>
      </c>
      <c r="AC43" s="147">
        <f t="shared" si="39"/>
        <v>52.083317775451249</v>
      </c>
      <c r="AD43" s="156">
        <f>Poor!AD43</f>
        <v>0.25</v>
      </c>
      <c r="AE43" s="147">
        <f t="shared" si="40"/>
        <v>52.083317775451249</v>
      </c>
      <c r="AF43" s="122">
        <f t="shared" si="31"/>
        <v>0.25</v>
      </c>
      <c r="AG43" s="147">
        <f t="shared" si="34"/>
        <v>52.083317775451249</v>
      </c>
      <c r="AH43" s="123">
        <f t="shared" si="35"/>
        <v>1</v>
      </c>
      <c r="AI43" s="112">
        <f t="shared" si="35"/>
        <v>208.333271101805</v>
      </c>
      <c r="AJ43" s="148">
        <f t="shared" si="36"/>
        <v>104.1666355509025</v>
      </c>
      <c r="AK43" s="147">
        <f t="shared" si="37"/>
        <v>104.1666355509025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2127.7788149699163</v>
      </c>
      <c r="K44" s="40">
        <f t="shared" si="28"/>
        <v>4.996104303479818E-3</v>
      </c>
      <c r="L44" s="22">
        <f t="shared" si="29"/>
        <v>6.9945460248717443E-3</v>
      </c>
      <c r="M44" s="24">
        <f t="shared" si="30"/>
        <v>7.0870699295495906E-3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531.94470374247908</v>
      </c>
      <c r="AB44" s="156">
        <f>Poor!AB44</f>
        <v>0.25</v>
      </c>
      <c r="AC44" s="147">
        <f t="shared" si="39"/>
        <v>531.94470374247908</v>
      </c>
      <c r="AD44" s="156">
        <f>Poor!AD44</f>
        <v>0.25</v>
      </c>
      <c r="AE44" s="147">
        <f t="shared" si="40"/>
        <v>531.94470374247908</v>
      </c>
      <c r="AF44" s="122">
        <f t="shared" si="31"/>
        <v>0.25</v>
      </c>
      <c r="AG44" s="147">
        <f t="shared" si="34"/>
        <v>531.94470374247908</v>
      </c>
      <c r="AH44" s="123">
        <f t="shared" si="35"/>
        <v>1</v>
      </c>
      <c r="AI44" s="112">
        <f t="shared" si="35"/>
        <v>2127.7788149699163</v>
      </c>
      <c r="AJ44" s="148">
        <f t="shared" si="36"/>
        <v>1063.8894074849582</v>
      </c>
      <c r="AK44" s="147">
        <f t="shared" si="37"/>
        <v>1063.8894074849582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210</v>
      </c>
      <c r="J45" s="38">
        <f t="shared" si="33"/>
        <v>209.99999999999997</v>
      </c>
      <c r="K45" s="40">
        <f t="shared" si="28"/>
        <v>4.996104303479818E-4</v>
      </c>
      <c r="L45" s="22">
        <f t="shared" si="29"/>
        <v>6.9945460248717448E-4</v>
      </c>
      <c r="M45" s="24">
        <f t="shared" si="30"/>
        <v>6.9945460248717448E-4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52.499999999999993</v>
      </c>
      <c r="AB45" s="156">
        <f>Poor!AB45</f>
        <v>0.25</v>
      </c>
      <c r="AC45" s="147">
        <f t="shared" si="39"/>
        <v>52.499999999999993</v>
      </c>
      <c r="AD45" s="156">
        <f>Poor!AD45</f>
        <v>0.25</v>
      </c>
      <c r="AE45" s="147">
        <f t="shared" si="40"/>
        <v>52.499999999999993</v>
      </c>
      <c r="AF45" s="122">
        <f t="shared" si="31"/>
        <v>0.25</v>
      </c>
      <c r="AG45" s="147">
        <f t="shared" si="34"/>
        <v>52.499999999999993</v>
      </c>
      <c r="AH45" s="123">
        <f t="shared" si="35"/>
        <v>1</v>
      </c>
      <c r="AI45" s="112">
        <f t="shared" si="35"/>
        <v>209.99999999999997</v>
      </c>
      <c r="AJ45" s="148">
        <f t="shared" si="36"/>
        <v>104.99999999999999</v>
      </c>
      <c r="AK45" s="147">
        <f t="shared" si="37"/>
        <v>104.99999999999999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9800</v>
      </c>
      <c r="J46" s="38">
        <f t="shared" si="33"/>
        <v>9800</v>
      </c>
      <c r="K46" s="40">
        <f t="shared" si="28"/>
        <v>2.3315153416239152E-2</v>
      </c>
      <c r="L46" s="22">
        <f t="shared" si="29"/>
        <v>3.2641214782734809E-2</v>
      </c>
      <c r="M46" s="24">
        <f t="shared" si="30"/>
        <v>3.2641214782734809E-2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2450</v>
      </c>
      <c r="AB46" s="156">
        <f>Poor!AB46</f>
        <v>0.25</v>
      </c>
      <c r="AC46" s="147">
        <f t="shared" si="39"/>
        <v>2450</v>
      </c>
      <c r="AD46" s="156">
        <f>Poor!AD46</f>
        <v>0.25</v>
      </c>
      <c r="AE46" s="147">
        <f t="shared" si="40"/>
        <v>2450</v>
      </c>
      <c r="AF46" s="122">
        <f t="shared" si="31"/>
        <v>0.25</v>
      </c>
      <c r="AG46" s="147">
        <f t="shared" si="34"/>
        <v>2450</v>
      </c>
      <c r="AH46" s="123">
        <f t="shared" si="35"/>
        <v>1</v>
      </c>
      <c r="AI46" s="112">
        <f t="shared" si="35"/>
        <v>9800</v>
      </c>
      <c r="AJ46" s="148">
        <f t="shared" si="36"/>
        <v>4900</v>
      </c>
      <c r="AK46" s="147">
        <f t="shared" si="37"/>
        <v>4900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4900</v>
      </c>
      <c r="J47" s="38">
        <f t="shared" si="33"/>
        <v>4900</v>
      </c>
      <c r="K47" s="40">
        <f t="shared" si="28"/>
        <v>1.1657576708119576E-2</v>
      </c>
      <c r="L47" s="22">
        <f t="shared" si="29"/>
        <v>1.6320607391367405E-2</v>
      </c>
      <c r="M47" s="24">
        <f t="shared" si="30"/>
        <v>1.6320607391367405E-2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1225</v>
      </c>
      <c r="AB47" s="156">
        <f>Poor!AB47</f>
        <v>0.25</v>
      </c>
      <c r="AC47" s="147">
        <f t="shared" si="39"/>
        <v>1225</v>
      </c>
      <c r="AD47" s="156">
        <f>Poor!AD47</f>
        <v>0.25</v>
      </c>
      <c r="AE47" s="147">
        <f t="shared" si="40"/>
        <v>1225</v>
      </c>
      <c r="AF47" s="122">
        <f t="shared" si="31"/>
        <v>0.25</v>
      </c>
      <c r="AG47" s="147">
        <f t="shared" si="34"/>
        <v>1225</v>
      </c>
      <c r="AH47" s="123">
        <f t="shared" si="35"/>
        <v>1</v>
      </c>
      <c r="AI47" s="112">
        <f t="shared" si="35"/>
        <v>4900</v>
      </c>
      <c r="AJ47" s="148">
        <f t="shared" si="36"/>
        <v>2450</v>
      </c>
      <c r="AK47" s="147">
        <f t="shared" si="37"/>
        <v>2450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280</v>
      </c>
      <c r="J48" s="38">
        <f t="shared" si="33"/>
        <v>280</v>
      </c>
      <c r="K48" s="40">
        <f t="shared" si="28"/>
        <v>6.6614724046397573E-4</v>
      </c>
      <c r="L48" s="22">
        <f t="shared" si="29"/>
        <v>9.3260613664956601E-4</v>
      </c>
      <c r="M48" s="24">
        <f t="shared" si="30"/>
        <v>9.3260613664956601E-4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70</v>
      </c>
      <c r="AB48" s="156">
        <f>Poor!AB48</f>
        <v>0.25</v>
      </c>
      <c r="AC48" s="147">
        <f t="shared" si="39"/>
        <v>70</v>
      </c>
      <c r="AD48" s="156">
        <f>Poor!AD48</f>
        <v>0.25</v>
      </c>
      <c r="AE48" s="147">
        <f t="shared" si="40"/>
        <v>70</v>
      </c>
      <c r="AF48" s="122">
        <f t="shared" si="31"/>
        <v>0.25</v>
      </c>
      <c r="AG48" s="147">
        <f t="shared" si="34"/>
        <v>70</v>
      </c>
      <c r="AH48" s="123">
        <f t="shared" si="35"/>
        <v>1</v>
      </c>
      <c r="AI48" s="112">
        <f t="shared" si="35"/>
        <v>280</v>
      </c>
      <c r="AJ48" s="148">
        <f t="shared" si="36"/>
        <v>140</v>
      </c>
      <c r="AK48" s="147">
        <f t="shared" si="37"/>
        <v>140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350</v>
      </c>
      <c r="J49" s="38">
        <f t="shared" si="33"/>
        <v>350</v>
      </c>
      <c r="K49" s="40">
        <f t="shared" si="28"/>
        <v>8.3268405057996967E-4</v>
      </c>
      <c r="L49" s="22">
        <f t="shared" si="29"/>
        <v>1.1657576708119575E-3</v>
      </c>
      <c r="M49" s="24">
        <f t="shared" si="30"/>
        <v>1.1657576708119575E-3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87.5</v>
      </c>
      <c r="AB49" s="156">
        <f>Poor!AB49</f>
        <v>0.25</v>
      </c>
      <c r="AC49" s="147">
        <f t="shared" si="39"/>
        <v>87.5</v>
      </c>
      <c r="AD49" s="156">
        <f>Poor!AD49</f>
        <v>0.25</v>
      </c>
      <c r="AE49" s="147">
        <f t="shared" si="40"/>
        <v>87.5</v>
      </c>
      <c r="AF49" s="122">
        <f t="shared" si="31"/>
        <v>0.25</v>
      </c>
      <c r="AG49" s="147">
        <f t="shared" si="34"/>
        <v>87.5</v>
      </c>
      <c r="AH49" s="123">
        <f t="shared" si="35"/>
        <v>1</v>
      </c>
      <c r="AI49" s="112">
        <f t="shared" si="35"/>
        <v>350</v>
      </c>
      <c r="AJ49" s="148">
        <f t="shared" si="36"/>
        <v>175</v>
      </c>
      <c r="AK49" s="147">
        <f t="shared" si="37"/>
        <v>175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0.8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0.94399999999999995</v>
      </c>
      <c r="I53" s="39">
        <f t="shared" ref="I53:I64" si="42">D53*H53</f>
        <v>192576</v>
      </c>
      <c r="J53" s="38">
        <f t="shared" si="33"/>
        <v>192576.00000000003</v>
      </c>
      <c r="K53" s="40">
        <f t="shared" ref="K53:K64" si="43">(B53/B$65)</f>
        <v>0.67947018527325531</v>
      </c>
      <c r="L53" s="22">
        <f t="shared" ref="L53:L64" si="44">(K53*H53)</f>
        <v>0.64141985489795295</v>
      </c>
      <c r="M53" s="24">
        <f t="shared" ref="M53:M64" si="45">J53/B$65</f>
        <v>0.64141985489795306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4787.30111315661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1.5945237128996974E-2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9533.1303797468354</v>
      </c>
      <c r="J56" s="38">
        <f t="shared" si="33"/>
        <v>9533.1303797468354</v>
      </c>
      <c r="K56" s="40">
        <f t="shared" si="43"/>
        <v>2.6908764811235799E-2</v>
      </c>
      <c r="L56" s="22">
        <f t="shared" si="44"/>
        <v>3.1752342477258243E-2</v>
      </c>
      <c r="M56" s="24">
        <f t="shared" si="45"/>
        <v>3.1752342477258236E-2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293494.23037974688</v>
      </c>
      <c r="J65" s="39">
        <f>SUM(J37:J64)</f>
        <v>296917.52252463135</v>
      </c>
      <c r="K65" s="40">
        <f>SUM(K37:K64)</f>
        <v>1</v>
      </c>
      <c r="L65" s="22">
        <f>SUM(L37:L64)</f>
        <v>0.9888050836309914</v>
      </c>
      <c r="M65" s="24">
        <f>SUM(M37:M64)</f>
        <v>0.98895394137591763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16575.154874770651</v>
      </c>
      <c r="AB65" s="137"/>
      <c r="AC65" s="153">
        <f>SUM(AC37:AC64)</f>
        <v>16308.473967354899</v>
      </c>
      <c r="AD65" s="137"/>
      <c r="AE65" s="153">
        <f>SUM(AE37:AE64)</f>
        <v>16842.54233183679</v>
      </c>
      <c r="AF65" s="137"/>
      <c r="AG65" s="153">
        <f>SUM(AG37:AG64)</f>
        <v>26701.319857765513</v>
      </c>
      <c r="AH65" s="137"/>
      <c r="AI65" s="153">
        <f>SUM(AI37:AI64)</f>
        <v>76427.491031727855</v>
      </c>
      <c r="AJ65" s="153">
        <f>SUM(AJ37:AJ64)</f>
        <v>32883.628842125552</v>
      </c>
      <c r="AK65" s="153">
        <f>SUM(AK37:AK64)</f>
        <v>43543.862189602303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282397.23093991342</v>
      </c>
      <c r="J74" s="51">
        <f>J128*I$83</f>
        <v>710.92780395898956</v>
      </c>
      <c r="K74" s="40">
        <f>B74/B$76</f>
        <v>1.26905734201907E-2</v>
      </c>
      <c r="L74" s="22">
        <f>(L128*G$37*F$9/F$7)/B$130</f>
        <v>1.240700021513034E-2</v>
      </c>
      <c r="M74" s="24">
        <f>J74/B$76</f>
        <v>2.3679129738819762E-3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-6.0007823699166641E-13</v>
      </c>
      <c r="AB74" s="156"/>
      <c r="AC74" s="147">
        <f>AC30*$I$83/4</f>
        <v>-6.0007823699166641E-13</v>
      </c>
      <c r="AD74" s="156"/>
      <c r="AE74" s="147">
        <f>AE30*$I$83/4</f>
        <v>100.30675952591332</v>
      </c>
      <c r="AF74" s="156"/>
      <c r="AG74" s="147">
        <f>AG30*$I$83/4</f>
        <v>610.62104443307692</v>
      </c>
      <c r="AH74" s="155"/>
      <c r="AI74" s="147">
        <f>SUM(AA74,AC74,AE74,AG74)</f>
        <v>710.92780395898899</v>
      </c>
      <c r="AJ74" s="148">
        <f>(AA74+AC74)</f>
        <v>-1.2001564739833328E-12</v>
      </c>
      <c r="AK74" s="147">
        <f>(AE74+AG74)</f>
        <v>710.92780395899024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201162.42861417215</v>
      </c>
      <c r="K75" s="40">
        <f>B75/B$76</f>
        <v>0.72395446065450009</v>
      </c>
      <c r="L75" s="22">
        <f>(L129*G$37*F$9/F$7)/B$130</f>
        <v>0.65983103854563718</v>
      </c>
      <c r="M75" s="24">
        <f>J75/B$76</f>
        <v>0.67001898353181144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13800.905014812286</v>
      </c>
      <c r="AB75" s="158"/>
      <c r="AC75" s="149">
        <f>AA75+AC65-SUM(AC70,AC74)</f>
        <v>27335.129122208822</v>
      </c>
      <c r="AD75" s="158"/>
      <c r="AE75" s="149">
        <f>AC75+AE65-SUM(AE70,AE74)</f>
        <v>41303.11483456134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64619.563787935404</v>
      </c>
      <c r="AJ75" s="151">
        <f>AJ76-SUM(AJ70,AJ74)</f>
        <v>27335.129122208822</v>
      </c>
      <c r="AK75" s="149">
        <f>AJ75+AK76-SUM(AK70,AK74)</f>
        <v>64619.563787935411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293494.23037974688</v>
      </c>
      <c r="J76" s="51">
        <f>J130*I$83</f>
        <v>296917.52252463129</v>
      </c>
      <c r="K76" s="40">
        <f>SUM(K70:K75)</f>
        <v>0.90648402989286547</v>
      </c>
      <c r="L76" s="22">
        <f>SUM(L70:L75)</f>
        <v>0.87845623890457281</v>
      </c>
      <c r="M76" s="24">
        <f>SUM(M70:M75)</f>
        <v>0.87860509664949871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16575.154874770651</v>
      </c>
      <c r="AB76" s="137"/>
      <c r="AC76" s="153">
        <f>AC65</f>
        <v>16308.473967354899</v>
      </c>
      <c r="AD76" s="137"/>
      <c r="AE76" s="153">
        <f>AE65</f>
        <v>16842.54233183679</v>
      </c>
      <c r="AF76" s="137"/>
      <c r="AG76" s="153">
        <f>AG65</f>
        <v>26701.319857765513</v>
      </c>
      <c r="AH76" s="137"/>
      <c r="AI76" s="153">
        <f>SUM(AA76,AC76,AE76,AG76)</f>
        <v>76427.491031727855</v>
      </c>
      <c r="AJ76" s="154">
        <f>SUM(AA76,AC76)</f>
        <v>32883.628842125552</v>
      </c>
      <c r="AK76" s="154">
        <f>SUM(AE76,AG76)</f>
        <v>43543.862189602303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12669.266666666701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13800.905014812286</v>
      </c>
      <c r="AD78" s="112"/>
      <c r="AE78" s="112">
        <f>AC75</f>
        <v>27335.129122208822</v>
      </c>
      <c r="AF78" s="112"/>
      <c r="AG78" s="112">
        <f>AE75</f>
        <v>41303.11483456134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13800.905014812286</v>
      </c>
      <c r="AB79" s="112"/>
      <c r="AC79" s="112">
        <f>AA79-AA74+AC65-AC70</f>
        <v>27335.129122208818</v>
      </c>
      <c r="AD79" s="112"/>
      <c r="AE79" s="112">
        <f>AC79-AC74+AE65-AE70</f>
        <v>41403.421594087245</v>
      </c>
      <c r="AF79" s="112"/>
      <c r="AG79" s="112">
        <f>AE79-AE74+AG65-AG70</f>
        <v>65230.184832368483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0.57212121212121214</v>
      </c>
      <c r="I91" s="22">
        <f t="shared" ref="I91" si="52">(D91*H91)</f>
        <v>5.2395694626434314E-2</v>
      </c>
      <c r="J91" s="24">
        <f>IF(I$32&lt;=1+I$131,I91,L91+J$33*(I91-L91))</f>
        <v>5.2395694626434314E-2</v>
      </c>
      <c r="K91" s="22">
        <f t="shared" ref="K91" si="53">(B91)</f>
        <v>9.1581457768661667E-2</v>
      </c>
      <c r="L91" s="22">
        <f t="shared" ref="L91" si="54">(K91*H91)</f>
        <v>5.2395694626434314E-2</v>
      </c>
      <c r="M91" s="227">
        <f t="shared" si="50"/>
        <v>5.2395694626434314E-2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0.57212121212121214</v>
      </c>
      <c r="I92" s="22">
        <f t="shared" ref="I92:I118" si="59">(D92*H92)</f>
        <v>1.0479138925286864</v>
      </c>
      <c r="J92" s="24">
        <f t="shared" ref="J92:J118" si="60">IF(I$32&lt;=1+I$131,I92,L92+J$33*(I92-L92))</f>
        <v>1.0479138925286864</v>
      </c>
      <c r="K92" s="22">
        <f t="shared" ref="K92:K118" si="61">(B92)</f>
        <v>1.8316291553732336</v>
      </c>
      <c r="L92" s="22">
        <f t="shared" ref="L92:L118" si="62">(K92*H92)</f>
        <v>1.0479138925286864</v>
      </c>
      <c r="M92" s="227">
        <f t="shared" ref="M92:M118" si="63">(J92)</f>
        <v>1.0479138925286864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0.57212121212121214</v>
      </c>
      <c r="I93" s="22">
        <f t="shared" si="59"/>
        <v>0.27507739678878018</v>
      </c>
      <c r="J93" s="24">
        <f t="shared" si="60"/>
        <v>0.36798277097358012</v>
      </c>
      <c r="K93" s="22">
        <f t="shared" si="61"/>
        <v>0.64107020438063167</v>
      </c>
      <c r="L93" s="22">
        <f t="shared" si="62"/>
        <v>0.36676986238504017</v>
      </c>
      <c r="M93" s="227">
        <f t="shared" si="63"/>
        <v>0.36798277097358012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0.57212121212121214</v>
      </c>
      <c r="I94" s="22">
        <f t="shared" si="59"/>
        <v>7.8593541939651471E-2</v>
      </c>
      <c r="J94" s="24">
        <f t="shared" si="60"/>
        <v>7.8593541939651471E-2</v>
      </c>
      <c r="K94" s="22">
        <f t="shared" si="61"/>
        <v>0.1373721866529925</v>
      </c>
      <c r="L94" s="22">
        <f t="shared" si="62"/>
        <v>7.8593541939651471E-2</v>
      </c>
      <c r="M94" s="227">
        <f t="shared" si="63"/>
        <v>7.8593541939651471E-2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0.92484848484848492</v>
      </c>
      <c r="I96" s="22">
        <f t="shared" si="59"/>
        <v>0</v>
      </c>
      <c r="J96" s="24">
        <f t="shared" si="60"/>
        <v>0.12872905660351527</v>
      </c>
      <c r="K96" s="22">
        <f t="shared" si="61"/>
        <v>0.1373721866529925</v>
      </c>
      <c r="L96" s="22">
        <f t="shared" si="62"/>
        <v>0.12704845868634337</v>
      </c>
      <c r="M96" s="227">
        <f t="shared" si="63"/>
        <v>0.12872905660351527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0.84848484848484851</v>
      </c>
      <c r="I97" s="22">
        <f t="shared" si="59"/>
        <v>3.1082191727545779E-2</v>
      </c>
      <c r="J97" s="24">
        <f t="shared" si="60"/>
        <v>1.9272186534562724E-2</v>
      </c>
      <c r="K97" s="22">
        <f t="shared" si="61"/>
        <v>2.2895364442165417E-2</v>
      </c>
      <c r="L97" s="22">
        <f t="shared" si="62"/>
        <v>1.9426369829716111E-2</v>
      </c>
      <c r="M97" s="227">
        <f t="shared" si="63"/>
        <v>1.9272186534562724E-2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0.19683341988305089</v>
      </c>
      <c r="K98" s="22">
        <f t="shared" si="61"/>
        <v>0.2289536444216542</v>
      </c>
      <c r="L98" s="22">
        <f t="shared" si="62"/>
        <v>0.19426369829716114</v>
      </c>
      <c r="M98" s="227">
        <f t="shared" si="63"/>
        <v>0.19683341988305089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0.84848484848484851</v>
      </c>
      <c r="I99" s="22">
        <f t="shared" si="59"/>
        <v>1.9426369829716111E-2</v>
      </c>
      <c r="J99" s="24">
        <f t="shared" si="60"/>
        <v>1.9426369829716111E-2</v>
      </c>
      <c r="K99" s="22">
        <f t="shared" si="61"/>
        <v>2.2895364442165417E-2</v>
      </c>
      <c r="L99" s="22">
        <f t="shared" si="62"/>
        <v>1.9426369829716111E-2</v>
      </c>
      <c r="M99" s="227">
        <f t="shared" si="63"/>
        <v>1.9426369829716111E-2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0.84848484848484851</v>
      </c>
      <c r="I100" s="22">
        <f t="shared" si="59"/>
        <v>0.9065639253867519</v>
      </c>
      <c r="J100" s="24">
        <f t="shared" si="60"/>
        <v>0.9065639253867519</v>
      </c>
      <c r="K100" s="22">
        <f t="shared" si="61"/>
        <v>1.0684503406343862</v>
      </c>
      <c r="L100" s="22">
        <f t="shared" si="62"/>
        <v>0.9065639253867519</v>
      </c>
      <c r="M100" s="227">
        <f t="shared" si="63"/>
        <v>0.9065639253867519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0.84848484848484851</v>
      </c>
      <c r="I101" s="22">
        <f t="shared" si="59"/>
        <v>0.45328196269337595</v>
      </c>
      <c r="J101" s="24">
        <f t="shared" si="60"/>
        <v>0.45328196269337595</v>
      </c>
      <c r="K101" s="22">
        <f t="shared" si="61"/>
        <v>0.53422517031719308</v>
      </c>
      <c r="L101" s="22">
        <f t="shared" si="62"/>
        <v>0.45328196269337595</v>
      </c>
      <c r="M101" s="227">
        <f t="shared" si="63"/>
        <v>0.45328196269337595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0.84848484848484851</v>
      </c>
      <c r="I102" s="22">
        <f t="shared" si="59"/>
        <v>2.5901826439621484E-2</v>
      </c>
      <c r="J102" s="24">
        <f t="shared" si="60"/>
        <v>2.5901826439621484E-2</v>
      </c>
      <c r="K102" s="22">
        <f t="shared" si="61"/>
        <v>3.052715258955389E-2</v>
      </c>
      <c r="L102" s="22">
        <f t="shared" si="62"/>
        <v>2.5901826439621484E-2</v>
      </c>
      <c r="M102" s="227">
        <f t="shared" si="63"/>
        <v>2.5901826439621484E-2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0.84848484848484851</v>
      </c>
      <c r="I103" s="22">
        <f t="shared" si="59"/>
        <v>3.2377283049526855E-2</v>
      </c>
      <c r="J103" s="24">
        <f t="shared" si="60"/>
        <v>3.2377283049526855E-2</v>
      </c>
      <c r="K103" s="22">
        <f t="shared" si="61"/>
        <v>3.8158940736942364E-2</v>
      </c>
      <c r="L103" s="22">
        <f t="shared" si="62"/>
        <v>3.2377283049526855E-2</v>
      </c>
      <c r="M103" s="227">
        <f t="shared" si="63"/>
        <v>3.2377283049526855E-2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0.67272727272727284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0.57212121212121214</v>
      </c>
      <c r="I107" s="22">
        <f t="shared" si="59"/>
        <v>17.814536172987669</v>
      </c>
      <c r="J107" s="24">
        <f t="shared" si="60"/>
        <v>17.814536172987669</v>
      </c>
      <c r="K107" s="22">
        <f t="shared" si="61"/>
        <v>31.137695641344969</v>
      </c>
      <c r="L107" s="22">
        <f t="shared" si="62"/>
        <v>17.814536172987669</v>
      </c>
      <c r="M107" s="227">
        <f t="shared" si="63"/>
        <v>17.814536172987669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0.44285658052567589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0.44285658052567589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0.7151515151515152</v>
      </c>
      <c r="I110" s="22">
        <f t="shared" si="59"/>
        <v>0.88187674472316213</v>
      </c>
      <c r="J110" s="24">
        <f t="shared" si="60"/>
        <v>0.88187674472316213</v>
      </c>
      <c r="K110" s="22">
        <f t="shared" si="61"/>
        <v>1.2331327362654385</v>
      </c>
      <c r="L110" s="22">
        <f t="shared" si="62"/>
        <v>0.88187674472316213</v>
      </c>
      <c r="M110" s="227">
        <f t="shared" si="63"/>
        <v>0.88187674472316213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27.150130772594594</v>
      </c>
      <c r="J119" s="24">
        <f>SUM(J91:J118)</f>
        <v>27.466807626126435</v>
      </c>
      <c r="K119" s="22">
        <f>SUM(K91:K118)</f>
        <v>45.826434060271026</v>
      </c>
      <c r="L119" s="22">
        <f>SUM(L91:L118)</f>
        <v>27.462673311197825</v>
      </c>
      <c r="M119" s="57">
        <f t="shared" si="50"/>
        <v>27.466807626126435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26.123585938697655</v>
      </c>
      <c r="J128" s="228">
        <f>(J30)</f>
        <v>6.5765459247310698E-2</v>
      </c>
      <c r="K128" s="22">
        <f>(B128)</f>
        <v>0.58156372602739725</v>
      </c>
      <c r="L128" s="22">
        <f>IF(L124=L119,0,(L119-L124)/(B119-B124)*K128)</f>
        <v>0.34458701651178125</v>
      </c>
      <c r="M128" s="57">
        <f t="shared" si="90"/>
        <v>6.5765459247310698E-2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18.608836829060834</v>
      </c>
      <c r="K129" s="29">
        <f>(B129)</f>
        <v>33.176251353822522</v>
      </c>
      <c r="L129" s="60">
        <f>IF(SUM(L124:L128)&gt;L130,0,L130-SUM(L124:L128))</f>
        <v>18.325880956867756</v>
      </c>
      <c r="M129" s="57">
        <f t="shared" si="90"/>
        <v>18.608836829060834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27.150130772594594</v>
      </c>
      <c r="J130" s="228">
        <f>(J119)</f>
        <v>27.466807626126435</v>
      </c>
      <c r="K130" s="22">
        <f>(B130)</f>
        <v>45.826434060271026</v>
      </c>
      <c r="L130" s="22">
        <f>(L119)</f>
        <v>27.462673311197825</v>
      </c>
      <c r="M130" s="57">
        <f t="shared" si="90"/>
        <v>27.466807626126435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1.1719898082760096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7" workbookViewId="0">
      <selection activeCell="T64" sqref="T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2479.7642564489815</v>
      </c>
      <c r="G72" s="109">
        <f>Poor!T7</f>
        <v>3837.3928987798586</v>
      </c>
      <c r="H72" s="109">
        <f>Middle!T7</f>
        <v>3798.7222256385307</v>
      </c>
      <c r="I72" s="109">
        <f>Rich!T7</f>
        <v>5766.3874010626987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210</v>
      </c>
      <c r="I73" s="109">
        <f>Rich!T8</f>
        <v>23121.215317274455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76.618490455458769</v>
      </c>
      <c r="H74" s="109">
        <f>Middle!T9</f>
        <v>837.48413429336836</v>
      </c>
      <c r="I74" s="109">
        <f>Rich!T9</f>
        <v>1425.5900535833887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631.29999999999995</v>
      </c>
      <c r="G76" s="109">
        <f>Poor!T11</f>
        <v>2688.04</v>
      </c>
      <c r="H76" s="109">
        <f>Middle!T11</f>
        <v>8039.6161656537406</v>
      </c>
      <c r="I76" s="109">
        <f>Rich!T11</f>
        <v>20639.773920798962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777.38181797539949</v>
      </c>
      <c r="G77" s="109">
        <f>Poor!T12</f>
        <v>774.9837668901788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6671.1000000000013</v>
      </c>
      <c r="G78" s="109">
        <f>Poor!T13</f>
        <v>13375.500000000002</v>
      </c>
      <c r="H78" s="109">
        <f>Middle!T13</f>
        <v>2650.5066238978993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33984</v>
      </c>
      <c r="I79" s="109">
        <f>Rich!T14</f>
        <v>231091.20000000004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2946.0827818379416</v>
      </c>
      <c r="G81" s="109">
        <f>Poor!T16</f>
        <v>3347.1245708036863</v>
      </c>
      <c r="H81" s="109">
        <f>Middle!T16</f>
        <v>2866.0814510186297</v>
      </c>
      <c r="I81" s="109">
        <f>Rich!T16</f>
        <v>5744.7613357879327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23577.471809784471</v>
      </c>
      <c r="G85" s="109">
        <f>Poor!T20</f>
        <v>23577.471809784471</v>
      </c>
      <c r="H85" s="109">
        <f>Middle!T20</f>
        <v>9533.1303797468372</v>
      </c>
      <c r="I85" s="109">
        <f>Rich!T20</f>
        <v>11439.756455696202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41275.990046476931</v>
      </c>
      <c r="G88" s="109">
        <f>Poor!T23</f>
        <v>54187.216536325461</v>
      </c>
      <c r="H88" s="109">
        <f>Middle!T23</f>
        <v>95356.340980249021</v>
      </c>
      <c r="I88" s="109">
        <f>Rich!T23</f>
        <v>363493.0044842037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0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21850.709391846314</v>
      </c>
      <c r="G100" s="239">
        <f t="shared" si="0"/>
        <v>8939.4829019977842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2016-08-09T18:20:39Z</dcterms:modified>
  <cp:category/>
</cp:coreProperties>
</file>