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E52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E52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E52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<sst xmlns="http://schemas.openxmlformats.org/spreadsheetml/2006/main" count="790" uniqueCount="145">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</sst>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3.58453507425166E-5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0.0288797626608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0.183038098485907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0.401592125306916</c:v>
                </c:pt>
                <c:pt idx="2" formatCode="0.0%">
                  <c:v>0.404671788618584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621272"/>
        <c:axId val="-2039624824"/>
      </c:barChart>
      <c:catAx>
        <c:axId val="-20396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2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62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0.0148416239350313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0.0323818358630034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284168"/>
        <c:axId val="-2036273112"/>
      </c:barChart>
      <c:catAx>
        <c:axId val="-203128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7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27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28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0.0132493741779658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0.00457443310026612</c:v>
                </c:pt>
                <c:pt idx="2">
                  <c:v>0.00463494373392543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0.000693903168206503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0.00708706992954959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0.015945237128997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143704"/>
        <c:axId val="-2040343960"/>
      </c:barChart>
      <c:catAx>
        <c:axId val="-214514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34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4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143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0.0230413625567963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0.0873796059253457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876136"/>
        <c:axId val="-2034012184"/>
      </c:barChart>
      <c:catAx>
        <c:axId val="-203387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1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1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87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Non-Affected Area without Grants</a:t>
            </a:r>
          </a:p>
        </c:rich>
      </c:tx>
      <c:layout>
        <c:manualLayout>
          <c:xMode val="edge"/>
          <c:yMode val="edge"/>
          <c:x val="0.302900874437327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5766.387401062698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23121.21531727445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631.3</c:v>
                </c:pt>
                <c:pt idx="5">
                  <c:v>2688.04</c:v>
                </c:pt>
                <c:pt idx="6">
                  <c:v>8039.61616565374</c:v>
                </c:pt>
                <c:pt idx="7">
                  <c:v>20639.77392079896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777.3818179753994</c:v>
                </c:pt>
                <c:pt idx="5">
                  <c:v>774.9837668901788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2650.506623897899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2946.082781837942</c:v>
                </c:pt>
                <c:pt idx="5">
                  <c:v>3347.124570803686</c:v>
                </c:pt>
                <c:pt idx="6">
                  <c:v>2866.08145101863</c:v>
                </c:pt>
                <c:pt idx="7">
                  <c:v>5744.761335787932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247864"/>
        <c:axId val="-2033260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247864"/>
        <c:axId val="-2033260776"/>
      </c:lineChart>
      <c:catAx>
        <c:axId val="-203324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26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26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24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580856"/>
        <c:axId val="-2033587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80856"/>
        <c:axId val="-2033587448"/>
      </c:lineChart>
      <c:catAx>
        <c:axId val="-203358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58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58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5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678536"/>
        <c:axId val="-20372053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78536"/>
        <c:axId val="-2037205368"/>
      </c:lineChart>
      <c:catAx>
        <c:axId val="21206785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20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20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7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0.345483233946136</c:v>
                </c:pt>
                <c:pt idx="2">
                  <c:v>0.34652639916162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0.116883265376444</c:v>
                </c:pt>
                <c:pt idx="2">
                  <c:v>0.117779600442408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399240"/>
        <c:axId val="-2038395896"/>
      </c:barChart>
      <c:catAx>
        <c:axId val="-203839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39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39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39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0.298903192912679</c:v>
                </c:pt>
                <c:pt idx="2">
                  <c:v>0.298903192912679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0.0569636784545655</c:v>
                </c:pt>
                <c:pt idx="2">
                  <c:v>0.0691942421454937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360424"/>
        <c:axId val="-2036564616"/>
      </c:barChart>
      <c:catAx>
        <c:axId val="-21413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56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56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6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0.659831038545637</c:v>
                </c:pt>
                <c:pt idx="2">
                  <c:v>0.670018983531811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92360"/>
        <c:axId val="-2033304088"/>
      </c:barChart>
      <c:catAx>
        <c:axId val="-203329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30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30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29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0.103507527315784</c:v>
                </c:pt>
                <c:pt idx="2">
                  <c:v>0.0784680307025772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0.166678059776056</c:v>
                </c:pt>
                <c:pt idx="2">
                  <c:v>0.194319985141963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-0.347410770915802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757096"/>
        <c:axId val="-2033769512"/>
      </c:barChart>
      <c:catAx>
        <c:axId val="-203375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76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76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75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0.120467130203126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0.0233622300516488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0.228608923499306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0.35530037652811</c:v>
                </c:pt>
                <c:pt idx="2" formatCode="0.0%">
                  <c:v>0.27016227436132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274344"/>
        <c:axId val="-2040312104"/>
      </c:barChart>
      <c:catAx>
        <c:axId val="-204027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1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1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27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083848"/>
        <c:axId val="-20341048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083848"/>
        <c:axId val="-20341048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083848"/>
        <c:axId val="-2034104808"/>
      </c:scatterChart>
      <c:catAx>
        <c:axId val="-203408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104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4104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083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99656"/>
        <c:axId val="-21411404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99656"/>
        <c:axId val="-2141140456"/>
      </c:lineChart>
      <c:catAx>
        <c:axId val="2083199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140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140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99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854792"/>
        <c:axId val="-20412007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568504"/>
        <c:axId val="-2041274024"/>
      </c:scatterChart>
      <c:valAx>
        <c:axId val="-20408547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200728"/>
        <c:crosses val="autoZero"/>
        <c:crossBetween val="midCat"/>
      </c:valAx>
      <c:valAx>
        <c:axId val="-2041200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854792"/>
        <c:crosses val="autoZero"/>
        <c:crossBetween val="midCat"/>
      </c:valAx>
      <c:valAx>
        <c:axId val="-20415685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1274024"/>
        <c:crosses val="autoZero"/>
        <c:crossBetween val="midCat"/>
      </c:valAx>
      <c:valAx>
        <c:axId val="-20412740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5685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566376"/>
        <c:axId val="-20177296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66376"/>
        <c:axId val="-2017729608"/>
      </c:lineChart>
      <c:catAx>
        <c:axId val="-201756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29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729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566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0.216314905785646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0.0293557708853997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0.00450633355583625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0.0554706372510339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0.324343213656674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0.344587016511781</c:v>
                </c:pt>
                <c:pt idx="2" formatCode="0.0%">
                  <c:v>0.0657654592473107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118344"/>
        <c:axId val="-2044643528"/>
      </c:barChart>
      <c:catAx>
        <c:axId val="213311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64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64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11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4.01902756865564E-5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0.0203097379451319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0.00609281224029939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0.194164484287547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0.433215924230312</c:v>
                </c:pt>
                <c:pt idx="2" formatCode="0.0%">
                  <c:v>0.505060546497851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419576"/>
        <c:axId val="-2041656328"/>
      </c:barChart>
      <c:catAx>
        <c:axId val="-203841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5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5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1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0.113565536053437</c:v>
                </c:pt>
                <c:pt idx="1">
                  <c:v>0.0531011306132295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0.257714606373319</c:v>
                </c:pt>
                <c:pt idx="1">
                  <c:v>0.12050255253079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0.0966347616588794</c:v>
                </c:pt>
                <c:pt idx="1">
                  <c:v>0.0451846156761143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0.180657265821839</c:v>
                </c:pt>
                <c:pt idx="1">
                  <c:v>0.0844719745268535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0.000143381402970066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0.183038098485907</c:v>
                </c:pt>
                <c:pt idx="1">
                  <c:v>0.183038098485907</c:v>
                </c:pt>
                <c:pt idx="2">
                  <c:v>0.183038098485907</c:v>
                </c:pt>
                <c:pt idx="3">
                  <c:v>0.183038098485907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0.345311896560487</c:v>
                </c:pt>
                <c:pt idx="2">
                  <c:v>0.648572169907475</c:v>
                </c:pt>
                <c:pt idx="3">
                  <c:v>0.624803088006373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976424"/>
        <c:axId val="-2038316024"/>
      </c:barChart>
      <c:catAx>
        <c:axId val="-2031976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31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31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97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0.0121856244805988</c:v>
                </c:pt>
                <c:pt idx="3">
                  <c:v>0.0121856244805988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0.194164484287547</c:v>
                </c:pt>
                <c:pt idx="1">
                  <c:v>0.194164484287547</c:v>
                </c:pt>
                <c:pt idx="2">
                  <c:v>0.194164484287547</c:v>
                </c:pt>
                <c:pt idx="3">
                  <c:v>0.194164484287547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-0.0176717415946845</c:v>
                </c:pt>
                <c:pt idx="1">
                  <c:v>-0.212336301491506</c:v>
                </c:pt>
                <c:pt idx="2">
                  <c:v>-0.212336301491506</c:v>
                </c:pt>
                <c:pt idx="3">
                  <c:v>-0.212336301491506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215080"/>
        <c:axId val="-2031379624"/>
      </c:barChart>
      <c:catAx>
        <c:axId val="-21392150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37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13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21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0.0945227961864375</c:v>
                </c:pt>
                <c:pt idx="1">
                  <c:v>0.0721438704802291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0.292501173479781</c:v>
                </c:pt>
                <c:pt idx="1">
                  <c:v>0.223249497753095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0.0804309845947386</c:v>
                </c:pt>
                <c:pt idx="1">
                  <c:v>0.0613883927402552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0.0317436257214897</c:v>
                </c:pt>
                <c:pt idx="1">
                  <c:v>0.0242281027965676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0.141717531970957</c:v>
                </c:pt>
                <c:pt idx="1">
                  <c:v>0.0850497939234067</c:v>
                </c:pt>
                <c:pt idx="2">
                  <c:v>0.113383662947182</c:v>
                </c:pt>
                <c:pt idx="3">
                  <c:v>0.141717531970957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0.228608923499306</c:v>
                </c:pt>
                <c:pt idx="1">
                  <c:v>0.228608923499306</c:v>
                </c:pt>
                <c:pt idx="2">
                  <c:v>0.228608923499306</c:v>
                </c:pt>
                <c:pt idx="3">
                  <c:v>0.228608923499306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0.16886041440929</c:v>
                </c:pt>
                <c:pt idx="2">
                  <c:v>0.52303802609215</c:v>
                </c:pt>
                <c:pt idx="3">
                  <c:v>0.388750656943842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50440"/>
        <c:axId val="2119044312"/>
      </c:barChart>
      <c:catAx>
        <c:axId val="-204165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44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904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65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0.0555481569291511</c:v>
                </c:pt>
                <c:pt idx="1">
                  <c:v>0.0580993548048459</c:v>
                </c:pt>
                <c:pt idx="2">
                  <c:v>0.0530191549326696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0.288381463984695</c:v>
                </c:pt>
                <c:pt idx="1">
                  <c:v>0.30162615505961</c:v>
                </c:pt>
                <c:pt idx="2">
                  <c:v>0.27525200409828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0.0391358152300414</c:v>
                </c:pt>
                <c:pt idx="1">
                  <c:v>0.0409332323577745</c:v>
                </c:pt>
                <c:pt idx="2">
                  <c:v>0.037354035953783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0.0801172771327131</c:v>
                </c:pt>
                <c:pt idx="1">
                  <c:v>0.0837968776546193</c:v>
                </c:pt>
                <c:pt idx="2">
                  <c:v>0.076469689795482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0.0120769739296412</c:v>
                </c:pt>
                <c:pt idx="3">
                  <c:v>0.00594836029370386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0.324343213656674</c:v>
                </c:pt>
                <c:pt idx="1">
                  <c:v>0.324343213656674</c:v>
                </c:pt>
                <c:pt idx="2">
                  <c:v>0.324343213656674</c:v>
                </c:pt>
                <c:pt idx="3">
                  <c:v>0.324343213656674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0.0371161182280151</c:v>
                </c:pt>
                <c:pt idx="3">
                  <c:v>0.225945718761228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377752"/>
        <c:axId val="-2035646936"/>
      </c:barChart>
      <c:catAx>
        <c:axId val="-20313777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646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564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37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0.0173776166077904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0.075098305055277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945864"/>
        <c:axId val="-2031336552"/>
      </c:barChart>
      <c:catAx>
        <c:axId val="-203694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33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33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94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631.29999999999995</v>
      </c>
      <c r="T11" s="222">
        <f>IF($B$81=0,0,(SUMIF($N$6:$N$28,$U11,M$6:M$28)+SUMIF($N$91:$N$118,$U11,M$91:M$118))*$I$83*Poor!$B$81/$B$81)</f>
        <v>631.29999999999995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777.38181797539949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4.0190275686556367E-5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4.0190275686556367E-5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2946.0827818379416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41187.725446663586</v>
      </c>
      <c r="T23" s="179">
        <f>SUM(T7:T22)</f>
        <v>41275.990046476931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2.0309737945131939E-2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2.0309737945131939E-2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8.1238951780527757E-2</v>
      </c>
      <c r="Z27" s="156">
        <f>Poor!Z27</f>
        <v>0.25</v>
      </c>
      <c r="AA27" s="121">
        <f t="shared" si="16"/>
        <v>2.0309737945131939E-2</v>
      </c>
      <c r="AB27" s="156">
        <f>Poor!AB27</f>
        <v>0.25</v>
      </c>
      <c r="AC27" s="121">
        <f t="shared" si="7"/>
        <v>2.0309737945131939E-2</v>
      </c>
      <c r="AD27" s="156">
        <f>Poor!AD27</f>
        <v>0.25</v>
      </c>
      <c r="AE27" s="121">
        <f t="shared" si="8"/>
        <v>2.0309737945131939E-2</v>
      </c>
      <c r="AF27" s="122">
        <f t="shared" si="10"/>
        <v>0.25</v>
      </c>
      <c r="AG27" s="121">
        <f t="shared" si="11"/>
        <v>2.0309737945131939E-2</v>
      </c>
      <c r="AH27" s="123">
        <f t="shared" si="12"/>
        <v>1</v>
      </c>
      <c r="AI27" s="184">
        <f t="shared" si="13"/>
        <v>2.0309737945131939E-2</v>
      </c>
      <c r="AJ27" s="120">
        <f t="shared" si="14"/>
        <v>2.0309737945131939E-2</v>
      </c>
      <c r="AK27" s="119">
        <f t="shared" si="15"/>
        <v>2.0309737945131939E-2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6.0928122402993936E-3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6.0928122402993936E-3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2.4371248961197575E-2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1.2185624480598787E-2</v>
      </c>
      <c r="AF28" s="122">
        <f t="shared" si="10"/>
        <v>0.5</v>
      </c>
      <c r="AG28" s="121">
        <f t="shared" si="11"/>
        <v>1.2185624480598787E-2</v>
      </c>
      <c r="AH28" s="123">
        <f t="shared" si="12"/>
        <v>1</v>
      </c>
      <c r="AI28" s="184">
        <f t="shared" si="13"/>
        <v>6.0928122402993936E-3</v>
      </c>
      <c r="AJ28" s="120">
        <f t="shared" si="14"/>
        <v>0</v>
      </c>
      <c r="AK28" s="119">
        <f t="shared" si="15"/>
        <v>1.2185624480598787E-2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0.19416448428754748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0.19416448428754748</v>
      </c>
      <c r="N29" s="229"/>
      <c r="P29" s="22"/>
      <c r="V29" s="56"/>
      <c r="W29" s="110"/>
      <c r="X29" s="118"/>
      <c r="Y29" s="184">
        <f t="shared" si="9"/>
        <v>0.77665793715018994</v>
      </c>
      <c r="Z29" s="156">
        <f>Poor!Z29</f>
        <v>0.25</v>
      </c>
      <c r="AA29" s="121">
        <f t="shared" si="16"/>
        <v>0.19416448428754748</v>
      </c>
      <c r="AB29" s="156">
        <f>Poor!AB29</f>
        <v>0.25</v>
      </c>
      <c r="AC29" s="121">
        <f t="shared" si="7"/>
        <v>0.19416448428754748</v>
      </c>
      <c r="AD29" s="156">
        <f>Poor!AD29</f>
        <v>0.25</v>
      </c>
      <c r="AE29" s="121">
        <f t="shared" si="8"/>
        <v>0.19416448428754748</v>
      </c>
      <c r="AF29" s="122">
        <f t="shared" si="10"/>
        <v>0.25</v>
      </c>
      <c r="AG29" s="121">
        <f t="shared" si="11"/>
        <v>0.19416448428754748</v>
      </c>
      <c r="AH29" s="123">
        <f t="shared" si="12"/>
        <v>1</v>
      </c>
      <c r="AI29" s="184">
        <f t="shared" si="13"/>
        <v>0.19416448428754748</v>
      </c>
      <c r="AJ29" s="120">
        <f t="shared" si="14"/>
        <v>0.19416448428754748</v>
      </c>
      <c r="AK29" s="119">
        <f t="shared" si="15"/>
        <v>0.19416448428754748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1.933191487418874</v>
      </c>
      <c r="J30" s="231">
        <f>IF(I$32&lt;=1,I30,1-SUM(J6:J29))</f>
        <v>0.5050605464978507</v>
      </c>
      <c r="K30" s="22">
        <f t="shared" si="4"/>
        <v>0.71161696139476982</v>
      </c>
      <c r="L30" s="22">
        <f>IF(L124=L119,0,IF(K30="",0,(L119-L124)/(B119-B124)*K30))</f>
        <v>0.43321592423031208</v>
      </c>
      <c r="M30" s="175">
        <f t="shared" si="6"/>
        <v>0.5050605464978507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2.0202421859914028</v>
      </c>
      <c r="Z30" s="122">
        <f>IF($Y30=0,0,AA30/($Y$30))</f>
        <v>-8.7473381742161835E-3</v>
      </c>
      <c r="AA30" s="188">
        <f>IF(AA79*4/$I$83+SUM(AA6:AA29)&lt;1,AA79*4/$I$83,1-SUM(AA6:AA29))</f>
        <v>-1.7671741594684549E-2</v>
      </c>
      <c r="AB30" s="122">
        <f>IF($Y30=0,0,AC30/($Y$30))</f>
        <v>-0.10510437954611151</v>
      </c>
      <c r="AC30" s="188">
        <f>IF(AC79*4/$I$83+SUM(AC6:AC29)&lt;1,AC79*4/$I$83,1-SUM(AC6:AC29))</f>
        <v>-0.21233630149150642</v>
      </c>
      <c r="AD30" s="122">
        <f>IF($Y30=0,0,AE30/($Y$30))</f>
        <v>-0.10510437954611151</v>
      </c>
      <c r="AE30" s="188">
        <f>IF(AE79*4/$I$83+SUM(AE6:AE29)&lt;1,AE79*4/$I$83,1-SUM(AE6:AE29))</f>
        <v>-0.21233630149150642</v>
      </c>
      <c r="AF30" s="122">
        <f>IF($Y30=0,0,AG30/($Y$30))</f>
        <v>-0.10510437954611151</v>
      </c>
      <c r="AG30" s="188">
        <f>IF(AG79*4/$I$83+SUM(AG6:AG29)&lt;1,AG79*4/$I$83,1-SUM(AG6:AG29))</f>
        <v>-0.21233630149150642</v>
      </c>
      <c r="AH30" s="123">
        <f t="shared" si="12"/>
        <v>-0.32406047681255074</v>
      </c>
      <c r="AI30" s="184">
        <f t="shared" si="13"/>
        <v>-0.16367016151730096</v>
      </c>
      <c r="AJ30" s="120">
        <f t="shared" si="14"/>
        <v>-0.11500402154309548</v>
      </c>
      <c r="AK30" s="119">
        <f t="shared" si="15"/>
        <v>-0.21233630149150642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7.2455356978844088E-2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3.4624855104162688E-2</v>
      </c>
      <c r="AB31" s="131"/>
      <c r="AC31" s="133">
        <f>1-AC32+IF($Y32&lt;0,$Y32/4,0)</f>
        <v>0.88827666234012925</v>
      </c>
      <c r="AD31" s="134"/>
      <c r="AE31" s="133">
        <f>1-AE32+IF($Y32&lt;0,$Y32/4,0)</f>
        <v>0.87609103785953046</v>
      </c>
      <c r="AF31" s="134"/>
      <c r="AG31" s="133">
        <f>1-AG32+IF($Y32&lt;0,$Y32/4,0)</f>
        <v>0.87609103785953046</v>
      </c>
      <c r="AH31" s="123"/>
      <c r="AI31" s="183">
        <f>SUM(AA31,AC31,AE31,AG31)/4</f>
        <v>0.66877089829083824</v>
      </c>
      <c r="AJ31" s="135">
        <f t="shared" si="14"/>
        <v>0.46145075872214597</v>
      </c>
      <c r="AK31" s="136">
        <f t="shared" si="15"/>
        <v>0.87609103785953046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2.4328435776527462</v>
      </c>
      <c r="J32" s="17"/>
      <c r="L32" s="22">
        <f>SUM(L6:L30)</f>
        <v>0.92754464302115591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21938.973991659659</v>
      </c>
      <c r="T32" s="234">
        <f t="shared" si="24"/>
        <v>21850.709391846314</v>
      </c>
      <c r="U32" s="56"/>
      <c r="V32" s="56"/>
      <c r="W32" s="110"/>
      <c r="X32" s="118"/>
      <c r="Y32" s="115">
        <f>SUM(Y6:Y31)</f>
        <v>3.9998392388972537</v>
      </c>
      <c r="Z32" s="137"/>
      <c r="AA32" s="138">
        <f>SUM(AA6:AA30)</f>
        <v>0.96537514489583731</v>
      </c>
      <c r="AB32" s="137"/>
      <c r="AC32" s="139">
        <f>SUM(AC6:AC30)</f>
        <v>0.11172333765987072</v>
      </c>
      <c r="AD32" s="137"/>
      <c r="AE32" s="139">
        <f>SUM(AE6:AE30)</f>
        <v>0.12390896214046951</v>
      </c>
      <c r="AF32" s="137"/>
      <c r="AG32" s="139">
        <f>SUM(AG6:AG30)</f>
        <v>0.12390896214046951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0.11472705180198146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776.86046738021412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2.3041362556796296E-2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194.21511684505353</v>
      </c>
      <c r="AB50" s="156">
        <f>Poor!AB55</f>
        <v>0.25</v>
      </c>
      <c r="AC50" s="147">
        <f t="shared" si="41"/>
        <v>194.21511684505353</v>
      </c>
      <c r="AD50" s="156">
        <f>Poor!AD55</f>
        <v>0.25</v>
      </c>
      <c r="AE50" s="147">
        <f t="shared" si="42"/>
        <v>194.21511684505353</v>
      </c>
      <c r="AF50" s="122">
        <f t="shared" si="29"/>
        <v>0.25</v>
      </c>
      <c r="AG50" s="147">
        <f t="shared" si="36"/>
        <v>194.21511684505353</v>
      </c>
      <c r="AH50" s="123">
        <f t="shared" si="37"/>
        <v>1</v>
      </c>
      <c r="AI50" s="112">
        <f t="shared" si="37"/>
        <v>776.86046738021412</v>
      </c>
      <c r="AJ50" s="148">
        <f t="shared" si="38"/>
        <v>388.43023369010706</v>
      </c>
      <c r="AK50" s="147">
        <f t="shared" si="39"/>
        <v>388.43023369010706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2946.0827818379412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8.737960592534573E-2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38393.871809784468</v>
      </c>
      <c r="J65" s="39">
        <f>SUM(J37:J64)</f>
        <v>37716.815059002627</v>
      </c>
      <c r="K65" s="40">
        <f>SUM(K37:K64)</f>
        <v>1</v>
      </c>
      <c r="L65" s="22">
        <f>SUM(L37:L64)</f>
        <v>1.1160628229272787</v>
      </c>
      <c r="M65" s="24">
        <f>SUM(M37:M64)</f>
        <v>1.1186652516799793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3271.7901168450535</v>
      </c>
      <c r="AB65" s="137"/>
      <c r="AC65" s="153">
        <f>SUM(AC37:AC64)</f>
        <v>2640.4901168450538</v>
      </c>
      <c r="AD65" s="137"/>
      <c r="AE65" s="153">
        <f>SUM(AE37:AE64)</f>
        <v>2640.4901168450538</v>
      </c>
      <c r="AF65" s="137"/>
      <c r="AG65" s="153">
        <f>SUM(AG37:AG64)</f>
        <v>2640.4901168450538</v>
      </c>
      <c r="AH65" s="137"/>
      <c r="AI65" s="153">
        <f>SUM(AI37:AI64)</f>
        <v>11193.260467380216</v>
      </c>
      <c r="AJ65" s="153">
        <f>SUM(AJ37:AJ64)</f>
        <v>5912.2802336901077</v>
      </c>
      <c r="AK65" s="153">
        <f>SUM(AK37:AK64)</f>
        <v>5280.9802336901075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2645.620928699318</v>
      </c>
      <c r="K72" s="40">
        <f t="shared" si="47"/>
        <v>0.61715673819603134</v>
      </c>
      <c r="L72" s="22">
        <f t="shared" si="45"/>
        <v>0.10350752731578418</v>
      </c>
      <c r="M72" s="24">
        <f t="shared" si="48"/>
        <v>7.8468030702577185E-2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25077.472481984318</v>
      </c>
      <c r="J74" s="51">
        <f t="shared" si="44"/>
        <v>6551.6748025031438</v>
      </c>
      <c r="K74" s="40">
        <f>B74/B$76</f>
        <v>0.16593437771979364</v>
      </c>
      <c r="L74" s="22">
        <f t="shared" si="45"/>
        <v>0.16667805977605557</v>
      </c>
      <c r="M74" s="24">
        <f>J74/B$76</f>
        <v>0.19431998514196308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-57.309715104986033</v>
      </c>
      <c r="AB74" s="156"/>
      <c r="AC74" s="147">
        <f>AC30*$I$83/4</f>
        <v>-688.60971510498575</v>
      </c>
      <c r="AD74" s="156"/>
      <c r="AE74" s="147">
        <f>AE30*$I$83/4</f>
        <v>-688.60971510498575</v>
      </c>
      <c r="AF74" s="156"/>
      <c r="AG74" s="147">
        <f>AG30*$I$83/4</f>
        <v>-688.60971510498575</v>
      </c>
      <c r="AH74" s="155"/>
      <c r="AI74" s="147">
        <f>SUM(AA74,AC74,AE74,AG74)</f>
        <v>-2123.1388604199433</v>
      </c>
      <c r="AJ74" s="148">
        <f>(AA74+AC74)</f>
        <v>-745.91943020997178</v>
      </c>
      <c r="AK74" s="147">
        <f>(AE74+AG74)</f>
        <v>-1377.2194302099715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38393.871809784476</v>
      </c>
      <c r="J76" s="51">
        <f t="shared" si="44"/>
        <v>37716.815059002627</v>
      </c>
      <c r="K76" s="40">
        <f>SUM(K70:K75)</f>
        <v>1.4800236614420834</v>
      </c>
      <c r="L76" s="22">
        <f>SUM(L70:L75)</f>
        <v>1.1160628229272789</v>
      </c>
      <c r="M76" s="24">
        <f>SUM(M70:M75)</f>
        <v>1.1186652516799793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3271.7901168450535</v>
      </c>
      <c r="AB76" s="137"/>
      <c r="AC76" s="153">
        <f>AC65</f>
        <v>2640.4901168450538</v>
      </c>
      <c r="AD76" s="137"/>
      <c r="AE76" s="153">
        <f>AE65</f>
        <v>2640.4901168450538</v>
      </c>
      <c r="AF76" s="137"/>
      <c r="AG76" s="153">
        <f>AG65</f>
        <v>2640.4901168450538</v>
      </c>
      <c r="AH76" s="137"/>
      <c r="AI76" s="153">
        <f>SUM(AA76,AC76,AE76,AG76)</f>
        <v>11193.260467380216</v>
      </c>
      <c r="AJ76" s="154">
        <f>SUM(AA76,AC76)</f>
        <v>5912.2802336901077</v>
      </c>
      <c r="AK76" s="154">
        <f>SUM(AE76,AG76)</f>
        <v>5280.9802336901075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-0.34741077091580225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112.28890887403261</v>
      </c>
      <c r="AB77" s="112"/>
      <c r="AC77" s="111">
        <f>AC31*$I$83/4</f>
        <v>2880.6941398709037</v>
      </c>
      <c r="AD77" s="112"/>
      <c r="AE77" s="111">
        <f>AE31*$I$83/4</f>
        <v>2841.1759823866682</v>
      </c>
      <c r="AF77" s="112"/>
      <c r="AG77" s="111">
        <f>AG31*$I$83/4</f>
        <v>2841.1759823866682</v>
      </c>
      <c r="AH77" s="110"/>
      <c r="AI77" s="154">
        <f>SUM(AA77,AC77,AE77,AG77)</f>
        <v>8675.3350135182736</v>
      </c>
      <c r="AJ77" s="153">
        <f>SUM(AA77,AC77)</f>
        <v>2992.9830487449362</v>
      </c>
      <c r="AK77" s="160">
        <f>SUM(AE77,AG77)</f>
        <v>5682.3519647733365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-57.309715104986026</v>
      </c>
      <c r="AB79" s="112"/>
      <c r="AC79" s="112">
        <f>AA79-AA74+AC65-AC70</f>
        <v>-688.60971510498575</v>
      </c>
      <c r="AD79" s="112"/>
      <c r="AE79" s="112">
        <f>AC79-AC74+AE65-AE70</f>
        <v>-688.60971510498575</v>
      </c>
      <c r="AF79" s="112"/>
      <c r="AG79" s="112">
        <f>AE79-AE74+AG65-AG70</f>
        <v>-688.60971510498575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5.9887217243706957E-2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5.9887217243706957E-2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0.22710989551167743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0.22710989551167743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2.9597363213158143</v>
      </c>
      <c r="J119" s="24">
        <f>SUM(J91:J118)</f>
        <v>2.9075428497428217</v>
      </c>
      <c r="K119" s="22">
        <f>SUM(K91:K118)</f>
        <v>4.2885444907410761</v>
      </c>
      <c r="L119" s="22">
        <f>SUM(L91:L118)</f>
        <v>2.9007788306580093</v>
      </c>
      <c r="M119" s="57">
        <f t="shared" si="49"/>
        <v>2.9075428497428217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0.20394766107202367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0.26902826425475013</v>
      </c>
      <c r="M126" s="240">
        <f t="shared" si="66"/>
        <v>0.20394766107202367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1.933191487418874</v>
      </c>
      <c r="J128" s="228">
        <f>(J30)</f>
        <v>0.5050605464978507</v>
      </c>
      <c r="K128" s="29">
        <f>(B128)</f>
        <v>0.71161696139476982</v>
      </c>
      <c r="L128" s="29">
        <f>IF(L124=L119,0,(L119-L124)/(B119-B124)*K128)</f>
        <v>0.43321592423031208</v>
      </c>
      <c r="M128" s="240">
        <f t="shared" si="66"/>
        <v>0.5050605464978507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2.9597363213158143</v>
      </c>
      <c r="J130" s="228">
        <f>(J119)</f>
        <v>2.9075428497428217</v>
      </c>
      <c r="K130" s="29">
        <f>(B130)</f>
        <v>4.2885444907410761</v>
      </c>
      <c r="L130" s="29">
        <f>(L119)</f>
        <v>2.9007788306580093</v>
      </c>
      <c r="M130" s="240">
        <f t="shared" si="66"/>
        <v>2.9075428497428217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0.90296154402125683</v>
      </c>
      <c r="M131" s="237">
        <f>IF(I131&lt;SUM(M126:M127),0,I131-(SUM(M126:M127)))</f>
        <v>0.96804214720398329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0.68139321632062266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0.11356553605343711</v>
      </c>
      <c r="AB8" s="125">
        <f>IF($Y8=0,0,AC8/$Y8)</f>
        <v>0.31860678367937728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5.3101130613229547E-2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0.68139321632062277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0.25771460637331928</v>
      </c>
      <c r="AB9" s="125">
        <f>IF($Y9=0,0,AC9/$Y9)</f>
        <v>0.31860678367937723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0.12050255253079029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0.68139321632062277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9.6634761658879437E-2</v>
      </c>
      <c r="AB10" s="125">
        <f>IF($Y10=0,0,AC10/$Y10)</f>
        <v>0.31860678367937728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4.5184615676114342E-2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2688.04</v>
      </c>
      <c r="T11" s="222">
        <f>IF($B$81=0,0,(SUMIF($N$6:$N$28,$U11,M$6:M$28)+SUMIF($N$91:$N$118,$U11,M$91:M$118))*$I$83*Poor!$B$81/$B$81)</f>
        <v>2688.04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0.68139321632062266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0.18065726582183891</v>
      </c>
      <c r="AB11" s="125">
        <f>IF($Y11=0,0,AC11/$Y11)</f>
        <v>0.31860678367937734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8.4471974526853483E-2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774.9837668901788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3.5845350742516621E-5</v>
      </c>
      <c r="K16" s="22">
        <f t="shared" si="4"/>
        <v>0</v>
      </c>
      <c r="L16" s="22">
        <f t="shared" si="5"/>
        <v>0</v>
      </c>
      <c r="M16" s="224">
        <f t="shared" si="6"/>
        <v>3.5845350742516621E-5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3347.1245708036863</v>
      </c>
      <c r="U16" s="223">
        <v>10</v>
      </c>
      <c r="V16" s="56"/>
      <c r="W16" s="110"/>
      <c r="X16" s="118"/>
      <c r="Y16" s="184">
        <f t="shared" si="9"/>
        <v>1.4338140297006648E-4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1.4338140297006648E-4</v>
      </c>
      <c r="AH16" s="123">
        <f t="shared" si="12"/>
        <v>1</v>
      </c>
      <c r="AI16" s="184">
        <f t="shared" si="13"/>
        <v>3.5845350742516621E-5</v>
      </c>
      <c r="AJ16" s="120">
        <f t="shared" si="14"/>
        <v>0</v>
      </c>
      <c r="AK16" s="119">
        <f t="shared" si="15"/>
        <v>7.1690701485033242E-5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54100.308198631596</v>
      </c>
      <c r="T23" s="179">
        <f>SUM(T7:T22)</f>
        <v>54187.216536325461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2.887976266080005E-2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2.887976266080005E-2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0.1155190506432002</v>
      </c>
      <c r="Z27" s="116">
        <v>0.25</v>
      </c>
      <c r="AA27" s="121">
        <f t="shared" si="16"/>
        <v>2.887976266080005E-2</v>
      </c>
      <c r="AB27" s="116">
        <v>0.25</v>
      </c>
      <c r="AC27" s="121">
        <f t="shared" si="7"/>
        <v>2.887976266080005E-2</v>
      </c>
      <c r="AD27" s="116">
        <v>0.25</v>
      </c>
      <c r="AE27" s="121">
        <f t="shared" si="8"/>
        <v>2.887976266080005E-2</v>
      </c>
      <c r="AF27" s="122">
        <f t="shared" si="10"/>
        <v>0.25</v>
      </c>
      <c r="AG27" s="121">
        <f t="shared" si="11"/>
        <v>2.887976266080005E-2</v>
      </c>
      <c r="AH27" s="123">
        <f t="shared" si="12"/>
        <v>1</v>
      </c>
      <c r="AI27" s="184">
        <f t="shared" si="13"/>
        <v>2.887976266080005E-2</v>
      </c>
      <c r="AJ27" s="120">
        <f t="shared" si="14"/>
        <v>2.887976266080005E-2</v>
      </c>
      <c r="AK27" s="119">
        <f t="shared" si="15"/>
        <v>2.887976266080005E-2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0.18303809848590688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0.18303809848590688</v>
      </c>
      <c r="N29" s="229"/>
      <c r="P29" s="22"/>
      <c r="V29" s="56"/>
      <c r="W29" s="110"/>
      <c r="X29" s="118"/>
      <c r="Y29" s="184">
        <f t="shared" si="9"/>
        <v>0.73215239394362752</v>
      </c>
      <c r="Z29" s="116">
        <v>0.25</v>
      </c>
      <c r="AA29" s="121">
        <f t="shared" si="16"/>
        <v>0.18303809848590688</v>
      </c>
      <c r="AB29" s="116">
        <v>0.25</v>
      </c>
      <c r="AC29" s="121">
        <f t="shared" si="7"/>
        <v>0.18303809848590688</v>
      </c>
      <c r="AD29" s="116">
        <v>0.25</v>
      </c>
      <c r="AE29" s="121">
        <f t="shared" si="8"/>
        <v>0.18303809848590688</v>
      </c>
      <c r="AF29" s="122">
        <f t="shared" si="10"/>
        <v>0.25</v>
      </c>
      <c r="AG29" s="121">
        <f t="shared" si="11"/>
        <v>0.18303809848590688</v>
      </c>
      <c r="AH29" s="123">
        <f t="shared" si="12"/>
        <v>1</v>
      </c>
      <c r="AI29" s="184">
        <f t="shared" si="13"/>
        <v>0.18303809848590688</v>
      </c>
      <c r="AJ29" s="120">
        <f t="shared" si="14"/>
        <v>0.18303809848590688</v>
      </c>
      <c r="AK29" s="119">
        <f t="shared" si="15"/>
        <v>0.18303809848590688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2.8257314239190312</v>
      </c>
      <c r="J30" s="231">
        <f>IF(I$32&lt;=1,I30,1-SUM(J6:J29))</f>
        <v>0.40467178861858366</v>
      </c>
      <c r="K30" s="22">
        <f t="shared" si="4"/>
        <v>0.64870199252802008</v>
      </c>
      <c r="L30" s="22">
        <f>IF(L124=L119,0,IF(K30="",0,(L119-L124)/(B119-B124)*K30))</f>
        <v>0.40159212530691601</v>
      </c>
      <c r="M30" s="175">
        <f t="shared" si="6"/>
        <v>0.40467178861858366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1.6186871544743346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0.21332837269140276</v>
      </c>
      <c r="AC30" s="188">
        <f>IF(AC79*4/$I$83+SUM(AC6:AC29)&lt;1,AC79*4/$I$83,1-SUM(AC6:AC29))</f>
        <v>0.34531189656048711</v>
      </c>
      <c r="AD30" s="122">
        <f>IF($Y30=0,0,AE30/($Y$30))</f>
        <v>0.40067790005913606</v>
      </c>
      <c r="AE30" s="188">
        <f>IF(AE79*4/$I$83+SUM(AE6:AE29)&lt;1,AE79*4/$I$83,1-SUM(AE6:AE29))</f>
        <v>0.64857216990747479</v>
      </c>
      <c r="AF30" s="122">
        <f>IF($Y30=0,0,AG30/($Y$30))</f>
        <v>0.38599372724946118</v>
      </c>
      <c r="AG30" s="188">
        <f>IF(AG79*4/$I$83+SUM(AG6:AG29)&lt;1,AG79*4/$I$83,1-SUM(AG6:AG29))</f>
        <v>0.62480308800637274</v>
      </c>
      <c r="AH30" s="123">
        <f t="shared" si="12"/>
        <v>1</v>
      </c>
      <c r="AI30" s="184">
        <f t="shared" si="13"/>
        <v>0.40467178861858366</v>
      </c>
      <c r="AJ30" s="120">
        <f t="shared" si="14"/>
        <v>0.17265594828024355</v>
      </c>
      <c r="AK30" s="119">
        <f t="shared" si="15"/>
        <v>0.63668762895692377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4.6032409174607825E-3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3.4344257902833863</v>
      </c>
      <c r="J32" s="17"/>
      <c r="L32" s="22">
        <f>SUM(L6:L30)</f>
        <v>0.99539675908253922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9026.3912396916494</v>
      </c>
      <c r="T32" s="234">
        <f t="shared" si="50"/>
        <v>8939.4829019977842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0.10232404085927944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2454.3999999999996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0</v>
      </c>
      <c r="AK37" s="147">
        <f>(AE37+AG37)</f>
        <v>2454.3999999999996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0.68139321632062266</v>
      </c>
      <c r="AA39" s="147">
        <f t="shared" ref="AA39:AA64" si="64">$J39*Z39</f>
        <v>0</v>
      </c>
      <c r="AB39" s="122">
        <f>AB8</f>
        <v>0.31860678367937728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0.68139321632062277</v>
      </c>
      <c r="AA40" s="147">
        <f t="shared" si="64"/>
        <v>0</v>
      </c>
      <c r="AB40" s="122">
        <f>AB9</f>
        <v>0.31860678367937723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0.68139321632062266</v>
      </c>
      <c r="AA41" s="147">
        <f t="shared" si="64"/>
        <v>159.20071106115029</v>
      </c>
      <c r="AB41" s="122">
        <f>AB11</f>
        <v>0.31860678367937734</v>
      </c>
      <c r="AC41" s="147">
        <f t="shared" si="65"/>
        <v>74.439288938849728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774.51877891423203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1.7377616607790448E-2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3347.1245708036868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7.5098305055276982E-2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49971.95180978447</v>
      </c>
      <c r="J65" s="39">
        <f>SUM(J37:J64)</f>
        <v>49213.595159502394</v>
      </c>
      <c r="K65" s="40">
        <f>SUM(K37:K64)</f>
        <v>0.99999999999999989</v>
      </c>
      <c r="L65" s="22">
        <f>SUM(L37:L64)</f>
        <v>1.1022493352323106</v>
      </c>
      <c r="M65" s="24">
        <f>SUM(M37:M64)</f>
        <v>1.104188835513759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7416.3036635072676</v>
      </c>
      <c r="AB65" s="137"/>
      <c r="AC65" s="153">
        <f>SUM(AC37:AC64)</f>
        <v>7331.5422413849674</v>
      </c>
      <c r="AD65" s="137"/>
      <c r="AE65" s="153">
        <f>SUM(AE37:AE64)</f>
        <v>7257.1029524461173</v>
      </c>
      <c r="AF65" s="137"/>
      <c r="AG65" s="153">
        <f>SUM(AG37:AG64)</f>
        <v>9711.5029524461188</v>
      </c>
      <c r="AH65" s="137"/>
      <c r="AI65" s="153">
        <f>SUM(AI37:AI64)</f>
        <v>31716.45180978447</v>
      </c>
      <c r="AJ65" s="153">
        <f>SUM(AJ37:AJ64)</f>
        <v>14747.845904892236</v>
      </c>
      <c r="AK65" s="153">
        <f>SUM(AK37:AK64)</f>
        <v>16968.605904892236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15444.649838797961</v>
      </c>
      <c r="K72" s="40">
        <f t="shared" si="78"/>
        <v>0.46686207774304395</v>
      </c>
      <c r="L72" s="22">
        <f t="shared" si="76"/>
        <v>0.34548323394613595</v>
      </c>
      <c r="M72" s="24">
        <f t="shared" si="79"/>
        <v>0.34652639916161981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36655.552481984319</v>
      </c>
      <c r="J74" s="51">
        <f t="shared" si="75"/>
        <v>5249.4259929042701</v>
      </c>
      <c r="K74" s="40">
        <f>B74/B$76</f>
        <v>0.11442697983898133</v>
      </c>
      <c r="L74" s="22">
        <f t="shared" si="76"/>
        <v>0.11688326537644382</v>
      </c>
      <c r="M74" s="24">
        <f>J74/B$76</f>
        <v>0.11777960044240816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1119.8515046302191</v>
      </c>
      <c r="AD74" s="156"/>
      <c r="AE74" s="147">
        <f>AE30*$I$83/4</f>
        <v>2103.3289833527283</v>
      </c>
      <c r="AF74" s="156"/>
      <c r="AG74" s="147">
        <f>AG30*$I$83/4</f>
        <v>2026.2455049213227</v>
      </c>
      <c r="AH74" s="155"/>
      <c r="AI74" s="147">
        <f>SUM(AA74,AC74,AE74,AG74)</f>
        <v>5249.4259929042701</v>
      </c>
      <c r="AJ74" s="148">
        <f>(AA74+AC74)</f>
        <v>1119.8515046302191</v>
      </c>
      <c r="AK74" s="147">
        <f>(AE74+AG74)</f>
        <v>4129.574488274051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8443.3614471319852</v>
      </c>
      <c r="AB75" s="158"/>
      <c r="AC75" s="149">
        <f>AA75+AC65-SUM(AC70,AC74)</f>
        <v>11325.952351936692</v>
      </c>
      <c r="AD75" s="158"/>
      <c r="AE75" s="149">
        <f>AC75+AE65-SUM(AE70,AE74)</f>
        <v>13150.626489080043</v>
      </c>
      <c r="AF75" s="158"/>
      <c r="AG75" s="149">
        <f>IF(SUM(AG6:AG29)+((AG65-AG70-$J$75)*4/I$83)&lt;1,0,AG65-AG70-$J$75-(1-SUM(AG6:AG29))*I$83/4)</f>
        <v>4356.1576155747571</v>
      </c>
      <c r="AH75" s="134"/>
      <c r="AI75" s="149">
        <f>AI76-SUM(AI70,AI74)</f>
        <v>13150.626489080041</v>
      </c>
      <c r="AJ75" s="151">
        <f>AJ76-SUM(AJ70,AJ74)</f>
        <v>6969.794736361936</v>
      </c>
      <c r="AK75" s="149">
        <f>AJ75+AK76-SUM(AK70,AK74)</f>
        <v>13150.626489080041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49971.951809784478</v>
      </c>
      <c r="J76" s="51">
        <f t="shared" si="75"/>
        <v>49213.595159502394</v>
      </c>
      <c r="K76" s="40">
        <f>SUM(K70:K75)</f>
        <v>1.1441960671538112</v>
      </c>
      <c r="L76" s="22">
        <f>SUM(L70:L75)</f>
        <v>1.1022493352323108</v>
      </c>
      <c r="M76" s="24">
        <f>SUM(M70:M75)</f>
        <v>1.104188835513759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7416.3036635072676</v>
      </c>
      <c r="AB76" s="137"/>
      <c r="AC76" s="153">
        <f>AC65</f>
        <v>7331.5422413849674</v>
      </c>
      <c r="AD76" s="137"/>
      <c r="AE76" s="153">
        <f>AE65</f>
        <v>7257.1029524461173</v>
      </c>
      <c r="AF76" s="137"/>
      <c r="AG76" s="153">
        <f>AG65</f>
        <v>9711.5029524461188</v>
      </c>
      <c r="AH76" s="137"/>
      <c r="AI76" s="153">
        <f>SUM(AA76,AC76,AE76,AG76)</f>
        <v>31716.45180978447</v>
      </c>
      <c r="AJ76" s="154">
        <f>SUM(AA76,AC76)</f>
        <v>14747.845904892234</v>
      </c>
      <c r="AK76" s="154">
        <f>SUM(AE76,AG76)</f>
        <v>16968.605904892236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4356.1576155747571</v>
      </c>
      <c r="AB78" s="112"/>
      <c r="AC78" s="112">
        <f>IF(AA75&lt;0,0,AA75)</f>
        <v>8443.3614471319852</v>
      </c>
      <c r="AD78" s="112"/>
      <c r="AE78" s="112">
        <f>AC75</f>
        <v>11325.952351936692</v>
      </c>
      <c r="AF78" s="112"/>
      <c r="AG78" s="112">
        <f>AE75</f>
        <v>13150.626489080043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8443.3614471319852</v>
      </c>
      <c r="AB79" s="112"/>
      <c r="AC79" s="112">
        <f>AA79-AA74+AC65-AC70</f>
        <v>12445.803856566912</v>
      </c>
      <c r="AD79" s="112"/>
      <c r="AE79" s="112">
        <f>AC79-AC74+AE65-AE70</f>
        <v>15253.955472432772</v>
      </c>
      <c r="AF79" s="112"/>
      <c r="AG79" s="112">
        <f>AE79-AE74+AG65-AG70</f>
        <v>19533.029609576122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5.9706699362095252E-2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5.9706699362095252E-2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0.25802571340699304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0.25802571340699304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3.8522762578159715</v>
      </c>
      <c r="J119" s="24">
        <f>SUM(J91:J118)</f>
        <v>3.7938154770572239</v>
      </c>
      <c r="K119" s="22">
        <f>SUM(K91:K118)</f>
        <v>5.6691349666036501</v>
      </c>
      <c r="L119" s="22">
        <f>SUM(L91:L118)</f>
        <v>3.7871516656249229</v>
      </c>
      <c r="M119" s="57">
        <f t="shared" si="80"/>
        <v>3.7938154770572239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1.1906090462656929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1.1870248981450597</v>
      </c>
      <c r="M126" s="240">
        <f t="shared" si="93"/>
        <v>1.1906090462656929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2.8257314239190312</v>
      </c>
      <c r="J128" s="228">
        <f>(J30)</f>
        <v>0.40467178861858366</v>
      </c>
      <c r="K128" s="29">
        <f>(B128)</f>
        <v>0.64870199252802008</v>
      </c>
      <c r="L128" s="29">
        <f>IF(L124=L119,0,(L119-L124)/(B119-B124)*K128)</f>
        <v>0.40159212530691601</v>
      </c>
      <c r="M128" s="240">
        <f t="shared" si="93"/>
        <v>0.40467178861858366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3.8522762578159715</v>
      </c>
      <c r="J130" s="228">
        <f>(J119)</f>
        <v>3.7938154770572239</v>
      </c>
      <c r="K130" s="29">
        <f>(B130)</f>
        <v>5.6691349666036501</v>
      </c>
      <c r="L130" s="29">
        <f>(L119)</f>
        <v>3.7871516656249229</v>
      </c>
      <c r="M130" s="240">
        <f t="shared" si="93"/>
        <v>3.7938154770572239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0.56713677711862531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9.4522796186437552E-2</v>
      </c>
      <c r="AB8" s="125">
        <f>IF($Y8=0,0,AC8/$Y8)</f>
        <v>0.43286322288137463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7.2143870480229105E-2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0.56713677711862531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0.29250117347978133</v>
      </c>
      <c r="AB9" s="125">
        <f>IF($Y9=0,0,AC9/$Y9)</f>
        <v>0.43286322288137463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0.22324949775309522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0.56713677711862531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8.0430984594738589E-2</v>
      </c>
      <c r="AB10" s="125">
        <f>IF($Y10=0,0,AC10/$Y10)</f>
        <v>0.43286322288137469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6.138839274025519E-2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8047.5999999999985</v>
      </c>
      <c r="T11" s="222">
        <f>IF($B$81=0,0,(SUMIF($N$6:$N$28,$U11,M$6:M$28)+SUMIF($N$91:$N$118,$U11,M$91:M$118))*$I$83*Poor!$B$81/$B$81)</f>
        <v>8039.6161656537406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0.56713677711862531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3.1743625721489664E-2</v>
      </c>
      <c r="AB11" s="125">
        <f>IF($Y11=0,0,AC11/$Y11)</f>
        <v>0.43286322288137463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2.4228102796567626E-2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2650.5066238978993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2866.0814510186297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0.12046713020312572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0.12046713020312572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0.48186852081250287</v>
      </c>
      <c r="Z17" s="156">
        <f>Poor!Z17</f>
        <v>0.29409999999999997</v>
      </c>
      <c r="AA17" s="121">
        <f t="shared" si="16"/>
        <v>0.14171753197095707</v>
      </c>
      <c r="AB17" s="156">
        <f>Poor!AB17</f>
        <v>0.17649999999999999</v>
      </c>
      <c r="AC17" s="121">
        <f t="shared" si="7"/>
        <v>8.5049793923406752E-2</v>
      </c>
      <c r="AD17" s="156">
        <f>Poor!AD17</f>
        <v>0.23530000000000001</v>
      </c>
      <c r="AE17" s="121">
        <f t="shared" si="8"/>
        <v>0.11338366294718193</v>
      </c>
      <c r="AF17" s="122">
        <f t="shared" si="10"/>
        <v>0.29410000000000003</v>
      </c>
      <c r="AG17" s="121">
        <f t="shared" si="11"/>
        <v>0.1417175319709571</v>
      </c>
      <c r="AH17" s="123">
        <f t="shared" si="12"/>
        <v>1</v>
      </c>
      <c r="AI17" s="184">
        <f t="shared" si="13"/>
        <v>0.12046713020312572</v>
      </c>
      <c r="AJ17" s="120">
        <f t="shared" si="14"/>
        <v>0.11338366294718191</v>
      </c>
      <c r="AK17" s="119">
        <f t="shared" si="15"/>
        <v>0.12755059745906952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95350.020162317727</v>
      </c>
      <c r="T23" s="179">
        <f>SUM(T7:T22)</f>
        <v>95356.340980249021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2.3362230051648794E-2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2.3362230051648794E-2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9.3448920206595176E-2</v>
      </c>
      <c r="Z27" s="156">
        <f>Poor!Z27</f>
        <v>0.25</v>
      </c>
      <c r="AA27" s="121">
        <f t="shared" si="16"/>
        <v>2.3362230051648794E-2</v>
      </c>
      <c r="AB27" s="156">
        <f>Poor!AB27</f>
        <v>0.25</v>
      </c>
      <c r="AC27" s="121">
        <f t="shared" si="7"/>
        <v>2.3362230051648794E-2</v>
      </c>
      <c r="AD27" s="156">
        <f>Poor!AD27</f>
        <v>0.25</v>
      </c>
      <c r="AE27" s="121">
        <f t="shared" si="8"/>
        <v>2.3362230051648794E-2</v>
      </c>
      <c r="AF27" s="122">
        <f t="shared" si="10"/>
        <v>0.25</v>
      </c>
      <c r="AG27" s="121">
        <f t="shared" si="11"/>
        <v>2.3362230051648794E-2</v>
      </c>
      <c r="AH27" s="123">
        <f t="shared" si="12"/>
        <v>1</v>
      </c>
      <c r="AI27" s="184">
        <f t="shared" si="13"/>
        <v>2.3362230051648794E-2</v>
      </c>
      <c r="AJ27" s="120">
        <f t="shared" si="14"/>
        <v>2.3362230051648794E-2</v>
      </c>
      <c r="AK27" s="119">
        <f t="shared" si="15"/>
        <v>2.3362230051648794E-2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0.22860892349930567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0.22860892349930567</v>
      </c>
      <c r="N29" s="229"/>
      <c r="P29" s="22"/>
      <c r="V29" s="56"/>
      <c r="W29" s="110"/>
      <c r="X29" s="118"/>
      <c r="Y29" s="184">
        <f t="shared" si="9"/>
        <v>0.91443569399722269</v>
      </c>
      <c r="Z29" s="156">
        <f>Poor!Z29</f>
        <v>0.25</v>
      </c>
      <c r="AA29" s="121">
        <f t="shared" si="16"/>
        <v>0.22860892349930567</v>
      </c>
      <c r="AB29" s="156">
        <f>Poor!AB29</f>
        <v>0.25</v>
      </c>
      <c r="AC29" s="121">
        <f t="shared" si="7"/>
        <v>0.22860892349930567</v>
      </c>
      <c r="AD29" s="156">
        <f>Poor!AD29</f>
        <v>0.25</v>
      </c>
      <c r="AE29" s="121">
        <f t="shared" si="8"/>
        <v>0.22860892349930567</v>
      </c>
      <c r="AF29" s="122">
        <f t="shared" si="10"/>
        <v>0.25</v>
      </c>
      <c r="AG29" s="121">
        <f t="shared" si="11"/>
        <v>0.22860892349930567</v>
      </c>
      <c r="AH29" s="123">
        <f t="shared" si="12"/>
        <v>1</v>
      </c>
      <c r="AI29" s="184">
        <f t="shared" si="13"/>
        <v>0.22860892349930567</v>
      </c>
      <c r="AJ29" s="120">
        <f t="shared" si="14"/>
        <v>0.22860892349930567</v>
      </c>
      <c r="AK29" s="119">
        <f t="shared" si="15"/>
        <v>0.22860892349930567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5.9180532404564499</v>
      </c>
      <c r="J30" s="231">
        <f>IF(I$32&lt;=1,I30,1-SUM(J6:J29))</f>
        <v>0.27016227436132034</v>
      </c>
      <c r="K30" s="22">
        <f t="shared" si="4"/>
        <v>0.61046637608966381</v>
      </c>
      <c r="L30" s="22">
        <f>IF(L124=L119,0,IF(K30="",0,(L119-L124)/(B119-B124)*K30))</f>
        <v>0.35530037652810981</v>
      </c>
      <c r="M30" s="175">
        <f t="shared" si="6"/>
        <v>0.27016227436132034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1.0806490974452814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0.15625832178871554</v>
      </c>
      <c r="AC30" s="188">
        <f>IF(AC79*4/$I$84+SUM(AC6:AC29)&lt;1,AC79*4/$I$84,1-SUM(AC6:AC29))</f>
        <v>0.16886041440928978</v>
      </c>
      <c r="AD30" s="122">
        <f>IF($Y30=0,0,AE30/($Y$30))</f>
        <v>0.48400357463735738</v>
      </c>
      <c r="AE30" s="188">
        <f>IF(AE79*4/$I$84+SUM(AE6:AE29)&lt;1,AE79*4/$I$84,1-SUM(AE6:AE29))</f>
        <v>0.52303802609215011</v>
      </c>
      <c r="AF30" s="122">
        <f>IF($Y30=0,0,AG30/($Y$30))</f>
        <v>0.35973810357392749</v>
      </c>
      <c r="AG30" s="188">
        <f>IF(AG79*4/$I$84+SUM(AG6:AG29)&lt;1,AG79*4/$I$84,1-SUM(AG6:AG29))</f>
        <v>0.38875065694384192</v>
      </c>
      <c r="AH30" s="123">
        <f t="shared" si="12"/>
        <v>1.0000000000000004</v>
      </c>
      <c r="AI30" s="184">
        <f t="shared" si="13"/>
        <v>0.27016227436132045</v>
      </c>
      <c r="AJ30" s="120">
        <f t="shared" si="14"/>
        <v>8.4430207204644891E-2</v>
      </c>
      <c r="AK30" s="119">
        <f t="shared" si="15"/>
        <v>0.45589434151799602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-8.2325333979334392E-2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6.5286756563681374</v>
      </c>
      <c r="J32" s="17"/>
      <c r="L32" s="22">
        <f>SUM(L6:L30)</f>
        <v>1.0823253339793344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-2.4164147537101999E-2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1313.6161656537413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1.4841623935031302E-2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0.56713677711862531</v>
      </c>
      <c r="AA39" s="147">
        <f t="shared" ref="AA39:AA64" si="40">$J39*Z39</f>
        <v>745.00003855978912</v>
      </c>
      <c r="AB39" s="122">
        <f>AB8</f>
        <v>0.43286322288137463</v>
      </c>
      <c r="AC39" s="147">
        <f t="shared" ref="AC39:AC64" si="41">$J39*AB39</f>
        <v>568.61612709395217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1313.6161656537413</v>
      </c>
      <c r="AJ39" s="148">
        <f t="shared" si="38"/>
        <v>1313.6161656537413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0.56713677711862531</v>
      </c>
      <c r="AA40" s="147">
        <f t="shared" si="40"/>
        <v>214.1508470399929</v>
      </c>
      <c r="AB40" s="122">
        <f>AB9</f>
        <v>0.43286322288137463</v>
      </c>
      <c r="AC40" s="147">
        <f t="shared" si="41"/>
        <v>163.44915296000704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377.59999999999991</v>
      </c>
      <c r="AJ40" s="148">
        <f t="shared" si="38"/>
        <v>377.59999999999991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0.56713677711862531</v>
      </c>
      <c r="AA41" s="147">
        <f t="shared" si="40"/>
        <v>66.922139699997786</v>
      </c>
      <c r="AB41" s="122">
        <f>AB11</f>
        <v>0.43286322288137463</v>
      </c>
      <c r="AC41" s="147">
        <f t="shared" si="41"/>
        <v>51.077860300002207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2866.0814510186292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3.2381835863003396E-2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90085.730379746848</v>
      </c>
      <c r="J65" s="39">
        <f>SUM(J37:J64)</f>
        <v>89157.42799641921</v>
      </c>
      <c r="K65" s="40">
        <f>SUM(K37:K64)</f>
        <v>0.99999999999999978</v>
      </c>
      <c r="L65" s="22">
        <f>SUM(L37:L64)</f>
        <v>1.0075744489756806</v>
      </c>
      <c r="M65" s="24">
        <f>SUM(M37:M64)</f>
        <v>1.0073269893713239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8010.5230252997808</v>
      </c>
      <c r="AB65" s="137"/>
      <c r="AC65" s="153">
        <f>SUM(AC37:AC64)</f>
        <v>7767.5931403539626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35977.416165653747</v>
      </c>
      <c r="AJ65" s="153">
        <f>SUM(AJ37:AJ64)</f>
        <v>15778.116165653742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26455.600000000002</v>
      </c>
      <c r="K73" s="40">
        <f>B73/B$76</f>
        <v>0.25330779060396541</v>
      </c>
      <c r="L73" s="22">
        <f t="shared" si="45"/>
        <v>0.29890319291267925</v>
      </c>
      <c r="M73" s="24">
        <f>J73/B$76</f>
        <v>0.29890319291267919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76769.331051946661</v>
      </c>
      <c r="J74" s="51">
        <f t="shared" si="44"/>
        <v>3504.5607458224536</v>
      </c>
      <c r="K74" s="40">
        <f>B74/B$76</f>
        <v>5.4225008815229715E-2</v>
      </c>
      <c r="L74" s="22">
        <f t="shared" si="45"/>
        <v>5.2073587058071399E-2</v>
      </c>
      <c r="M74" s="24">
        <f>J74/B$76</f>
        <v>3.959556376278639E-2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986.57285758953742</v>
      </c>
      <c r="AD74" s="156"/>
      <c r="AE74" s="147">
        <f>AE30*$I$84/4</f>
        <v>3055.8679003297248</v>
      </c>
      <c r="AF74" s="156"/>
      <c r="AG74" s="147">
        <f>AG30*$I$84/4</f>
        <v>2271.2892648793377</v>
      </c>
      <c r="AH74" s="155"/>
      <c r="AI74" s="147">
        <f>SUM(AA74,AC74,AE74,AG74)</f>
        <v>6313.7300227985997</v>
      </c>
      <c r="AJ74" s="148">
        <f>(AA74+AC74)</f>
        <v>986.57285758953742</v>
      </c>
      <c r="AK74" s="147">
        <f>(AE74+AG74)</f>
        <v>5327.1571652090624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6124.3079227966073</v>
      </c>
      <c r="K75" s="40">
        <f>B75/B$76</f>
        <v>0.20433886472106502</v>
      </c>
      <c r="L75" s="22">
        <f t="shared" si="45"/>
        <v>5.69636784545655E-2</v>
      </c>
      <c r="M75" s="24">
        <f>J75/B$76</f>
        <v>6.9194242145493717E-2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7182.1414020412958</v>
      </c>
      <c r="AB75" s="158"/>
      <c r="AC75" s="149">
        <f>AA75+AC65-SUM(AC70,AC74)</f>
        <v>10634.061852855681</v>
      </c>
      <c r="AD75" s="158"/>
      <c r="AE75" s="149">
        <f>AC75+AE65-SUM(AE70,AE74)</f>
        <v>11233.544120575916</v>
      </c>
      <c r="AF75" s="158"/>
      <c r="AG75" s="149">
        <f>IF(SUM(AG6:AG29)+((AG65-AG70-$J$75)*4/I$83)&lt;1,0,AG65-AG70-$J$75-(1-SUM(AG6:AG29))*I$83/4)</f>
        <v>2500.718208691555</v>
      </c>
      <c r="AH75" s="134"/>
      <c r="AI75" s="149">
        <f>AI76-SUM(AI70,AI74)</f>
        <v>16347.286815054991</v>
      </c>
      <c r="AJ75" s="151">
        <f>AJ76-SUM(AJ70,AJ74)</f>
        <v>8133.3436441641279</v>
      </c>
      <c r="AK75" s="149">
        <f>AJ75+AK76-SUM(AK70,AK74)</f>
        <v>16347.286815054989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90085.730379746819</v>
      </c>
      <c r="J76" s="51">
        <f t="shared" si="44"/>
        <v>89157.42799641921</v>
      </c>
      <c r="K76" s="40">
        <f>SUM(K70:K75)</f>
        <v>0.99999999999999978</v>
      </c>
      <c r="L76" s="22">
        <f>SUM(L70:L75)</f>
        <v>1.0075744489756808</v>
      </c>
      <c r="M76" s="24">
        <f>SUM(M70:M75)</f>
        <v>1.0073269893713237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8010.5230252997808</v>
      </c>
      <c r="AB76" s="137"/>
      <c r="AC76" s="153">
        <f>AC65</f>
        <v>7767.5931403539626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35977.416165653747</v>
      </c>
      <c r="AJ76" s="154">
        <f>SUM(AA76,AC76)</f>
        <v>15778.116165653744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15203.119999999992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2500.718208691555</v>
      </c>
      <c r="AB78" s="112"/>
      <c r="AC78" s="112">
        <f>IF(AA75&lt;0,0,AA75)</f>
        <v>7182.1414020412958</v>
      </c>
      <c r="AD78" s="112"/>
      <c r="AE78" s="112">
        <f>AC75</f>
        <v>10634.061852855681</v>
      </c>
      <c r="AF78" s="112"/>
      <c r="AG78" s="112">
        <f>AE75</f>
        <v>11233.544120575916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7182.1414020412958</v>
      </c>
      <c r="AB79" s="112"/>
      <c r="AC79" s="112">
        <f>AA79-AA74+AC65-AC70</f>
        <v>11620.634710445218</v>
      </c>
      <c r="AD79" s="112"/>
      <c r="AE79" s="112">
        <f>AC79-AC74+AE65-AE70</f>
        <v>14289.412020905642</v>
      </c>
      <c r="AF79" s="112"/>
      <c r="AG79" s="112">
        <f>AE79-AE74+AG65-AG70</f>
        <v>21119.294288625879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0.10126505336620321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0.10126505336620321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0.22094269138721145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0.22094269138721145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6.9445980743533902</v>
      </c>
      <c r="J119" s="24">
        <f>SUM(J91:J118)</f>
        <v>6.8730363862092272</v>
      </c>
      <c r="K119" s="22">
        <f>SUM(K91:K118)</f>
        <v>11.258022625128781</v>
      </c>
      <c r="L119" s="22">
        <f>SUM(L91:L118)</f>
        <v>6.8747248139817447</v>
      </c>
      <c r="M119" s="57">
        <f t="shared" si="49"/>
        <v>6.8730363862092272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2.0394296415358641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2.0394296415358641</v>
      </c>
      <c r="M127" s="57">
        <f t="shared" si="63"/>
        <v>2.0394296415358641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5.9180532404564499</v>
      </c>
      <c r="J128" s="228">
        <f>(J30)</f>
        <v>0.27016227436132034</v>
      </c>
      <c r="K128" s="22">
        <f>(B128)</f>
        <v>0.61046637608966381</v>
      </c>
      <c r="L128" s="22">
        <f>IF(L124=L119,0,(L119-L124)/(B119-B124)*K128)</f>
        <v>0.35530037652810981</v>
      </c>
      <c r="M128" s="57">
        <f t="shared" si="63"/>
        <v>0.27016227436132034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0.47211535975915631</v>
      </c>
      <c r="K129" s="29">
        <f>(B129)</f>
        <v>2.3004515622228796</v>
      </c>
      <c r="L129" s="60">
        <f>IF(SUM(L124:L128)&gt;L130,0,L130-SUM(L124:L128))</f>
        <v>0.38866568536488444</v>
      </c>
      <c r="M129" s="57">
        <f t="shared" si="63"/>
        <v>0.47211535975915631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6.9445980743533902</v>
      </c>
      <c r="J130" s="228">
        <f>(J119)</f>
        <v>6.8730363862092272</v>
      </c>
      <c r="K130" s="22">
        <f>(B130)</f>
        <v>11.258022625128781</v>
      </c>
      <c r="L130" s="22">
        <f>(L119)</f>
        <v>6.8747248139817447</v>
      </c>
      <c r="M130" s="57">
        <f t="shared" si="63"/>
        <v>6.8730363862092272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5766.3874010626987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23068.080000000002</v>
      </c>
      <c r="T8" s="222">
        <f>IF($B$81=0,0,(SUMIF($N$6:$N$28,$U8,M$6:M$28)+SUMIF($N$91:$N$118,$U8,M$91:M$118))*$I$83*Poor!$B$81/$B$81)</f>
        <v>23121.215317274455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0.33328894157490691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5.5548156929151146E-2</v>
      </c>
      <c r="AB8" s="125">
        <f>IF($Y8=0,0,AC8/$Y8)</f>
        <v>0.34859612882907559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5.8099354804845932E-2</v>
      </c>
      <c r="AD8" s="125">
        <f>IF($Y8=0,0,AE8/$Y8)</f>
        <v>0.3181149295960175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5.3019154932669579E-2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5.6823755866998539E-2</v>
      </c>
      <c r="AK8" s="119">
        <f t="shared" si="15"/>
        <v>2.650957746633479E-2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0.21631490578564624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0.21631490578564624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0.86525962314258498</v>
      </c>
      <c r="Z9" s="125">
        <f>IF($Y9=0,0,AA9/$Y9)</f>
        <v>0.33328894157490696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0.288381463984695</v>
      </c>
      <c r="AB9" s="125">
        <f>IF($Y9=0,0,AC9/$Y9)</f>
        <v>0.34859612882907565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0.30162615505960999</v>
      </c>
      <c r="AD9" s="125">
        <f>IF($Y9=0,0,AE9/$Y9)</f>
        <v>0.31811492959601745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0.27525200409827999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0.21631490578564624</v>
      </c>
      <c r="AJ9" s="120">
        <f t="shared" si="14"/>
        <v>0.29500380952215249</v>
      </c>
      <c r="AK9" s="119">
        <f t="shared" si="15"/>
        <v>0.13762600204913999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2.9355770885399722E-2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2.9355770885399722E-2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0.11742308354159889</v>
      </c>
      <c r="Z10" s="125">
        <f>IF($Y10=0,0,AA10/$Y10)</f>
        <v>0.33328894157490691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3.9135815230041365E-2</v>
      </c>
      <c r="AB10" s="125">
        <f>IF($Y10=0,0,AC10/$Y10)</f>
        <v>0.34859612882907565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4.0933232357774518E-2</v>
      </c>
      <c r="AD10" s="125">
        <f>IF($Y10=0,0,AE10/$Y10)</f>
        <v>0.31811492959601745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3.7354035953783005E-2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2.9355770885399722E-2</v>
      </c>
      <c r="AJ10" s="120">
        <f t="shared" si="14"/>
        <v>4.0034523793907942E-2</v>
      </c>
      <c r="AK10" s="119">
        <f t="shared" si="15"/>
        <v>1.8677017976891502E-2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20624.04</v>
      </c>
      <c r="T11" s="222">
        <f>IF($B$81=0,0,(SUMIF($N$6:$N$28,$U11,M$6:M$28)+SUMIF($N$91:$N$118,$U11,M$91:M$118))*$I$83*Poor!$B$81/$B$81)</f>
        <v>20639.773920798962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0.33328894157490691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8.0117277132713161E-2</v>
      </c>
      <c r="AB11" s="125">
        <f>IF($Y11=0,0,AC11/$Y11)</f>
        <v>0.34859612882907559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8.3796877654619281E-2</v>
      </c>
      <c r="AD11" s="125">
        <f>IF($Y11=0,0,AE11/$Y11)</f>
        <v>0.3181149295960175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7.6469689795482035E-2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8.1957077393666228E-2</v>
      </c>
      <c r="AK11" s="119">
        <f t="shared" si="15"/>
        <v>3.8234844897741017E-2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4.5063335558362559E-3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4.5063335558362559E-3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1.8025334223345024E-2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1.2076973929641166E-2</v>
      </c>
      <c r="AF12" s="122">
        <f>1-SUM(Z12,AB12,AD12)</f>
        <v>0.32999999999999996</v>
      </c>
      <c r="AG12" s="121">
        <f>$M12*AF12*4</f>
        <v>5.948360293703857E-3</v>
      </c>
      <c r="AH12" s="123">
        <f t="shared" si="12"/>
        <v>1</v>
      </c>
      <c r="AI12" s="184">
        <f t="shared" si="13"/>
        <v>4.5063335558362559E-3</v>
      </c>
      <c r="AJ12" s="120">
        <f t="shared" si="14"/>
        <v>0</v>
      </c>
      <c r="AK12" s="119">
        <f t="shared" si="15"/>
        <v>9.0126671116725118E-3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5744.7613357879327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363511.22066525975</v>
      </c>
      <c r="T23" s="179">
        <f>SUM(T7:T22)</f>
        <v>363493.0044842037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5.5470637251033905E-2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5.5470637251033905E-2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0.22188254900413562</v>
      </c>
      <c r="Z27" s="156">
        <f>Poor!Z27</f>
        <v>0.25</v>
      </c>
      <c r="AA27" s="121">
        <f t="shared" si="16"/>
        <v>5.5470637251033905E-2</v>
      </c>
      <c r="AB27" s="156">
        <f>Poor!AB27</f>
        <v>0.25</v>
      </c>
      <c r="AC27" s="121">
        <f t="shared" si="7"/>
        <v>5.5470637251033905E-2</v>
      </c>
      <c r="AD27" s="156">
        <f>Poor!AD27</f>
        <v>0.25</v>
      </c>
      <c r="AE27" s="121">
        <f t="shared" si="8"/>
        <v>5.5470637251033905E-2</v>
      </c>
      <c r="AF27" s="122">
        <f t="shared" si="10"/>
        <v>0.25</v>
      </c>
      <c r="AG27" s="121">
        <f t="shared" si="11"/>
        <v>5.5470637251033905E-2</v>
      </c>
      <c r="AH27" s="123">
        <f t="shared" si="12"/>
        <v>1</v>
      </c>
      <c r="AI27" s="184">
        <f t="shared" si="13"/>
        <v>5.5470637251033905E-2</v>
      </c>
      <c r="AJ27" s="120">
        <f t="shared" si="14"/>
        <v>5.5470637251033905E-2</v>
      </c>
      <c r="AK27" s="119">
        <f t="shared" si="15"/>
        <v>5.5470637251033905E-2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0.32434321365667435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0.32434321365667435</v>
      </c>
      <c r="N29" s="229"/>
      <c r="P29" s="22"/>
      <c r="V29" s="56"/>
      <c r="W29" s="110"/>
      <c r="X29" s="118"/>
      <c r="Y29" s="184">
        <f t="shared" si="9"/>
        <v>1.2973728546266974</v>
      </c>
      <c r="Z29" s="156">
        <f>Poor!Z29</f>
        <v>0.25</v>
      </c>
      <c r="AA29" s="121">
        <f t="shared" si="16"/>
        <v>0.32434321365667435</v>
      </c>
      <c r="AB29" s="156">
        <f>Poor!AB29</f>
        <v>0.25</v>
      </c>
      <c r="AC29" s="121">
        <f t="shared" si="7"/>
        <v>0.32434321365667435</v>
      </c>
      <c r="AD29" s="156">
        <f>Poor!AD29</f>
        <v>0.25</v>
      </c>
      <c r="AE29" s="121">
        <f t="shared" si="8"/>
        <v>0.32434321365667435</v>
      </c>
      <c r="AF29" s="122">
        <f t="shared" si="10"/>
        <v>0.25</v>
      </c>
      <c r="AG29" s="121">
        <f t="shared" si="11"/>
        <v>0.32434321365667435</v>
      </c>
      <c r="AH29" s="123">
        <f t="shared" si="12"/>
        <v>1</v>
      </c>
      <c r="AI29" s="184">
        <f t="shared" si="13"/>
        <v>0.32434321365667435</v>
      </c>
      <c r="AJ29" s="120">
        <f t="shared" si="14"/>
        <v>0.32434321365667435</v>
      </c>
      <c r="AK29" s="119">
        <f t="shared" si="15"/>
        <v>0.32434321365667435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26.123585938697655</v>
      </c>
      <c r="J30" s="231">
        <f>IF(I$32&lt;=1,I30,1-SUM(J6:J29))</f>
        <v>6.5765459247310698E-2</v>
      </c>
      <c r="K30" s="22">
        <f t="shared" si="4"/>
        <v>0.58156372602739725</v>
      </c>
      <c r="L30" s="22">
        <f>IF(L124=L119,0,IF(K30="",0,(L119-L124)/(B119-B124)*K30))</f>
        <v>0.34458701651178125</v>
      </c>
      <c r="M30" s="175">
        <f t="shared" si="6"/>
        <v>6.5765459247310698E-2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0.26306183698924279</v>
      </c>
      <c r="Z30" s="122">
        <f>IF($Y30=0,0,AA30/($Y$30))</f>
        <v>-8.4407760344998746E-16</v>
      </c>
      <c r="AA30" s="188">
        <f>IF(AA79*4/$I$83+SUM(AA6:AA29)&lt;1,AA79*4/$I$83,1-SUM(AA6:AA29))</f>
        <v>-2.2204460492503131E-16</v>
      </c>
      <c r="AB30" s="122">
        <f>IF($Y30=0,0,AC30/($Y$30))</f>
        <v>-8.4407760344998746E-16</v>
      </c>
      <c r="AC30" s="188">
        <f>IF(AC79*4/$I$83+SUM(AC6:AC29)&lt;1,AC79*4/$I$83,1-SUM(AC6:AC29))</f>
        <v>-2.2204460492503131E-16</v>
      </c>
      <c r="AD30" s="122">
        <f>IF($Y30=0,0,AE30/($Y$30))</f>
        <v>0.14109275086348935</v>
      </c>
      <c r="AE30" s="188">
        <f>IF(AE79*4/$I$83+SUM(AE6:AE29)&lt;1,AE79*4/$I$83,1-SUM(AE6:AE29))</f>
        <v>3.7116118228015083E-2</v>
      </c>
      <c r="AF30" s="122">
        <f>IF($Y30=0,0,AG30/($Y$30))</f>
        <v>0.85890724913651151</v>
      </c>
      <c r="AG30" s="188">
        <f>IF(AG79*4/$I$83+SUM(AG6:AG29)&lt;1,AG79*4/$I$83,1-SUM(AG6:AG29))</f>
        <v>0.22594571876122793</v>
      </c>
      <c r="AH30" s="123">
        <f t="shared" si="12"/>
        <v>0.99999999999999911</v>
      </c>
      <c r="AI30" s="184">
        <f t="shared" si="13"/>
        <v>6.5765459247310643E-2</v>
      </c>
      <c r="AJ30" s="120">
        <f t="shared" si="14"/>
        <v>-2.2204460492503131E-16</v>
      </c>
      <c r="AK30" s="119">
        <f t="shared" si="15"/>
        <v>0.13153091849462151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-0.28233859459812427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27.327215611608096</v>
      </c>
      <c r="J32" s="17"/>
      <c r="L32" s="22">
        <f>SUM(L6:L30)</f>
        <v>1.2823385945981243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-1.3228007128531574E-2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3977.9116006658001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1.3249374177965796E-2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0.33328894157490691</v>
      </c>
      <c r="AA39" s="147">
        <f>$J39*Z39</f>
        <v>1325.7939470644483</v>
      </c>
      <c r="AB39" s="122">
        <f>AB8</f>
        <v>0.34859612882907559</v>
      </c>
      <c r="AC39" s="147">
        <f>$J39*AB39</f>
        <v>1386.6845848163696</v>
      </c>
      <c r="AD39" s="122">
        <f>AD8</f>
        <v>0.3181149295960175</v>
      </c>
      <c r="AE39" s="147">
        <f>$J39*AD39</f>
        <v>1265.4330687849822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3977.9116006658005</v>
      </c>
      <c r="AJ39" s="148">
        <f t="shared" si="36"/>
        <v>2712.4785318808181</v>
      </c>
      <c r="AK39" s="147">
        <f t="shared" si="37"/>
        <v>1265.4330687849822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0.33328894157490696</v>
      </c>
      <c r="AA40" s="147">
        <f>$J40*Z40</f>
        <v>283.16228476204094</v>
      </c>
      <c r="AB40" s="122">
        <f>AB9</f>
        <v>0.34859612882907565</v>
      </c>
      <c r="AC40" s="147">
        <f>$J40*AB40</f>
        <v>296.16727105318267</v>
      </c>
      <c r="AD40" s="122">
        <f>AD9</f>
        <v>0.31811492959601745</v>
      </c>
      <c r="AE40" s="147">
        <f>$J40*AD40</f>
        <v>270.27044418477641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849.59999999999991</v>
      </c>
      <c r="AJ40" s="148">
        <f t="shared" si="36"/>
        <v>579.32955581522356</v>
      </c>
      <c r="AK40" s="147">
        <f t="shared" si="37"/>
        <v>270.27044418477641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0.33328894157490691</v>
      </c>
      <c r="AA41" s="147">
        <f>$J41*Z41</f>
        <v>159.27878517864801</v>
      </c>
      <c r="AB41" s="122">
        <f>AB11</f>
        <v>0.34859612882907559</v>
      </c>
      <c r="AC41" s="147">
        <f>$J41*AB41</f>
        <v>166.59408996741524</v>
      </c>
      <c r="AD41" s="122">
        <f>AD11</f>
        <v>0.3181149295960175</v>
      </c>
      <c r="AE41" s="147">
        <f>$J41*AD41</f>
        <v>152.02712485393678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477.90000000000009</v>
      </c>
      <c r="AJ41" s="148">
        <f t="shared" si="36"/>
        <v>325.87287514606328</v>
      </c>
      <c r="AK41" s="147">
        <f t="shared" si="37"/>
        <v>152.02712485393678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1391.5673449903252</v>
      </c>
      <c r="K42" s="40">
        <f t="shared" si="28"/>
        <v>2.9976625820878908E-3</v>
      </c>
      <c r="L42" s="22">
        <f t="shared" si="29"/>
        <v>4.5744331002661211E-3</v>
      </c>
      <c r="M42" s="24">
        <f t="shared" si="30"/>
        <v>4.6349437339254325E-3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347.8918362475813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695.78367249516259</v>
      </c>
      <c r="AF42" s="122">
        <f t="shared" si="31"/>
        <v>0.25</v>
      </c>
      <c r="AG42" s="147">
        <f t="shared" si="34"/>
        <v>347.8918362475813</v>
      </c>
      <c r="AH42" s="123">
        <f t="shared" si="35"/>
        <v>1</v>
      </c>
      <c r="AI42" s="112">
        <f t="shared" si="35"/>
        <v>1391.5673449903252</v>
      </c>
      <c r="AJ42" s="148">
        <f t="shared" si="36"/>
        <v>347.8918362475813</v>
      </c>
      <c r="AK42" s="147">
        <f t="shared" si="37"/>
        <v>1043.6755087427439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208.333271101805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6.9390316820650368E-4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52.083317775451249</v>
      </c>
      <c r="AB43" s="156">
        <f>Poor!AB43</f>
        <v>0.25</v>
      </c>
      <c r="AC43" s="147">
        <f t="shared" si="39"/>
        <v>52.083317775451249</v>
      </c>
      <c r="AD43" s="156">
        <f>Poor!AD43</f>
        <v>0.25</v>
      </c>
      <c r="AE43" s="147">
        <f t="shared" si="40"/>
        <v>52.083317775451249</v>
      </c>
      <c r="AF43" s="122">
        <f t="shared" si="31"/>
        <v>0.25</v>
      </c>
      <c r="AG43" s="147">
        <f t="shared" si="34"/>
        <v>52.083317775451249</v>
      </c>
      <c r="AH43" s="123">
        <f t="shared" si="35"/>
        <v>1</v>
      </c>
      <c r="AI43" s="112">
        <f t="shared" si="35"/>
        <v>208.333271101805</v>
      </c>
      <c r="AJ43" s="148">
        <f t="shared" si="36"/>
        <v>104.1666355509025</v>
      </c>
      <c r="AK43" s="147">
        <f t="shared" si="37"/>
        <v>104.1666355509025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2127.7788149699163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7.0870699295495906E-3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531.94470374247908</v>
      </c>
      <c r="AB44" s="156">
        <f>Poor!AB44</f>
        <v>0.25</v>
      </c>
      <c r="AC44" s="147">
        <f t="shared" si="39"/>
        <v>531.94470374247908</v>
      </c>
      <c r="AD44" s="156">
        <f>Poor!AD44</f>
        <v>0.25</v>
      </c>
      <c r="AE44" s="147">
        <f t="shared" si="40"/>
        <v>531.94470374247908</v>
      </c>
      <c r="AF44" s="122">
        <f t="shared" si="31"/>
        <v>0.25</v>
      </c>
      <c r="AG44" s="147">
        <f t="shared" si="34"/>
        <v>531.94470374247908</v>
      </c>
      <c r="AH44" s="123">
        <f t="shared" si="35"/>
        <v>1</v>
      </c>
      <c r="AI44" s="112">
        <f t="shared" si="35"/>
        <v>2127.7788149699163</v>
      </c>
      <c r="AJ44" s="148">
        <f t="shared" si="36"/>
        <v>1063.8894074849582</v>
      </c>
      <c r="AK44" s="147">
        <f t="shared" si="37"/>
        <v>1063.8894074849582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4787.30111315661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1.5945237128996974E-2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293494.23037974688</v>
      </c>
      <c r="J65" s="39">
        <f>SUM(J37:J64)</f>
        <v>296917.52252463135</v>
      </c>
      <c r="K65" s="40">
        <f>SUM(K37:K64)</f>
        <v>1</v>
      </c>
      <c r="L65" s="22">
        <f>SUM(L37:L64)</f>
        <v>0.9888050836309914</v>
      </c>
      <c r="M65" s="24">
        <f>SUM(M37:M64)</f>
        <v>0.98895394137591763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16575.154874770651</v>
      </c>
      <c r="AB65" s="137"/>
      <c r="AC65" s="153">
        <f>SUM(AC37:AC64)</f>
        <v>16308.473967354899</v>
      </c>
      <c r="AD65" s="137"/>
      <c r="AE65" s="153">
        <f>SUM(AE37:AE64)</f>
        <v>16842.54233183679</v>
      </c>
      <c r="AF65" s="137"/>
      <c r="AG65" s="153">
        <f>SUM(AG37:AG64)</f>
        <v>26701.319857765513</v>
      </c>
      <c r="AH65" s="137"/>
      <c r="AI65" s="153">
        <f>SUM(AI37:AI64)</f>
        <v>76427.491031727855</v>
      </c>
      <c r="AJ65" s="153">
        <f>SUM(AJ37:AJ64)</f>
        <v>32883.628842125552</v>
      </c>
      <c r="AK65" s="153">
        <f>SUM(AK37:AK64)</f>
        <v>43543.862189602303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282397.23093991342</v>
      </c>
      <c r="J74" s="51">
        <f>J128*I$83</f>
        <v>710.92780395898956</v>
      </c>
      <c r="K74" s="40">
        <f>B74/B$76</f>
        <v>1.26905734201907E-2</v>
      </c>
      <c r="L74" s="22">
        <f>(L128*G$37*F$9/F$7)/B$130</f>
        <v>1.240700021513034E-2</v>
      </c>
      <c r="M74" s="24">
        <f>J74/B$76</f>
        <v>2.3679129738819762E-3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-6.0007823699166641E-13</v>
      </c>
      <c r="AB74" s="156"/>
      <c r="AC74" s="147">
        <f>AC30*$I$83/4</f>
        <v>-6.0007823699166641E-13</v>
      </c>
      <c r="AD74" s="156"/>
      <c r="AE74" s="147">
        <f>AE30*$I$83/4</f>
        <v>100.30675952591332</v>
      </c>
      <c r="AF74" s="156"/>
      <c r="AG74" s="147">
        <f>AG30*$I$83/4</f>
        <v>610.62104443307692</v>
      </c>
      <c r="AH74" s="155"/>
      <c r="AI74" s="147">
        <f>SUM(AA74,AC74,AE74,AG74)</f>
        <v>710.92780395898899</v>
      </c>
      <c r="AJ74" s="148">
        <f>(AA74+AC74)</f>
        <v>-1.2001564739833328E-12</v>
      </c>
      <c r="AK74" s="147">
        <f>(AE74+AG74)</f>
        <v>710.92780395899024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201162.42861417215</v>
      </c>
      <c r="K75" s="40">
        <f>B75/B$76</f>
        <v>0.72395446065450009</v>
      </c>
      <c r="L75" s="22">
        <f>(L129*G$37*F$9/F$7)/B$130</f>
        <v>0.65983103854563718</v>
      </c>
      <c r="M75" s="24">
        <f>J75/B$76</f>
        <v>0.67001898353181144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13800.905014812286</v>
      </c>
      <c r="AB75" s="158"/>
      <c r="AC75" s="149">
        <f>AA75+AC65-SUM(AC70,AC74)</f>
        <v>27335.129122208822</v>
      </c>
      <c r="AD75" s="158"/>
      <c r="AE75" s="149">
        <f>AC75+AE65-SUM(AE70,AE74)</f>
        <v>41303.11483456134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64619.563787935404</v>
      </c>
      <c r="AJ75" s="151">
        <f>AJ76-SUM(AJ70,AJ74)</f>
        <v>27335.129122208822</v>
      </c>
      <c r="AK75" s="149">
        <f>AJ75+AK76-SUM(AK70,AK74)</f>
        <v>64619.563787935411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293494.23037974688</v>
      </c>
      <c r="J76" s="51">
        <f>J130*I$83</f>
        <v>296917.52252463129</v>
      </c>
      <c r="K76" s="40">
        <f>SUM(K70:K75)</f>
        <v>0.90648402989286547</v>
      </c>
      <c r="L76" s="22">
        <f>SUM(L70:L75)</f>
        <v>0.87845623890457281</v>
      </c>
      <c r="M76" s="24">
        <f>SUM(M70:M75)</f>
        <v>0.87860509664949871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16575.154874770651</v>
      </c>
      <c r="AB76" s="137"/>
      <c r="AC76" s="153">
        <f>AC65</f>
        <v>16308.473967354899</v>
      </c>
      <c r="AD76" s="137"/>
      <c r="AE76" s="153">
        <f>AE65</f>
        <v>16842.54233183679</v>
      </c>
      <c r="AF76" s="137"/>
      <c r="AG76" s="153">
        <f>AG65</f>
        <v>26701.319857765513</v>
      </c>
      <c r="AH76" s="137"/>
      <c r="AI76" s="153">
        <f>SUM(AA76,AC76,AE76,AG76)</f>
        <v>76427.491031727855</v>
      </c>
      <c r="AJ76" s="154">
        <f>SUM(AA76,AC76)</f>
        <v>32883.628842125552</v>
      </c>
      <c r="AK76" s="154">
        <f>SUM(AE76,AG76)</f>
        <v>43543.862189602303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13800.905014812286</v>
      </c>
      <c r="AD78" s="112"/>
      <c r="AE78" s="112">
        <f>AC75</f>
        <v>27335.129122208822</v>
      </c>
      <c r="AF78" s="112"/>
      <c r="AG78" s="112">
        <f>AE75</f>
        <v>41303.11483456134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13800.905014812286</v>
      </c>
      <c r="AB79" s="112"/>
      <c r="AC79" s="112">
        <f>AA79-AA74+AC65-AC70</f>
        <v>27335.129122208818</v>
      </c>
      <c r="AD79" s="112"/>
      <c r="AE79" s="112">
        <f>AC79-AC74+AE65-AE70</f>
        <v>41403.421594087245</v>
      </c>
      <c r="AF79" s="112"/>
      <c r="AG79" s="112">
        <f>AE79-AE74+AG65-AG70</f>
        <v>65230.184832368483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0.36798277097358012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0.36798277097358012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0.12872905660351527</v>
      </c>
      <c r="K96" s="22">
        <f t="shared" si="61"/>
        <v>0.1373721866529925</v>
      </c>
      <c r="L96" s="22">
        <f t="shared" si="62"/>
        <v>0.12704845868634337</v>
      </c>
      <c r="M96" s="227">
        <f t="shared" si="63"/>
        <v>0.12872905660351527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1.9272186534562724E-2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1.9272186534562724E-2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0.19683341988305089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0.19683341988305089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0.44285658052567589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0.44285658052567589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27.150130772594594</v>
      </c>
      <c r="J119" s="24">
        <f>SUM(J91:J118)</f>
        <v>27.466807626126435</v>
      </c>
      <c r="K119" s="22">
        <f>SUM(K91:K118)</f>
        <v>45.826434060271026</v>
      </c>
      <c r="L119" s="22">
        <f>SUM(L91:L118)</f>
        <v>27.462673311197825</v>
      </c>
      <c r="M119" s="57">
        <f t="shared" si="50"/>
        <v>27.466807626126435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26.123585938697655</v>
      </c>
      <c r="J128" s="228">
        <f>(J30)</f>
        <v>6.5765459247310698E-2</v>
      </c>
      <c r="K128" s="22">
        <f>(B128)</f>
        <v>0.58156372602739725</v>
      </c>
      <c r="L128" s="22">
        <f>IF(L124=L119,0,(L119-L124)/(B119-B124)*K128)</f>
        <v>0.34458701651178125</v>
      </c>
      <c r="M128" s="57">
        <f t="shared" si="90"/>
        <v>6.5765459247310698E-2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18.608836829060834</v>
      </c>
      <c r="K129" s="29">
        <f>(B129)</f>
        <v>33.176251353822522</v>
      </c>
      <c r="L129" s="60">
        <f>IF(SUM(L124:L128)&gt;L130,0,L130-SUM(L124:L128))</f>
        <v>18.325880956867756</v>
      </c>
      <c r="M129" s="57">
        <f t="shared" si="90"/>
        <v>18.608836829060834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27.150130772594594</v>
      </c>
      <c r="J130" s="228">
        <f>(J119)</f>
        <v>27.466807626126435</v>
      </c>
      <c r="K130" s="22">
        <f>(B130)</f>
        <v>45.826434060271026</v>
      </c>
      <c r="L130" s="22">
        <f>(L119)</f>
        <v>27.462673311197825</v>
      </c>
      <c r="M130" s="57">
        <f t="shared" si="90"/>
        <v>27.466807626126435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4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5766.3874010626987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23121.215317274455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631.29999999999995</v>
      </c>
      <c r="G76" s="109">
        <f>Poor!T11</f>
        <v>2688.04</v>
      </c>
      <c r="H76" s="109">
        <f>Middle!T11</f>
        <v>8039.6161656537406</v>
      </c>
      <c r="I76" s="109">
        <f>Rich!T11</f>
        <v>20639.773920798962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777.38181797539949</v>
      </c>
      <c r="G77" s="109">
        <f>Poor!T12</f>
        <v>774.9837668901788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2650.5066238978993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2946.0827818379416</v>
      </c>
      <c r="G81" s="109">
        <f>Poor!T16</f>
        <v>3347.1245708036863</v>
      </c>
      <c r="H81" s="109">
        <f>Middle!T16</f>
        <v>2866.0814510186297</v>
      </c>
      <c r="I81" s="109">
        <f>Rich!T16</f>
        <v>5744.7613357879327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41275.990046476931</v>
      </c>
      <c r="G88" s="109">
        <f>Poor!T23</f>
        <v>54187.216536325461</v>
      </c>
      <c r="H88" s="109">
        <f>Middle!T23</f>
        <v>95356.340980249021</v>
      </c>
      <c r="I88" s="109">
        <f>Rich!T23</f>
        <v>363493.0044842037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21850.709391846314</v>
      </c>
      <c r="G100" s="239">
        <f t="shared" si="0"/>
        <v>8939.4829019977842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2016-08-09T18:20:31Z</dcterms:modified>
  <cp:category/>
</cp:coreProperties>
</file>