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20" yWindow="0" windowWidth="18000" windowHeight="16060" activeTab="5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3" i="1" l="1"/>
  <c r="E42" i="1"/>
  <c r="E41" i="1"/>
  <c r="E40" i="1"/>
  <c r="E39" i="1"/>
  <c r="B81" i="8"/>
  <c r="T2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B70" i="7"/>
  <c r="B71" i="7"/>
  <c r="B72" i="7"/>
  <c r="B29" i="7"/>
  <c r="C29" i="7"/>
  <c r="D29" i="7"/>
  <c r="B80" i="7"/>
  <c r="B82" i="7"/>
  <c r="B81" i="7"/>
  <c r="B83" i="7"/>
  <c r="G37" i="7"/>
  <c r="H83" i="7"/>
  <c r="I83" i="7"/>
  <c r="B81" i="1"/>
  <c r="F70" i="7"/>
  <c r="H70" i="7"/>
  <c r="F71" i="7"/>
  <c r="H71" i="7"/>
  <c r="F72" i="7"/>
  <c r="H72" i="7"/>
  <c r="T26" i="7"/>
  <c r="B6" i="7"/>
  <c r="C6" i="7"/>
  <c r="D6" i="7"/>
  <c r="E6" i="7"/>
  <c r="H6" i="7"/>
  <c r="I6" i="7"/>
  <c r="B7" i="7"/>
  <c r="C7" i="7"/>
  <c r="D7" i="7"/>
  <c r="E7" i="7"/>
  <c r="H7" i="7"/>
  <c r="I7" i="7"/>
  <c r="B8" i="7"/>
  <c r="C8" i="7"/>
  <c r="D8" i="7"/>
  <c r="E8" i="7"/>
  <c r="H8" i="7"/>
  <c r="I8" i="7"/>
  <c r="B9" i="7"/>
  <c r="C9" i="7"/>
  <c r="D9" i="7"/>
  <c r="E9" i="7"/>
  <c r="H9" i="7"/>
  <c r="I9" i="7"/>
  <c r="B10" i="7"/>
  <c r="C10" i="7"/>
  <c r="D10" i="7"/>
  <c r="E10" i="7"/>
  <c r="H10" i="7"/>
  <c r="I10" i="7"/>
  <c r="B11" i="7"/>
  <c r="C11" i="7"/>
  <c r="D11" i="7"/>
  <c r="E11" i="7"/>
  <c r="H11" i="7"/>
  <c r="I11" i="7"/>
  <c r="B12" i="7"/>
  <c r="C12" i="7"/>
  <c r="D12" i="7"/>
  <c r="E12" i="7"/>
  <c r="H12" i="7"/>
  <c r="I12" i="7"/>
  <c r="B13" i="7"/>
  <c r="C13" i="7"/>
  <c r="D13" i="7"/>
  <c r="E13" i="7"/>
  <c r="H13" i="7"/>
  <c r="I13" i="7"/>
  <c r="B14" i="7"/>
  <c r="C14" i="7"/>
  <c r="D14" i="7"/>
  <c r="E14" i="7"/>
  <c r="H14" i="7"/>
  <c r="I14" i="7"/>
  <c r="B15" i="7"/>
  <c r="C15" i="7"/>
  <c r="D15" i="7"/>
  <c r="E15" i="7"/>
  <c r="H15" i="7"/>
  <c r="I15" i="7"/>
  <c r="B16" i="7"/>
  <c r="C16" i="7"/>
  <c r="D16" i="7"/>
  <c r="E16" i="7"/>
  <c r="H16" i="7"/>
  <c r="I16" i="7"/>
  <c r="B17" i="7"/>
  <c r="C17" i="7"/>
  <c r="D17" i="7"/>
  <c r="E17" i="7"/>
  <c r="H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E37" i="7"/>
  <c r="F37" i="7"/>
  <c r="H91" i="7"/>
  <c r="I91" i="7"/>
  <c r="B38" i="7"/>
  <c r="B92" i="7"/>
  <c r="C38" i="7"/>
  <c r="C92" i="7"/>
  <c r="D92" i="7"/>
  <c r="E38" i="7"/>
  <c r="G38" i="1"/>
  <c r="G38" i="7"/>
  <c r="F38" i="7"/>
  <c r="H92" i="7"/>
  <c r="I92" i="7"/>
  <c r="B39" i="7"/>
  <c r="B93" i="7"/>
  <c r="C39" i="7"/>
  <c r="C93" i="7"/>
  <c r="D93" i="7"/>
  <c r="E39" i="7"/>
  <c r="G39" i="1"/>
  <c r="G39" i="7"/>
  <c r="F39" i="7"/>
  <c r="H93" i="7"/>
  <c r="I93" i="7"/>
  <c r="B40" i="7"/>
  <c r="B94" i="7"/>
  <c r="C40" i="7"/>
  <c r="C94" i="7"/>
  <c r="D94" i="7"/>
  <c r="E40" i="7"/>
  <c r="G40" i="1"/>
  <c r="G40" i="7"/>
  <c r="F40" i="7"/>
  <c r="H94" i="7"/>
  <c r="I94" i="7"/>
  <c r="B41" i="7"/>
  <c r="B95" i="7"/>
  <c r="C41" i="7"/>
  <c r="C95" i="7"/>
  <c r="D95" i="7"/>
  <c r="E41" i="7"/>
  <c r="G41" i="1"/>
  <c r="G41" i="7"/>
  <c r="F41" i="7"/>
  <c r="H95" i="7"/>
  <c r="I95" i="7"/>
  <c r="B42" i="7"/>
  <c r="B96" i="7"/>
  <c r="C42" i="7"/>
  <c r="C96" i="7"/>
  <c r="D96" i="7"/>
  <c r="E42" i="7"/>
  <c r="G42" i="1"/>
  <c r="G42" i="7"/>
  <c r="F42" i="7"/>
  <c r="H96" i="7"/>
  <c r="I96" i="7"/>
  <c r="B43" i="7"/>
  <c r="B97" i="7"/>
  <c r="C43" i="7"/>
  <c r="C97" i="7"/>
  <c r="D97" i="7"/>
  <c r="E43" i="7"/>
  <c r="G43" i="1"/>
  <c r="G43" i="7"/>
  <c r="F43" i="7"/>
  <c r="H97" i="7"/>
  <c r="I97" i="7"/>
  <c r="B44" i="7"/>
  <c r="B98" i="7"/>
  <c r="C44" i="7"/>
  <c r="C98" i="7"/>
  <c r="D98" i="7"/>
  <c r="E44" i="7"/>
  <c r="G44" i="1"/>
  <c r="G44" i="7"/>
  <c r="F44" i="7"/>
  <c r="H98" i="7"/>
  <c r="I98" i="7"/>
  <c r="B45" i="7"/>
  <c r="B99" i="7"/>
  <c r="C45" i="7"/>
  <c r="C99" i="7"/>
  <c r="D99" i="7"/>
  <c r="E45" i="7"/>
  <c r="G45" i="1"/>
  <c r="G45" i="7"/>
  <c r="F45" i="7"/>
  <c r="H99" i="7"/>
  <c r="I99" i="7"/>
  <c r="B46" i="7"/>
  <c r="B100" i="7"/>
  <c r="C46" i="7"/>
  <c r="C100" i="7"/>
  <c r="D100" i="7"/>
  <c r="E46" i="7"/>
  <c r="G46" i="1"/>
  <c r="G46" i="7"/>
  <c r="F46" i="7"/>
  <c r="H100" i="7"/>
  <c r="I100" i="7"/>
  <c r="B47" i="7"/>
  <c r="B101" i="7"/>
  <c r="C47" i="7"/>
  <c r="C101" i="7"/>
  <c r="D101" i="7"/>
  <c r="G47" i="1"/>
  <c r="G47" i="7"/>
  <c r="F47" i="7"/>
  <c r="H101" i="7"/>
  <c r="I101" i="7"/>
  <c r="B48" i="7"/>
  <c r="B102" i="7"/>
  <c r="C48" i="7"/>
  <c r="C102" i="7"/>
  <c r="D102" i="7"/>
  <c r="G48" i="1"/>
  <c r="G48" i="7"/>
  <c r="F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F73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3" i="7"/>
  <c r="M93" i="7"/>
  <c r="J94" i="7"/>
  <c r="M94" i="7"/>
  <c r="J95" i="7"/>
  <c r="M95" i="7"/>
  <c r="J96" i="7"/>
  <c r="M96" i="7"/>
  <c r="J91" i="7"/>
  <c r="M91" i="7"/>
  <c r="J92" i="7"/>
  <c r="M92" i="7"/>
  <c r="J97" i="7"/>
  <c r="M97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70" i="1"/>
  <c r="B71" i="1"/>
  <c r="B72" i="1"/>
  <c r="B29" i="1"/>
  <c r="C29" i="1"/>
  <c r="D29" i="1"/>
  <c r="B80" i="1"/>
  <c r="B82" i="1"/>
  <c r="B83" i="1"/>
  <c r="F7" i="1"/>
  <c r="H83" i="1"/>
  <c r="I83" i="1"/>
  <c r="H70" i="1"/>
  <c r="H71" i="1"/>
  <c r="H72" i="1"/>
  <c r="T26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B37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3" i="1"/>
  <c r="M93" i="1"/>
  <c r="J94" i="1"/>
  <c r="M94" i="1"/>
  <c r="J95" i="1"/>
  <c r="M95" i="1"/>
  <c r="J96" i="1"/>
  <c r="M96" i="1"/>
  <c r="J91" i="1"/>
  <c r="M91" i="1"/>
  <c r="J92" i="1"/>
  <c r="M92" i="1"/>
  <c r="J97" i="1"/>
  <c r="M97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B80" i="12"/>
  <c r="B81" i="12"/>
  <c r="B82" i="12"/>
  <c r="B83" i="12"/>
  <c r="I83" i="12"/>
  <c r="B70" i="12"/>
  <c r="B29" i="12"/>
  <c r="C29" i="12"/>
  <c r="D29" i="12"/>
  <c r="F70" i="12"/>
  <c r="H70" i="12"/>
  <c r="I84" i="12"/>
  <c r="B84" i="12"/>
  <c r="H84" i="12"/>
  <c r="B39" i="12"/>
  <c r="B93" i="12"/>
  <c r="K93" i="12"/>
  <c r="B40" i="12"/>
  <c r="B94" i="12"/>
  <c r="K94" i="12"/>
  <c r="B41" i="12"/>
  <c r="B95" i="12"/>
  <c r="K95" i="12"/>
  <c r="B42" i="12"/>
  <c r="B96" i="12"/>
  <c r="K96" i="12"/>
  <c r="B37" i="12"/>
  <c r="B91" i="12"/>
  <c r="K91" i="12"/>
  <c r="B38" i="12"/>
  <c r="B92" i="12"/>
  <c r="K92" i="12"/>
  <c r="B43" i="12"/>
  <c r="B97" i="12"/>
  <c r="K97" i="12"/>
  <c r="B44" i="12"/>
  <c r="B98" i="12"/>
  <c r="K98" i="12"/>
  <c r="B45" i="12"/>
  <c r="B99" i="12"/>
  <c r="K99" i="12"/>
  <c r="B46" i="12"/>
  <c r="B100" i="12"/>
  <c r="K100" i="12"/>
  <c r="B47" i="12"/>
  <c r="B101" i="12"/>
  <c r="K101" i="12"/>
  <c r="B48" i="12"/>
  <c r="B102" i="12"/>
  <c r="K102" i="12"/>
  <c r="B49" i="12"/>
  <c r="B103" i="12"/>
  <c r="K103" i="12"/>
  <c r="B50" i="12"/>
  <c r="B104" i="12"/>
  <c r="K104" i="12"/>
  <c r="B51" i="12"/>
  <c r="B105" i="12"/>
  <c r="K105" i="12"/>
  <c r="B52" i="12"/>
  <c r="B106" i="12"/>
  <c r="K106" i="12"/>
  <c r="B53" i="12"/>
  <c r="B107" i="12"/>
  <c r="K107" i="12"/>
  <c r="B54" i="12"/>
  <c r="B108" i="12"/>
  <c r="K108" i="12"/>
  <c r="B55" i="12"/>
  <c r="B109" i="12"/>
  <c r="K109" i="12"/>
  <c r="B56" i="12"/>
  <c r="B110" i="12"/>
  <c r="K110" i="12"/>
  <c r="B57" i="12"/>
  <c r="B111" i="12"/>
  <c r="K111" i="12"/>
  <c r="B58" i="12"/>
  <c r="B112" i="12"/>
  <c r="K112" i="12"/>
  <c r="B59" i="12"/>
  <c r="B113" i="12"/>
  <c r="K113" i="12"/>
  <c r="B60" i="12"/>
  <c r="B114" i="12"/>
  <c r="K114" i="12"/>
  <c r="B61" i="12"/>
  <c r="B115" i="12"/>
  <c r="K115" i="12"/>
  <c r="B62" i="12"/>
  <c r="B116" i="12"/>
  <c r="K116" i="12"/>
  <c r="B63" i="12"/>
  <c r="B117" i="12"/>
  <c r="K117" i="12"/>
  <c r="B64" i="12"/>
  <c r="B118" i="12"/>
  <c r="K118" i="12"/>
  <c r="R8" i="12"/>
  <c r="B6" i="12"/>
  <c r="K6" i="12"/>
  <c r="B7" i="12"/>
  <c r="K7" i="12"/>
  <c r="R9" i="12"/>
  <c r="R10" i="12"/>
  <c r="R11" i="12"/>
  <c r="B18" i="12"/>
  <c r="K18" i="12"/>
  <c r="B19" i="12"/>
  <c r="K19" i="12"/>
  <c r="R12" i="12"/>
  <c r="R13" i="12"/>
  <c r="R14" i="12"/>
  <c r="R15" i="12"/>
  <c r="R16" i="12"/>
  <c r="R17" i="12"/>
  <c r="B26" i="12"/>
  <c r="K26" i="12"/>
  <c r="R18" i="12"/>
  <c r="R19" i="12"/>
  <c r="R20" i="12"/>
  <c r="R21" i="12"/>
  <c r="R22" i="12"/>
  <c r="B8" i="12"/>
  <c r="K8" i="12"/>
  <c r="B9" i="12"/>
  <c r="K9" i="12"/>
  <c r="B10" i="12"/>
  <c r="K10" i="12"/>
  <c r="B11" i="12"/>
  <c r="K11" i="12"/>
  <c r="B12" i="12"/>
  <c r="K12" i="12"/>
  <c r="B13" i="12"/>
  <c r="K13" i="12"/>
  <c r="B14" i="12"/>
  <c r="K14" i="12"/>
  <c r="B15" i="12"/>
  <c r="K15" i="12"/>
  <c r="B16" i="12"/>
  <c r="K16" i="12"/>
  <c r="B17" i="12"/>
  <c r="K17" i="12"/>
  <c r="B20" i="12"/>
  <c r="K20" i="12"/>
  <c r="B21" i="12"/>
  <c r="K21" i="12"/>
  <c r="B22" i="12"/>
  <c r="K22" i="12"/>
  <c r="B23" i="12"/>
  <c r="K23" i="12"/>
  <c r="B24" i="12"/>
  <c r="K24" i="12"/>
  <c r="B25" i="12"/>
  <c r="K25" i="12"/>
  <c r="B27" i="12"/>
  <c r="K27" i="12"/>
  <c r="B28" i="12"/>
  <c r="K28" i="12"/>
  <c r="R7" i="12"/>
  <c r="B71" i="12"/>
  <c r="F71" i="12"/>
  <c r="H71" i="12"/>
  <c r="I85" i="12"/>
  <c r="B85" i="12"/>
  <c r="H85" i="12"/>
  <c r="B130" i="1"/>
  <c r="B129" i="1"/>
  <c r="B75" i="1"/>
  <c r="G37" i="8"/>
  <c r="E37" i="8"/>
  <c r="F37" i="8"/>
  <c r="H91" i="8"/>
  <c r="B37" i="8"/>
  <c r="B80" i="8"/>
  <c r="B82" i="8"/>
  <c r="B83" i="8"/>
  <c r="B91" i="8"/>
  <c r="C37" i="8"/>
  <c r="C91" i="8"/>
  <c r="D91" i="8"/>
  <c r="I91" i="8"/>
  <c r="I119" i="8"/>
  <c r="F70" i="8"/>
  <c r="H124" i="8"/>
  <c r="B70" i="8"/>
  <c r="B124" i="8"/>
  <c r="I124" i="8"/>
  <c r="I30" i="8"/>
  <c r="B6" i="8"/>
  <c r="C6" i="8"/>
  <c r="D6" i="8"/>
  <c r="E6" i="8"/>
  <c r="H6" i="8"/>
  <c r="I6" i="8"/>
  <c r="B7" i="8"/>
  <c r="C7" i="8"/>
  <c r="D7" i="8"/>
  <c r="E7" i="8"/>
  <c r="H7" i="8"/>
  <c r="I7" i="8"/>
  <c r="B8" i="8"/>
  <c r="C8" i="8"/>
  <c r="D8" i="8"/>
  <c r="E8" i="8"/>
  <c r="H8" i="8"/>
  <c r="I8" i="8"/>
  <c r="B9" i="8"/>
  <c r="C9" i="8"/>
  <c r="D9" i="8"/>
  <c r="E9" i="8"/>
  <c r="H9" i="8"/>
  <c r="I9" i="8"/>
  <c r="B10" i="8"/>
  <c r="C10" i="8"/>
  <c r="D10" i="8"/>
  <c r="E10" i="8"/>
  <c r="H10" i="8"/>
  <c r="I10" i="8"/>
  <c r="B11" i="8"/>
  <c r="C11" i="8"/>
  <c r="D11" i="8"/>
  <c r="E11" i="8"/>
  <c r="H11" i="8"/>
  <c r="I11" i="8"/>
  <c r="B12" i="8"/>
  <c r="C12" i="8"/>
  <c r="D12" i="8"/>
  <c r="E12" i="8"/>
  <c r="H12" i="8"/>
  <c r="I12" i="8"/>
  <c r="B13" i="8"/>
  <c r="C13" i="8"/>
  <c r="D13" i="8"/>
  <c r="E13" i="8"/>
  <c r="H13" i="8"/>
  <c r="I13" i="8"/>
  <c r="B14" i="8"/>
  <c r="C14" i="8"/>
  <c r="D14" i="8"/>
  <c r="E14" i="8"/>
  <c r="H14" i="8"/>
  <c r="I14" i="8"/>
  <c r="B15" i="8"/>
  <c r="C15" i="8"/>
  <c r="D15" i="8"/>
  <c r="E15" i="8"/>
  <c r="H15" i="8"/>
  <c r="I15" i="8"/>
  <c r="B16" i="8"/>
  <c r="C16" i="8"/>
  <c r="D16" i="8"/>
  <c r="E16" i="8"/>
  <c r="H16" i="8"/>
  <c r="I16" i="8"/>
  <c r="B17" i="8"/>
  <c r="C17" i="8"/>
  <c r="D17" i="8"/>
  <c r="E17" i="8"/>
  <c r="H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B29" i="8"/>
  <c r="C29" i="8"/>
  <c r="D29" i="8"/>
  <c r="I29" i="8"/>
  <c r="I32" i="8"/>
  <c r="I128" i="8"/>
  <c r="I131" i="8"/>
  <c r="J6" i="8"/>
  <c r="J31" i="8"/>
  <c r="J30" i="8"/>
  <c r="J29" i="7"/>
  <c r="J30" i="7"/>
  <c r="J31" i="7"/>
  <c r="J29" i="1"/>
  <c r="J30" i="1"/>
  <c r="J31" i="1"/>
  <c r="B72" i="12"/>
  <c r="F72" i="12"/>
  <c r="H72" i="12"/>
  <c r="R26" i="12"/>
  <c r="S26" i="12"/>
  <c r="T26" i="12"/>
  <c r="R25" i="12"/>
  <c r="S25" i="12"/>
  <c r="T25" i="12"/>
  <c r="E37" i="12"/>
  <c r="F37" i="12"/>
  <c r="H91" i="12"/>
  <c r="C37" i="12"/>
  <c r="C91" i="12"/>
  <c r="D91" i="12"/>
  <c r="I91" i="12"/>
  <c r="G38" i="12"/>
  <c r="E38" i="12"/>
  <c r="F38" i="12"/>
  <c r="H92" i="12"/>
  <c r="C38" i="12"/>
  <c r="C92" i="12"/>
  <c r="D92" i="12"/>
  <c r="I92" i="12"/>
  <c r="G39" i="12"/>
  <c r="E39" i="12"/>
  <c r="F39" i="12"/>
  <c r="H93" i="12"/>
  <c r="C39" i="12"/>
  <c r="C93" i="12"/>
  <c r="D93" i="12"/>
  <c r="I93" i="12"/>
  <c r="G40" i="12"/>
  <c r="E40" i="12"/>
  <c r="F40" i="12"/>
  <c r="H94" i="12"/>
  <c r="C40" i="12"/>
  <c r="C94" i="12"/>
  <c r="D94" i="12"/>
  <c r="I94" i="12"/>
  <c r="G41" i="12"/>
  <c r="E41" i="12"/>
  <c r="F41" i="12"/>
  <c r="H95" i="12"/>
  <c r="C41" i="12"/>
  <c r="C95" i="12"/>
  <c r="D95" i="12"/>
  <c r="I95" i="12"/>
  <c r="G42" i="12"/>
  <c r="E42" i="12"/>
  <c r="F42" i="12"/>
  <c r="H96" i="12"/>
  <c r="C42" i="12"/>
  <c r="C96" i="12"/>
  <c r="D96" i="12"/>
  <c r="I96" i="12"/>
  <c r="G43" i="12"/>
  <c r="E43" i="12"/>
  <c r="F43" i="12"/>
  <c r="H97" i="12"/>
  <c r="C43" i="12"/>
  <c r="C97" i="12"/>
  <c r="D97" i="12"/>
  <c r="I97" i="12"/>
  <c r="G44" i="12"/>
  <c r="E44" i="12"/>
  <c r="F44" i="12"/>
  <c r="H98" i="12"/>
  <c r="C44" i="12"/>
  <c r="C98" i="12"/>
  <c r="D98" i="12"/>
  <c r="I98" i="12"/>
  <c r="G45" i="12"/>
  <c r="E45" i="12"/>
  <c r="F45" i="12"/>
  <c r="H99" i="12"/>
  <c r="C45" i="12"/>
  <c r="C99" i="12"/>
  <c r="D99" i="12"/>
  <c r="I99" i="12"/>
  <c r="G46" i="12"/>
  <c r="E46" i="12"/>
  <c r="F46" i="12"/>
  <c r="H100" i="12"/>
  <c r="C46" i="12"/>
  <c r="C100" i="12"/>
  <c r="D100" i="12"/>
  <c r="I100" i="12"/>
  <c r="G47" i="12"/>
  <c r="F47" i="12"/>
  <c r="H101" i="12"/>
  <c r="C47" i="12"/>
  <c r="C101" i="12"/>
  <c r="D101" i="12"/>
  <c r="I101" i="12"/>
  <c r="G48" i="12"/>
  <c r="F48" i="12"/>
  <c r="H102" i="12"/>
  <c r="C48" i="12"/>
  <c r="C102" i="12"/>
  <c r="D102" i="12"/>
  <c r="I102" i="12"/>
  <c r="G49" i="12"/>
  <c r="H103" i="12"/>
  <c r="C49" i="12"/>
  <c r="C103" i="12"/>
  <c r="D103" i="12"/>
  <c r="I103" i="12"/>
  <c r="G50" i="12"/>
  <c r="H104" i="12"/>
  <c r="C50" i="12"/>
  <c r="C104" i="12"/>
  <c r="D104" i="12"/>
  <c r="I104" i="12"/>
  <c r="G51" i="12"/>
  <c r="H105" i="12"/>
  <c r="C51" i="12"/>
  <c r="C105" i="12"/>
  <c r="D105" i="12"/>
  <c r="I105" i="12"/>
  <c r="G52" i="12"/>
  <c r="H106" i="12"/>
  <c r="C52" i="12"/>
  <c r="C106" i="12"/>
  <c r="D106" i="12"/>
  <c r="I106" i="12"/>
  <c r="G53" i="12"/>
  <c r="H107" i="12"/>
  <c r="C53" i="12"/>
  <c r="C107" i="12"/>
  <c r="D107" i="12"/>
  <c r="I107" i="12"/>
  <c r="G54" i="12"/>
  <c r="H108" i="12"/>
  <c r="C54" i="12"/>
  <c r="C108" i="12"/>
  <c r="D108" i="12"/>
  <c r="I108" i="12"/>
  <c r="G55" i="12"/>
  <c r="H109" i="12"/>
  <c r="C55" i="12"/>
  <c r="C109" i="12"/>
  <c r="D109" i="12"/>
  <c r="I109" i="12"/>
  <c r="G56" i="12"/>
  <c r="H110" i="12"/>
  <c r="C56" i="12"/>
  <c r="C110" i="12"/>
  <c r="D110" i="12"/>
  <c r="I110" i="12"/>
  <c r="G57" i="12"/>
  <c r="H111" i="12"/>
  <c r="C57" i="12"/>
  <c r="C111" i="12"/>
  <c r="D111" i="12"/>
  <c r="I111" i="12"/>
  <c r="G58" i="12"/>
  <c r="H112" i="12"/>
  <c r="C58" i="12"/>
  <c r="C112" i="12"/>
  <c r="D112" i="12"/>
  <c r="I112" i="12"/>
  <c r="G59" i="12"/>
  <c r="H113" i="12"/>
  <c r="C59" i="12"/>
  <c r="C113" i="12"/>
  <c r="D113" i="12"/>
  <c r="I113" i="12"/>
  <c r="G60" i="12"/>
  <c r="H114" i="12"/>
  <c r="C60" i="12"/>
  <c r="C114" i="12"/>
  <c r="D114" i="12"/>
  <c r="I114" i="12"/>
  <c r="G61" i="12"/>
  <c r="H115" i="12"/>
  <c r="C61" i="12"/>
  <c r="C115" i="12"/>
  <c r="D115" i="12"/>
  <c r="I115" i="12"/>
  <c r="G62" i="12"/>
  <c r="H116" i="12"/>
  <c r="C62" i="12"/>
  <c r="C116" i="12"/>
  <c r="D116" i="12"/>
  <c r="I116" i="12"/>
  <c r="G63" i="12"/>
  <c r="H117" i="12"/>
  <c r="C63" i="12"/>
  <c r="C117" i="12"/>
  <c r="D117" i="12"/>
  <c r="I117" i="12"/>
  <c r="G64" i="12"/>
  <c r="H118" i="12"/>
  <c r="C64" i="12"/>
  <c r="C118" i="12"/>
  <c r="D118" i="12"/>
  <c r="I118" i="12"/>
  <c r="I119" i="12"/>
  <c r="H124" i="12"/>
  <c r="B124" i="12"/>
  <c r="I124" i="12"/>
  <c r="I30" i="12"/>
  <c r="C6" i="12"/>
  <c r="D6" i="12"/>
  <c r="E6" i="12"/>
  <c r="H6" i="12"/>
  <c r="I6" i="12"/>
  <c r="C7" i="12"/>
  <c r="D7" i="12"/>
  <c r="E7" i="12"/>
  <c r="H7" i="12"/>
  <c r="I7" i="12"/>
  <c r="C8" i="12"/>
  <c r="D8" i="12"/>
  <c r="E8" i="12"/>
  <c r="H8" i="12"/>
  <c r="I8" i="12"/>
  <c r="C9" i="12"/>
  <c r="D9" i="12"/>
  <c r="E9" i="12"/>
  <c r="H9" i="12"/>
  <c r="I9" i="12"/>
  <c r="C10" i="12"/>
  <c r="D10" i="12"/>
  <c r="E10" i="12"/>
  <c r="H10" i="12"/>
  <c r="I10" i="12"/>
  <c r="C11" i="12"/>
  <c r="D11" i="12"/>
  <c r="E11" i="12"/>
  <c r="H11" i="12"/>
  <c r="I11" i="12"/>
  <c r="C12" i="12"/>
  <c r="D12" i="12"/>
  <c r="E12" i="12"/>
  <c r="H12" i="12"/>
  <c r="I12" i="12"/>
  <c r="C13" i="12"/>
  <c r="D13" i="12"/>
  <c r="E13" i="12"/>
  <c r="H13" i="12"/>
  <c r="I13" i="12"/>
  <c r="C14" i="12"/>
  <c r="D14" i="12"/>
  <c r="E14" i="12"/>
  <c r="H14" i="12"/>
  <c r="I14" i="12"/>
  <c r="C15" i="12"/>
  <c r="D15" i="12"/>
  <c r="E15" i="12"/>
  <c r="H15" i="12"/>
  <c r="I15" i="12"/>
  <c r="C16" i="12"/>
  <c r="D16" i="12"/>
  <c r="E16" i="12"/>
  <c r="H16" i="12"/>
  <c r="I16" i="12"/>
  <c r="C17" i="12"/>
  <c r="D17" i="12"/>
  <c r="E17" i="12"/>
  <c r="H17" i="12"/>
  <c r="I17" i="12"/>
  <c r="C18" i="12"/>
  <c r="D18" i="12"/>
  <c r="I18" i="12"/>
  <c r="C19" i="12"/>
  <c r="D19" i="12"/>
  <c r="I19" i="12"/>
  <c r="C20" i="12"/>
  <c r="D20" i="12"/>
  <c r="I20" i="12"/>
  <c r="C21" i="12"/>
  <c r="D21" i="12"/>
  <c r="I21" i="12"/>
  <c r="C22" i="12"/>
  <c r="D22" i="12"/>
  <c r="I22" i="12"/>
  <c r="C23" i="12"/>
  <c r="D23" i="12"/>
  <c r="I23" i="12"/>
  <c r="C24" i="12"/>
  <c r="D24" i="12"/>
  <c r="I24" i="12"/>
  <c r="C25" i="12"/>
  <c r="D25" i="12"/>
  <c r="I25" i="12"/>
  <c r="C26" i="12"/>
  <c r="D26" i="12"/>
  <c r="I26" i="12"/>
  <c r="C27" i="12"/>
  <c r="D27" i="12"/>
  <c r="I27" i="12"/>
  <c r="C28" i="12"/>
  <c r="D28" i="12"/>
  <c r="I28" i="12"/>
  <c r="I29" i="12"/>
  <c r="I32" i="12"/>
  <c r="H125" i="12"/>
  <c r="I128" i="12"/>
  <c r="B125" i="12"/>
  <c r="I131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F73" i="12"/>
  <c r="H127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4" i="12"/>
  <c r="B30" i="12"/>
  <c r="K30" i="12"/>
  <c r="B119" i="12"/>
  <c r="L30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K29" i="12"/>
  <c r="L29" i="12"/>
  <c r="L32" i="12"/>
  <c r="H126" i="12"/>
  <c r="B128" i="12"/>
  <c r="K128" i="12"/>
  <c r="L128" i="12"/>
  <c r="B126" i="12"/>
  <c r="B73" i="12"/>
  <c r="B127" i="12"/>
  <c r="L127" i="12"/>
  <c r="K127" i="12"/>
  <c r="J33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3" i="12"/>
  <c r="M93" i="12"/>
  <c r="J94" i="12"/>
  <c r="M94" i="12"/>
  <c r="J95" i="12"/>
  <c r="M95" i="12"/>
  <c r="J96" i="12"/>
  <c r="M96" i="12"/>
  <c r="J91" i="12"/>
  <c r="M91" i="12"/>
  <c r="J92" i="12"/>
  <c r="M92" i="12"/>
  <c r="J97" i="12"/>
  <c r="M97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1" i="12"/>
  <c r="R24" i="12"/>
  <c r="S24" i="12"/>
  <c r="T24" i="12"/>
  <c r="J29" i="12"/>
  <c r="J30" i="12"/>
  <c r="J31" i="12"/>
  <c r="J128" i="12"/>
  <c r="J119" i="12"/>
  <c r="J131" i="12"/>
  <c r="J77" i="12"/>
  <c r="S22" i="12"/>
  <c r="S21" i="12"/>
  <c r="S20" i="12"/>
  <c r="S19" i="12"/>
  <c r="S18" i="12"/>
  <c r="S17" i="12"/>
  <c r="S16" i="12"/>
  <c r="S15" i="12"/>
  <c r="S14" i="12"/>
  <c r="S13" i="12"/>
  <c r="S12" i="12"/>
  <c r="S11" i="12"/>
  <c r="S10" i="12"/>
  <c r="S9" i="12"/>
  <c r="S8" i="12"/>
  <c r="S7" i="12"/>
  <c r="E70" i="7"/>
  <c r="F9" i="7"/>
  <c r="E71" i="7"/>
  <c r="E29" i="7"/>
  <c r="H29" i="7"/>
  <c r="E72" i="7"/>
  <c r="E28" i="7"/>
  <c r="H28" i="7"/>
  <c r="E47" i="7"/>
  <c r="E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27" i="7"/>
  <c r="H27" i="7"/>
  <c r="E26" i="7"/>
  <c r="H26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73" i="7"/>
  <c r="B2" i="13"/>
  <c r="E2" i="13"/>
  <c r="D2" i="13"/>
  <c r="C2" i="13"/>
  <c r="B1" i="1"/>
  <c r="A1" i="1"/>
  <c r="B87" i="8"/>
  <c r="B79" i="8"/>
  <c r="B73" i="8"/>
  <c r="B72" i="8"/>
  <c r="B71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B30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F9" i="8"/>
  <c r="G38" i="8"/>
  <c r="E38" i="8"/>
  <c r="F38" i="8"/>
  <c r="H92" i="8"/>
  <c r="B92" i="8"/>
  <c r="C92" i="8"/>
  <c r="D92" i="8"/>
  <c r="I92" i="8"/>
  <c r="G39" i="8"/>
  <c r="E39" i="8"/>
  <c r="F39" i="8"/>
  <c r="H93" i="8"/>
  <c r="B93" i="8"/>
  <c r="C93" i="8"/>
  <c r="D93" i="8"/>
  <c r="I93" i="8"/>
  <c r="G40" i="8"/>
  <c r="E40" i="8"/>
  <c r="F40" i="8"/>
  <c r="H94" i="8"/>
  <c r="B94" i="8"/>
  <c r="C94" i="8"/>
  <c r="D94" i="8"/>
  <c r="I94" i="8"/>
  <c r="G41" i="8"/>
  <c r="E41" i="8"/>
  <c r="F41" i="8"/>
  <c r="H95" i="8"/>
  <c r="B95" i="8"/>
  <c r="C95" i="8"/>
  <c r="D95" i="8"/>
  <c r="I95" i="8"/>
  <c r="G42" i="8"/>
  <c r="E42" i="8"/>
  <c r="F42" i="8"/>
  <c r="H96" i="8"/>
  <c r="B96" i="8"/>
  <c r="C96" i="8"/>
  <c r="D96" i="8"/>
  <c r="I96" i="8"/>
  <c r="G43" i="8"/>
  <c r="E43" i="8"/>
  <c r="F43" i="8"/>
  <c r="H97" i="8"/>
  <c r="B97" i="8"/>
  <c r="C97" i="8"/>
  <c r="D97" i="8"/>
  <c r="I97" i="8"/>
  <c r="G44" i="8"/>
  <c r="E44" i="8"/>
  <c r="F44" i="8"/>
  <c r="H98" i="8"/>
  <c r="B98" i="8"/>
  <c r="C98" i="8"/>
  <c r="D98" i="8"/>
  <c r="I98" i="8"/>
  <c r="G45" i="8"/>
  <c r="E45" i="8"/>
  <c r="F45" i="8"/>
  <c r="H99" i="8"/>
  <c r="B99" i="8"/>
  <c r="C99" i="8"/>
  <c r="D99" i="8"/>
  <c r="I99" i="8"/>
  <c r="G46" i="8"/>
  <c r="E46" i="8"/>
  <c r="F46" i="8"/>
  <c r="H100" i="8"/>
  <c r="B100" i="8"/>
  <c r="C100" i="8"/>
  <c r="D100" i="8"/>
  <c r="I100" i="8"/>
  <c r="G47" i="8"/>
  <c r="E47" i="8"/>
  <c r="F47" i="8"/>
  <c r="H101" i="8"/>
  <c r="B101" i="8"/>
  <c r="C101" i="8"/>
  <c r="D101" i="8"/>
  <c r="I101" i="8"/>
  <c r="G48" i="8"/>
  <c r="E48" i="8"/>
  <c r="F48" i="8"/>
  <c r="H102" i="8"/>
  <c r="B102" i="8"/>
  <c r="C102" i="8"/>
  <c r="D102" i="8"/>
  <c r="I102" i="8"/>
  <c r="G49" i="8"/>
  <c r="E49" i="8"/>
  <c r="F49" i="8"/>
  <c r="H103" i="8"/>
  <c r="B103" i="8"/>
  <c r="C103" i="8"/>
  <c r="D103" i="8"/>
  <c r="I103" i="8"/>
  <c r="G50" i="8"/>
  <c r="E50" i="8"/>
  <c r="F50" i="8"/>
  <c r="H104" i="8"/>
  <c r="B104" i="8"/>
  <c r="C104" i="8"/>
  <c r="D104" i="8"/>
  <c r="I104" i="8"/>
  <c r="G51" i="8"/>
  <c r="E51" i="8"/>
  <c r="F51" i="8"/>
  <c r="H105" i="8"/>
  <c r="B105" i="8"/>
  <c r="C105" i="8"/>
  <c r="D105" i="8"/>
  <c r="I105" i="8"/>
  <c r="G52" i="8"/>
  <c r="E52" i="8"/>
  <c r="F52" i="8"/>
  <c r="H106" i="8"/>
  <c r="B106" i="8"/>
  <c r="C106" i="8"/>
  <c r="D106" i="8"/>
  <c r="I106" i="8"/>
  <c r="G53" i="8"/>
  <c r="E53" i="8"/>
  <c r="F53" i="8"/>
  <c r="H107" i="8"/>
  <c r="B107" i="8"/>
  <c r="C107" i="8"/>
  <c r="D107" i="8"/>
  <c r="I107" i="8"/>
  <c r="G54" i="8"/>
  <c r="E54" i="8"/>
  <c r="F54" i="8"/>
  <c r="H108" i="8"/>
  <c r="B108" i="8"/>
  <c r="C108" i="8"/>
  <c r="D108" i="8"/>
  <c r="I108" i="8"/>
  <c r="G55" i="8"/>
  <c r="E55" i="8"/>
  <c r="F55" i="8"/>
  <c r="H109" i="8"/>
  <c r="B109" i="8"/>
  <c r="C109" i="8"/>
  <c r="D109" i="8"/>
  <c r="I109" i="8"/>
  <c r="G56" i="8"/>
  <c r="E56" i="8"/>
  <c r="F56" i="8"/>
  <c r="H110" i="8"/>
  <c r="B110" i="8"/>
  <c r="C110" i="8"/>
  <c r="D110" i="8"/>
  <c r="I110" i="8"/>
  <c r="G57" i="8"/>
  <c r="E57" i="8"/>
  <c r="F57" i="8"/>
  <c r="H111" i="8"/>
  <c r="B111" i="8"/>
  <c r="C111" i="8"/>
  <c r="D111" i="8"/>
  <c r="I111" i="8"/>
  <c r="G58" i="8"/>
  <c r="E58" i="8"/>
  <c r="F58" i="8"/>
  <c r="H112" i="8"/>
  <c r="B112" i="8"/>
  <c r="C112" i="8"/>
  <c r="D112" i="8"/>
  <c r="I112" i="8"/>
  <c r="G59" i="8"/>
  <c r="E59" i="8"/>
  <c r="F59" i="8"/>
  <c r="H113" i="8"/>
  <c r="B113" i="8"/>
  <c r="C113" i="8"/>
  <c r="D113" i="8"/>
  <c r="I113" i="8"/>
  <c r="G60" i="8"/>
  <c r="E60" i="8"/>
  <c r="F60" i="8"/>
  <c r="H114" i="8"/>
  <c r="B114" i="8"/>
  <c r="C114" i="8"/>
  <c r="D114" i="8"/>
  <c r="I114" i="8"/>
  <c r="G61" i="8"/>
  <c r="E61" i="8"/>
  <c r="F61" i="8"/>
  <c r="H115" i="8"/>
  <c r="B115" i="8"/>
  <c r="C115" i="8"/>
  <c r="D115" i="8"/>
  <c r="I115" i="8"/>
  <c r="G62" i="8"/>
  <c r="E62" i="8"/>
  <c r="F62" i="8"/>
  <c r="H116" i="8"/>
  <c r="B116" i="8"/>
  <c r="C116" i="8"/>
  <c r="D116" i="8"/>
  <c r="I116" i="8"/>
  <c r="G63" i="8"/>
  <c r="E63" i="8"/>
  <c r="F63" i="8"/>
  <c r="H117" i="8"/>
  <c r="B117" i="8"/>
  <c r="C117" i="8"/>
  <c r="D117" i="8"/>
  <c r="I117" i="8"/>
  <c r="G64" i="8"/>
  <c r="E64" i="8"/>
  <c r="F64" i="8"/>
  <c r="H118" i="8"/>
  <c r="B118" i="8"/>
  <c r="C118" i="8"/>
  <c r="D118" i="8"/>
  <c r="I118" i="8"/>
  <c r="E70" i="8"/>
  <c r="E30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25" i="8"/>
  <c r="H25" i="8"/>
  <c r="E26" i="8"/>
  <c r="H26" i="8"/>
  <c r="E27" i="8"/>
  <c r="H27" i="8"/>
  <c r="E28" i="8"/>
  <c r="H28" i="8"/>
  <c r="E29" i="8"/>
  <c r="H29" i="8"/>
  <c r="E71" i="8"/>
  <c r="F71" i="8"/>
  <c r="H125" i="8"/>
  <c r="E72" i="8"/>
  <c r="F72" i="8"/>
  <c r="H126" i="8"/>
  <c r="E73" i="8"/>
  <c r="F73" i="8"/>
  <c r="H127" i="8"/>
  <c r="F9" i="12"/>
  <c r="E47" i="12"/>
  <c r="E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70" i="12"/>
  <c r="E30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29" i="12"/>
  <c r="H29" i="12"/>
  <c r="E71" i="12"/>
  <c r="E72" i="12"/>
  <c r="E73" i="12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119" i="8"/>
  <c r="B128" i="8"/>
  <c r="K128" i="8"/>
  <c r="L128" i="8"/>
  <c r="B125" i="8"/>
  <c r="B126" i="8"/>
  <c r="B127" i="8"/>
  <c r="L127" i="8"/>
  <c r="L126" i="8"/>
  <c r="L125" i="8"/>
  <c r="L126" i="7"/>
  <c r="L125" i="7"/>
  <c r="L126" i="12"/>
  <c r="L125" i="12"/>
  <c r="L130" i="8"/>
  <c r="L129" i="8"/>
  <c r="B130" i="8"/>
  <c r="B129" i="8"/>
  <c r="K129" i="8"/>
  <c r="K30" i="8"/>
  <c r="L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32" i="8"/>
  <c r="K127" i="8"/>
  <c r="J33" i="8"/>
  <c r="J18" i="8"/>
  <c r="J19" i="8"/>
  <c r="J20" i="8"/>
  <c r="J21" i="8"/>
  <c r="J22" i="8"/>
  <c r="J23" i="8"/>
  <c r="J24" i="8"/>
  <c r="J25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L75" i="12"/>
  <c r="H83" i="8"/>
  <c r="I83" i="8"/>
  <c r="H70" i="8"/>
  <c r="I84" i="8"/>
  <c r="B84" i="8"/>
  <c r="H84" i="8"/>
  <c r="J91" i="8"/>
  <c r="M91" i="8"/>
  <c r="J92" i="8"/>
  <c r="M92" i="8"/>
  <c r="M20" i="8"/>
  <c r="J11" i="8"/>
  <c r="M11" i="8"/>
  <c r="J98" i="8"/>
  <c r="M98" i="8"/>
  <c r="M21" i="8"/>
  <c r="J109" i="8"/>
  <c r="M109" i="8"/>
  <c r="J103" i="8"/>
  <c r="M103" i="8"/>
  <c r="M18" i="8"/>
  <c r="M19" i="8"/>
  <c r="J17" i="8"/>
  <c r="M17" i="8"/>
  <c r="J102" i="8"/>
  <c r="M102" i="8"/>
  <c r="M22" i="8"/>
  <c r="M23" i="8"/>
  <c r="M24" i="8"/>
  <c r="J106" i="8"/>
  <c r="M106" i="8"/>
  <c r="J107" i="8"/>
  <c r="M107" i="8"/>
  <c r="J105" i="8"/>
  <c r="M105" i="8"/>
  <c r="J118" i="8"/>
  <c r="M118" i="8"/>
  <c r="J104" i="8"/>
  <c r="M104" i="8"/>
  <c r="J111" i="8"/>
  <c r="M111" i="8"/>
  <c r="M25" i="8"/>
  <c r="I127" i="8"/>
  <c r="I73" i="8"/>
  <c r="B32" i="8"/>
  <c r="I125" i="8"/>
  <c r="I71" i="8"/>
  <c r="I126" i="8"/>
  <c r="I72" i="8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1" i="8"/>
  <c r="H72" i="8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R23" i="12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S23" i="12"/>
  <c r="S32" i="12"/>
  <c r="R32" i="12"/>
  <c r="S31" i="12"/>
  <c r="R31" i="12"/>
  <c r="S30" i="12"/>
  <c r="R30" i="12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E73" i="9"/>
  <c r="E26" i="13"/>
  <c r="D73" i="9"/>
  <c r="D26" i="13"/>
  <c r="DA43" i="13"/>
  <c r="E72" i="9"/>
  <c r="E25" i="13"/>
  <c r="D72" i="9"/>
  <c r="D25" i="13"/>
  <c r="DA42" i="13"/>
  <c r="G49" i="13"/>
  <c r="J45" i="13"/>
  <c r="L43" i="13"/>
  <c r="E83" i="9"/>
  <c r="E35" i="13"/>
  <c r="D83" i="9"/>
  <c r="D35" i="13"/>
  <c r="DA52" i="13"/>
  <c r="F46" i="13"/>
  <c r="E76" i="9"/>
  <c r="E29" i="13"/>
  <c r="D76" i="9"/>
  <c r="D29" i="13"/>
  <c r="CZ46" i="13"/>
  <c r="H48" i="13"/>
  <c r="CZ52" i="13"/>
  <c r="K43" i="13"/>
  <c r="E79" i="9"/>
  <c r="E32" i="13"/>
  <c r="D79" i="9"/>
  <c r="D32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E74" i="9"/>
  <c r="E27" i="13"/>
  <c r="D74" i="9"/>
  <c r="D27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E85" i="9"/>
  <c r="E36" i="13"/>
  <c r="D85" i="9"/>
  <c r="D36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CX49" i="13"/>
  <c r="K46" i="13"/>
  <c r="N46" i="13"/>
  <c r="G19" i="13"/>
  <c r="G51" i="13"/>
  <c r="CZ51" i="13"/>
  <c r="G46" i="13"/>
  <c r="K52" i="13"/>
  <c r="F52" i="13"/>
  <c r="E81" i="9"/>
  <c r="E33" i="13"/>
  <c r="D81" i="9"/>
  <c r="D33" i="13"/>
  <c r="DA50" i="13"/>
  <c r="K54" i="13"/>
  <c r="C73" i="9"/>
  <c r="C26" i="13"/>
  <c r="B73" i="9"/>
  <c r="B26" i="13"/>
  <c r="Q43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CY42" i="13"/>
  <c r="J42" i="13"/>
  <c r="E78" i="9"/>
  <c r="E31" i="13"/>
  <c r="D78" i="9"/>
  <c r="D31" i="13"/>
  <c r="CZ48" i="13"/>
  <c r="K51" i="13"/>
  <c r="CZ19" i="13"/>
  <c r="I50" i="13"/>
  <c r="G48" i="13"/>
  <c r="O46" i="13"/>
  <c r="C86" i="9"/>
  <c r="C37" i="13"/>
  <c r="B86" i="9"/>
  <c r="B37" i="13"/>
  <c r="R54" i="13"/>
  <c r="E77" i="9"/>
  <c r="E30" i="13"/>
  <c r="D77" i="9"/>
  <c r="D30" i="13"/>
  <c r="DA47" i="13"/>
  <c r="F19" i="13"/>
  <c r="CY52" i="13"/>
  <c r="M42" i="13"/>
  <c r="F54" i="13"/>
  <c r="O43" i="13"/>
  <c r="CY46" i="13"/>
  <c r="L48" i="13"/>
  <c r="CX43" i="13"/>
  <c r="DA5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CX53" i="13"/>
  <c r="N53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D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E18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M6" i="8"/>
  <c r="AE6" i="8"/>
  <c r="J12" i="8"/>
  <c r="M12" i="8"/>
  <c r="AE12" i="8"/>
  <c r="J13" i="8"/>
  <c r="M13" i="8"/>
  <c r="AE13" i="8"/>
  <c r="J14" i="8"/>
  <c r="M14" i="8"/>
  <c r="AE14" i="8"/>
  <c r="J15" i="8"/>
  <c r="M15" i="8"/>
  <c r="AE15" i="8"/>
  <c r="J16" i="8"/>
  <c r="M16" i="8"/>
  <c r="AE16" i="8"/>
  <c r="AE17" i="8"/>
  <c r="J26" i="8"/>
  <c r="M26" i="8"/>
  <c r="AE26" i="8"/>
  <c r="J27" i="8"/>
  <c r="M27" i="8"/>
  <c r="AE27" i="8"/>
  <c r="J28" i="8"/>
  <c r="M28" i="8"/>
  <c r="AE28" i="8"/>
  <c r="J29" i="8"/>
  <c r="M29" i="8"/>
  <c r="AE29" i="8"/>
  <c r="J7" i="8"/>
  <c r="M7" i="8"/>
  <c r="Y7" i="8"/>
  <c r="J8" i="8"/>
  <c r="M8" i="8"/>
  <c r="Y8" i="8"/>
  <c r="AA6" i="8"/>
  <c r="AA12" i="8"/>
  <c r="AA13" i="8"/>
  <c r="AA14" i="8"/>
  <c r="AA15" i="8"/>
  <c r="AA16" i="8"/>
  <c r="AA17" i="8"/>
  <c r="AA26" i="8"/>
  <c r="AA27" i="8"/>
  <c r="AA28" i="8"/>
  <c r="AA29" i="8"/>
  <c r="J9" i="8"/>
  <c r="M9" i="8"/>
  <c r="J10" i="8"/>
  <c r="M10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93" i="8"/>
  <c r="J94" i="8"/>
  <c r="J95" i="8"/>
  <c r="J96" i="8"/>
  <c r="J97" i="8"/>
  <c r="J99" i="8"/>
  <c r="J100" i="8"/>
  <c r="J101" i="8"/>
  <c r="J108" i="8"/>
  <c r="J110" i="8"/>
  <c r="J112" i="8"/>
  <c r="J113" i="8"/>
  <c r="J114" i="8"/>
  <c r="J115" i="8"/>
  <c r="J116" i="8"/>
  <c r="J117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8" i="12"/>
  <c r="AE37" i="12"/>
  <c r="AD37" i="12"/>
  <c r="AF37" i="12"/>
  <c r="AG37" i="12"/>
  <c r="Z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16" i="8"/>
  <c r="I85" i="9"/>
  <c r="M99" i="8"/>
  <c r="M100" i="8"/>
  <c r="M101" i="8"/>
  <c r="M110" i="8"/>
  <c r="M112" i="8"/>
  <c r="I78" i="9"/>
  <c r="M108" i="8"/>
  <c r="M115" i="8"/>
  <c r="I82" i="9"/>
  <c r="M113" i="8"/>
  <c r="I79" i="9"/>
  <c r="AH11" i="8"/>
  <c r="M94" i="8"/>
  <c r="M95" i="8"/>
  <c r="M96" i="8"/>
  <c r="M97" i="8"/>
  <c r="M93" i="8"/>
  <c r="M114" i="8"/>
  <c r="M117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T30" i="12"/>
  <c r="T32" i="12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<sst xmlns="http://schemas.openxmlformats.org/spreadsheetml/2006/main" count="790" uniqueCount="146">
  <si>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</si>
  <si>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</si>
  <si>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</si>
  <si>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</si>
  <si>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</si>
  <si>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</si>
  <si>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</si>
  <si>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</si>
  <si>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</si>
  <si>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</si>
  <si>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</si>
  <si>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</si>
  <si>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</si>
  <si>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</si>
  <si>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</si>
  <si>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</si>
  <si>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</si>
  <si>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</si>
  <si>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</si>
  <si>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</si>
  <si>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</si>
  <si>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</si>
  <si>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</si>
  <si>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</si>
  <si>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</si>
  <si>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</si>
  <si>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</si>
  <si>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</si>
  <si>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</si>
  <si>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</si>
  <si>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</si>
  <si>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</si>
  <si>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</si>
  <si>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</si>
  <si>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</si>
  <si>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</si>
  <si>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</si>
  <si>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</si>
  <si>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</si>
  <si>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</si>
  <si>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</si>
  <si>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</si>
  <si>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</si>
  <si>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</si>
  <si>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</si>
  <si>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</si>
  <si>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</si>
  <si>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</si>
  <si>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</si>
  <si>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</si>
  <si>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</si>
  <si>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</si>
  <si>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</si>
  <si>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</si>
  <si>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</si>
  <si>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</si>
  <si>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</si>
  <si>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</si>
  <si>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</si>
  <si>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</si>
  <si>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</si>
  <si>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</si>
  <si>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</si>
  <si>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</si>
  <si>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</si>
  <si>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</si>
  <si>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</si>
  <si>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</si>
  <si>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</si>
  <si>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</si>
  <si>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</si>
  <si>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</si>
  <si>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</si>
  <si>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</si>
  <si>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</si>
  <si>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</si>
  <si>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</si>
  <si>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</si>
  <si>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</si>
  <si>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</si>
  <si>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</si>
  <si>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</si>
  <si>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</si>
  <si>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</si>
  <si>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</si>
  <si>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</si>
  <si>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</si>
  <si>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</si>
  <si>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</si>
  <si>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</si>
  <si>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</si>
  <si>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</si>
  <si>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</si>
  <si>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</si>
  <si>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</si>
  <si>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</si>
  <si>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</si>
  <si>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</si>
  <si>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</si>
  <si>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</si>
  <si>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</si>
  <si>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</si>
  <si>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</si>
  <si>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</si>
  <si>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</si>
  <si>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</si>
  <si>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</si>
  <si>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</si>
  <si>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</si>
  <si>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</si>
  <si>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</si>
  <si>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</si>
  <si>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</si>
  <si>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</si>
  <si>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</si>
  <si>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</si>
  <si>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</si>
  <si>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</si>
  <si>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</si>
  <si>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</si>
  <si>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</si>
  <si>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</si>
  <si>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</si>
  <si>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</si>
  <si>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</si>
  <si>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</si>
  <si>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</si>
  <si>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</si>
  <si>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</si>
  <si>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</si>
  <si>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</si>
  <si>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</si>
  <si>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</si>
  <si>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</si>
  <si>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</si>
  <si>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</si>
  <si>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</si>
  <si>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</si>
  <si>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</si>
  <si>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</si>
  <si>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</si>
  <si>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</si>
  <si>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</si>
  <si>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</si>
  <si>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</si>
  <si>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cost of FPL, LBPL (100% staple &amp; non-staple)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</si>
</sst>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.0%;[Red]\(0.0%\);&quot;-&quot;"/>
    <numFmt numFmtId="174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244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81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38" fontId="8" fillId="0" borderId="0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73" fontId="8" fillId="0" borderId="0" xfId="6" applyNumberFormat="1" applyFont="1" applyAlignment="1" applyProtection="1"/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6" applyFont="1" applyAlignment="1" applyProtection="1"/>
    <xf numFmtId="174" fontId="8" fillId="0" borderId="0" xfId="6" applyNumberFormat="1" applyFont="1" applyAlignment="1" applyProtection="1"/>
    <xf numFmtId="174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1" fontId="8" fillId="0" borderId="0" xfId="6" applyNumberFormat="1" applyFont="1" applyAlignment="1" applyProtection="1"/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9" fontId="8" fillId="0" borderId="0" xfId="6" applyNumberFormat="1" applyFont="1" applyAlignment="1" applyProtection="1"/>
    <xf numFmtId="10" fontId="8" fillId="0" borderId="0" xfId="0" applyNumberFormat="1" applyFont="1" applyFill="1" applyBorder="1" applyAlignment="1" applyProtection="1">
      <alignment horizontal="right"/>
    </xf>
    <xf numFmtId="10" fontId="7" fillId="0" borderId="0" xfId="0" applyNumberFormat="1" applyFont="1" applyFill="1" applyBorder="1" applyAlignment="1" applyProtection="1"/>
    <xf numFmtId="10" fontId="7" fillId="0" borderId="0" xfId="6" applyNumberFormat="1" applyFont="1" applyFill="1" applyAlignment="1" applyProtection="1"/>
    <xf numFmtId="3" fontId="7" fillId="0" borderId="0" xfId="0" applyNumberFormat="1" applyFont="1" applyBorder="1" applyAlignment="1" applyProtection="1">
      <alignment horizontal="right"/>
    </xf>
    <xf numFmtId="9" fontId="8" fillId="8" borderId="0" xfId="0" applyNumberFormat="1" applyFont="1" applyFill="1" applyBorder="1" applyAlignment="1" applyProtection="1">
      <alignment horizontal="right"/>
    </xf>
    <xf numFmtId="9" fontId="8" fillId="0" borderId="0" xfId="0" applyNumberFormat="1" applyFont="1" applyFill="1" applyBorder="1" applyAlignment="1" applyProtection="1">
      <alignment horizontal="right"/>
    </xf>
    <xf numFmtId="9" fontId="7" fillId="0" borderId="0" xfId="6" applyNumberFormat="1" applyFont="1" applyFill="1" applyAlignment="1" applyProtection="1"/>
    <xf numFmtId="10" fontId="7" fillId="0" borderId="15" xfId="0" applyNumberFormat="1" applyFont="1" applyBorder="1" applyAlignment="1" applyProtection="1"/>
    <xf numFmtId="164" fontId="8" fillId="0" borderId="4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244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Normal" xfId="0" builtinId="0"/>
    <cellStyle name="Percent" xfId="6" builtinId="5"/>
    <cellStyle name="Total" xfId="7" builtinId="25" customBuiltin="1"/>
  </cellStyles>
  <dxfs count="62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0.0844659526774595</c:v>
                </c:pt>
                <c:pt idx="1">
                  <c:v>0.0168931905354919</c:v>
                </c:pt>
                <c:pt idx="2" formatCode="0.00%">
                  <c:v>0.0168931905354919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0.0405302965442092</c:v>
                </c:pt>
                <c:pt idx="1">
                  <c:v>0.00810605930884184</c:v>
                </c:pt>
                <c:pt idx="2" formatCode="0.00%">
                  <c:v>0.00810605930884184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0.0333333333333333</c:v>
                </c:pt>
                <c:pt idx="1">
                  <c:v>0.00666666666666667</c:v>
                </c:pt>
                <c:pt idx="2" formatCode="0.00%">
                  <c:v>0.00666666666666667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0.147864297945205</c:v>
                </c:pt>
                <c:pt idx="1">
                  <c:v>0.0443592893835616</c:v>
                </c:pt>
                <c:pt idx="2" formatCode="0.00%">
                  <c:v>0.0443592893835616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0.022094103362391</c:v>
                </c:pt>
                <c:pt idx="1">
                  <c:v>0.00441882067247821</c:v>
                </c:pt>
                <c:pt idx="2" formatCode="0.00%">
                  <c:v>0.00276176292029888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0.00074950498132005</c:v>
                </c:pt>
                <c:pt idx="1">
                  <c:v>0.00014990099626401</c:v>
                </c:pt>
                <c:pt idx="2" formatCode="0.00%">
                  <c:v>0.00014990099626401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0.00586569115815691</c:v>
                </c:pt>
                <c:pt idx="1">
                  <c:v>0.00117313823163138</c:v>
                </c:pt>
                <c:pt idx="2" formatCode="0.00%">
                  <c:v>0.00117313823163138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0.00227661892901619</c:v>
                </c:pt>
                <c:pt idx="1">
                  <c:v>0.000455323785803238</c:v>
                </c:pt>
                <c:pt idx="2" formatCode="0.00%">
                  <c:v>0.000546388542963885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0.0188679732254047</c:v>
                </c:pt>
                <c:pt idx="1">
                  <c:v>0.00377359464508095</c:v>
                </c:pt>
                <c:pt idx="2" formatCode="0.00%">
                  <c:v>0.00377359464508095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0.00896961939601494</c:v>
                </c:pt>
                <c:pt idx="1">
                  <c:v>0.00179392387920299</c:v>
                </c:pt>
                <c:pt idx="2" formatCode="0.00%">
                  <c:v>0.00179392387920299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0.00148622353673723</c:v>
                </c:pt>
                <c:pt idx="1">
                  <c:v>0.000297244707347447</c:v>
                </c:pt>
                <c:pt idx="2" formatCode="0.00%">
                  <c:v>0.000391111457036114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0.00508359900373599</c:v>
                </c:pt>
                <c:pt idx="1">
                  <c:v>0.0010167198007472</c:v>
                </c:pt>
                <c:pt idx="2" formatCode="0.00%">
                  <c:v>0.0010167198007472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0.00987702366127023</c:v>
                </c:pt>
                <c:pt idx="1">
                  <c:v>0.00987702366127023</c:v>
                </c:pt>
                <c:pt idx="2" formatCode="0.00%">
                  <c:v>0.0106491973231352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0.148809523809524</c:v>
                </c:pt>
                <c:pt idx="1">
                  <c:v>0.148809523809524</c:v>
                </c:pt>
                <c:pt idx="2" formatCode="0.00%">
                  <c:v>0.148809523809524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0.253014958748443</c:v>
                </c:pt>
                <c:pt idx="1">
                  <c:v>0.253014958748443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0.527396675155666</c:v>
                </c:pt>
                <c:pt idx="1">
                  <c:v>0.251266987796699</c:v>
                </c:pt>
                <c:pt idx="2" formatCode="0.0%">
                  <c:v>0.528272758557556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8002328"/>
        <c:axId val="-2014677816"/>
      </c:barChart>
      <c:catAx>
        <c:axId val="-2018002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4677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4677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80023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0.155597624542932</c:v>
                </c:pt>
                <c:pt idx="1">
                  <c:v>0.0918025984803298</c:v>
                </c:pt>
                <c:pt idx="2">
                  <c:v>0.0918025984803298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0.0116698218407199</c:v>
                </c:pt>
                <c:pt idx="1">
                  <c:v>0.00688519488602474</c:v>
                </c:pt>
                <c:pt idx="2">
                  <c:v>0.00809961281361017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0.000324161717797775</c:v>
                </c:pt>
                <c:pt idx="1">
                  <c:v>9.0765280983377E-5</c:v>
                </c:pt>
                <c:pt idx="2">
                  <c:v>6.67513671610661E-5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0.000324161717797775</c:v>
                </c:pt>
                <c:pt idx="1">
                  <c:v>9.0765280983377E-5</c:v>
                </c:pt>
                <c:pt idx="2">
                  <c:v>6.67513671610661E-5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0.00103731749695288</c:v>
                </c:pt>
                <c:pt idx="1">
                  <c:v>0.000290448899146806</c:v>
                </c:pt>
                <c:pt idx="2">
                  <c:v>0.000213604374915412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0.57259925831799</c:v>
                </c:pt>
                <c:pt idx="1">
                  <c:v>0.405400274889137</c:v>
                </c:pt>
                <c:pt idx="2">
                  <c:v>0.405400274889137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0.25844765436581</c:v>
                </c:pt>
                <c:pt idx="1">
                  <c:v>0.304968232151656</c:v>
                </c:pt>
                <c:pt idx="2">
                  <c:v>0.304968232151656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8310040"/>
        <c:axId val="-2016590712"/>
      </c:barChart>
      <c:catAx>
        <c:axId val="-2098310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590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6590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83100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6351800"/>
        <c:axId val="-2016663176"/>
      </c:barChart>
      <c:catAx>
        <c:axId val="-2066351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663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6663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63518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0.174322321973329</c:v>
                </c:pt>
                <c:pt idx="1">
                  <c:v>0.102850169964264</c:v>
                </c:pt>
                <c:pt idx="2">
                  <c:v>0.051425084982132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0.00871611609866643</c:v>
                </c:pt>
                <c:pt idx="1">
                  <c:v>0.00514250849821319</c:v>
                </c:pt>
                <c:pt idx="2">
                  <c:v>0.00514250849821319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0.000435805804933322</c:v>
                </c:pt>
                <c:pt idx="1">
                  <c:v>0.00012202562538133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0.0470670269327987</c:v>
                </c:pt>
                <c:pt idx="1">
                  <c:v>0.0261221999477033</c:v>
                </c:pt>
                <c:pt idx="2">
                  <c:v>0.0261221999477033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0.623027978732677</c:v>
                </c:pt>
                <c:pt idx="1">
                  <c:v>0.735173014904558</c:v>
                </c:pt>
                <c:pt idx="2">
                  <c:v>0.735173014904558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0.146430750457596</c:v>
                </c:pt>
                <c:pt idx="1">
                  <c:v>0.172788285539963</c:v>
                </c:pt>
                <c:pt idx="2">
                  <c:v>0.172788285539963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6954200"/>
        <c:axId val="-2016975896"/>
      </c:barChart>
      <c:catAx>
        <c:axId val="-2016954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975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6975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9542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ZATGL - Affected with Grants</a:t>
            </a:r>
          </a:p>
        </c:rich>
      </c:tx>
      <c:layout>
        <c:manualLayout>
          <c:xMode val="edge"/>
          <c:yMode val="edge"/>
          <c:x val="0.352987230223165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(Income!$B$72:$D$72,Income!$F$72:$H$72)</c:f>
              <c:numCache>
                <c:formatCode>#,##0</c:formatCode>
                <c:ptCount val="6"/>
                <c:pt idx="0">
                  <c:v>2474.234083580273</c:v>
                </c:pt>
                <c:pt idx="1">
                  <c:v>3366.381813265553</c:v>
                </c:pt>
                <c:pt idx="2">
                  <c:v>3010.788725904186</c:v>
                </c:pt>
                <c:pt idx="3">
                  <c:v>714.7025915090678</c:v>
                </c:pt>
                <c:pt idx="4">
                  <c:v>953.8868223376582</c:v>
                </c:pt>
                <c:pt idx="5">
                  <c:v>827.5040697700698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(Income!$B$73:$D$73,Income!$F$73:$H$73)</c:f>
              <c:numCache>
                <c:formatCode>#,##0</c:formatCode>
                <c:ptCount val="6"/>
                <c:pt idx="0">
                  <c:v>22.18524805740937</c:v>
                </c:pt>
                <c:pt idx="1">
                  <c:v>236.6426459457</c:v>
                </c:pt>
                <c:pt idx="2">
                  <c:v>219.7395998067214</c:v>
                </c:pt>
                <c:pt idx="3">
                  <c:v>0.0</c:v>
                </c:pt>
                <c:pt idx="4">
                  <c:v>69.99999999999998</c:v>
                </c:pt>
                <c:pt idx="5">
                  <c:v>30.59382226127756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(Income!$B$74:$D$74,Income!$F$74:$H$74)</c:f>
              <c:numCache>
                <c:formatCode>#,##0</c:formatCode>
                <c:ptCount val="6"/>
                <c:pt idx="0">
                  <c:v>789.1433707841885</c:v>
                </c:pt>
                <c:pt idx="1">
                  <c:v>1706.40923655018</c:v>
                </c:pt>
                <c:pt idx="2">
                  <c:v>2389.459110280673</c:v>
                </c:pt>
                <c:pt idx="3">
                  <c:v>176.0746454253474</c:v>
                </c:pt>
                <c:pt idx="4">
                  <c:v>380.7361404779234</c:v>
                </c:pt>
                <c:pt idx="5">
                  <c:v>533.1390735538388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(Income!$B$76:$D$76,Income!$F$76:$H$76)</c:f>
              <c:numCache>
                <c:formatCode>#,##0</c:formatCode>
                <c:ptCount val="6"/>
                <c:pt idx="0">
                  <c:v>9317.804184111935</c:v>
                </c:pt>
                <c:pt idx="1">
                  <c:v>14642.26371789018</c:v>
                </c:pt>
                <c:pt idx="2">
                  <c:v>21804.92951928235</c:v>
                </c:pt>
                <c:pt idx="3">
                  <c:v>1947.0</c:v>
                </c:pt>
                <c:pt idx="4">
                  <c:v>5841.0</c:v>
                </c:pt>
                <c:pt idx="5">
                  <c:v>8805.323816469992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(Income!$B$77:$D$77,Income!$F$77:$H$77)</c:f>
              <c:numCache>
                <c:formatCode>#,##0</c:formatCode>
                <c:ptCount val="6"/>
                <c:pt idx="0">
                  <c:v>134.8380012213554</c:v>
                </c:pt>
                <c:pt idx="1">
                  <c:v>134.8380012213553</c:v>
                </c:pt>
                <c:pt idx="2">
                  <c:v>205.4674304325415</c:v>
                </c:pt>
                <c:pt idx="3">
                  <c:v>177.1205271398793</c:v>
                </c:pt>
                <c:pt idx="4">
                  <c:v>162.1862381169529</c:v>
                </c:pt>
                <c:pt idx="5">
                  <c:v>244.382059815581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(Income!$B$78:$D$78,Income!$F$78:$H$78)</c:f>
              <c:numCache>
                <c:formatCode>#,##0</c:formatCode>
                <c:ptCount val="6"/>
                <c:pt idx="0">
                  <c:v>2396.006790200212</c:v>
                </c:pt>
                <c:pt idx="1">
                  <c:v>1597.337860133475</c:v>
                </c:pt>
                <c:pt idx="2">
                  <c:v>0.0</c:v>
                </c:pt>
                <c:pt idx="3">
                  <c:v>899.1</c:v>
                </c:pt>
                <c:pt idx="4">
                  <c:v>599.4000000000001</c:v>
                </c:pt>
                <c:pt idx="5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(Income!$B$79:$D$79,Income!$F$79:$H$79)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74643.85174972935</c:v>
                </c:pt>
                <c:pt idx="3">
                  <c:v>0.0</c:v>
                </c:pt>
                <c:pt idx="4">
                  <c:v>0.0</c:v>
                </c:pt>
                <c:pt idx="5">
                  <c:v>35731.74857142857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(Income!$B$80:$D$80,Income!$F$80:$H$80)</c:f>
              <c:numCache>
                <c:formatCode>#,##0</c:formatCode>
                <c:ptCount val="6"/>
                <c:pt idx="0">
                  <c:v>7454.243347289549</c:v>
                </c:pt>
                <c:pt idx="1">
                  <c:v>10648.9190675565</c:v>
                </c:pt>
                <c:pt idx="2">
                  <c:v>0.0</c:v>
                </c:pt>
                <c:pt idx="3">
                  <c:v>5947.200000000001</c:v>
                </c:pt>
                <c:pt idx="4">
                  <c:v>8496.0</c:v>
                </c:pt>
                <c:pt idx="5">
                  <c:v>0.0</c:v>
                </c:pt>
              </c:numCache>
            </c:numRef>
          </c:val>
        </c:ser>
        <c:ser>
          <c:idx val="3"/>
          <c:order val="14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(Income!$B$82:$D$82,Income!$F$82:$H$82)</c:f>
              <c:numCache>
                <c:formatCode>#,##0</c:formatCode>
                <c:ptCount val="6"/>
                <c:pt idx="0">
                  <c:v>0.0</c:v>
                </c:pt>
                <c:pt idx="1">
                  <c:v>4141.246304049748</c:v>
                </c:pt>
                <c:pt idx="2">
                  <c:v>0.0</c:v>
                </c:pt>
                <c:pt idx="3">
                  <c:v>0.0</c:v>
                </c:pt>
                <c:pt idx="4">
                  <c:v>2643.2</c:v>
                </c:pt>
                <c:pt idx="5">
                  <c:v>0.0</c:v>
                </c:pt>
              </c:numCache>
            </c:numRef>
          </c:val>
        </c:ser>
        <c:ser>
          <c:idx val="9"/>
          <c:order val="15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(Income!$B$83:$D$83,Income!$F$83:$H$83)</c:f>
              <c:numCache>
                <c:formatCode>#,##0</c:formatCode>
                <c:ptCount val="6"/>
                <c:pt idx="0">
                  <c:v>2031.500524986835</c:v>
                </c:pt>
                <c:pt idx="1">
                  <c:v>2031.500524986835</c:v>
                </c:pt>
                <c:pt idx="2">
                  <c:v>1857.371908559392</c:v>
                </c:pt>
                <c:pt idx="3">
                  <c:v>2266.354555212282</c:v>
                </c:pt>
                <c:pt idx="4">
                  <c:v>2266.354555212282</c:v>
                </c:pt>
                <c:pt idx="5">
                  <c:v>2072.095593336944</c:v>
                </c:pt>
              </c:numCache>
            </c:numRef>
          </c:val>
        </c:ser>
        <c:ser>
          <c:idx val="10"/>
          <c:order val="16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(Income!$B$85:$D$85,Income!$F$85:$H$85)</c:f>
              <c:numCache>
                <c:formatCode>#,##0</c:formatCode>
                <c:ptCount val="6"/>
                <c:pt idx="0">
                  <c:v>31716.03062287244</c:v>
                </c:pt>
                <c:pt idx="1">
                  <c:v>31920.1349050006</c:v>
                </c:pt>
                <c:pt idx="2">
                  <c:v>33691.15156421209</c:v>
                </c:pt>
                <c:pt idx="3">
                  <c:v>25303.92</c:v>
                </c:pt>
                <c:pt idx="4">
                  <c:v>25466.76</c:v>
                </c:pt>
                <c:pt idx="5">
                  <c:v>26879.72571428572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6607784"/>
        <c:axId val="-2017055304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Income!$B$89:$D$89</c:f>
              <c:numCache>
                <c:formatCode>#,##0</c:formatCode>
                <c:ptCount val="3"/>
                <c:pt idx="0">
                  <c:v>33489.86731665794</c:v>
                </c:pt>
                <c:pt idx="1">
                  <c:v>33489.86731665793</c:v>
                </c:pt>
                <c:pt idx="2">
                  <c:v>33489.86731665794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(Income!$B$93:$D$93,Income!$F$93:$H$93)</c:f>
              <c:numCache>
                <c:formatCode>General</c:formatCode>
                <c:ptCount val="6"/>
                <c:pt idx="3" formatCode="#,##0">
                  <c:v>33489.86731665794</c:v>
                </c:pt>
                <c:pt idx="4" formatCode="#,##0">
                  <c:v>33489.86731665793</c:v>
                </c:pt>
                <c:pt idx="5" formatCode="#,##0">
                  <c:v>33489.86731665794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Income!$B$90:$D$90</c:f>
              <c:numCache>
                <c:formatCode>#,##0</c:formatCode>
                <c:ptCount val="3"/>
                <c:pt idx="0">
                  <c:v>51872.69398332461</c:v>
                </c:pt>
                <c:pt idx="1">
                  <c:v>51872.69398332461</c:v>
                </c:pt>
                <c:pt idx="2">
                  <c:v>51872.69398332461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(Income!$B$94:$D$94,Income!$F$94:$H$94)</c:f>
              <c:numCache>
                <c:formatCode>General</c:formatCode>
                <c:ptCount val="6"/>
                <c:pt idx="3" formatCode="#,##0">
                  <c:v>51872.69398332461</c:v>
                </c:pt>
                <c:pt idx="4" formatCode="#,##0">
                  <c:v>51872.69398332461</c:v>
                </c:pt>
                <c:pt idx="5" formatCode="#,##0">
                  <c:v>51872.69398332461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Income!$B$91:$D$91</c:f>
              <c:numCache>
                <c:formatCode>#,##0</c:formatCode>
                <c:ptCount val="3"/>
                <c:pt idx="0">
                  <c:v>84610.61398332461</c:v>
                </c:pt>
                <c:pt idx="1">
                  <c:v>84610.6139833246</c:v>
                </c:pt>
                <c:pt idx="2">
                  <c:v>84610.61398332461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(Income!$B$95:$D$95,Income!$F$95:$H$95)</c:f>
              <c:numCache>
                <c:formatCode>General</c:formatCode>
                <c:ptCount val="6"/>
                <c:pt idx="3" formatCode="#,##0">
                  <c:v>84610.61398332461</c:v>
                </c:pt>
                <c:pt idx="4" formatCode="#,##0">
                  <c:v>84610.6139833246</c:v>
                </c:pt>
                <c:pt idx="5" formatCode="#,##0">
                  <c:v>84610.61398332461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607784"/>
        <c:axId val="-2017055304"/>
      </c:lineChart>
      <c:catAx>
        <c:axId val="-2016607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7055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7055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66077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2"/>
        <c:delete val="1"/>
      </c:legendEntry>
      <c:legendEntry>
        <c:idx val="14"/>
        <c:delete val="1"/>
      </c:legendEntry>
      <c:legendEntry>
        <c:idx val="16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ZATGL - Baseline Total Income</a:t>
            </a:r>
          </a:p>
        </c:rich>
      </c:tx>
      <c:layout>
        <c:manualLayout>
          <c:xMode val="edge"/>
          <c:yMode val="edge"/>
          <c:x val="0.1831669259265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Income!$B$72:$D$72</c:f>
              <c:numCache>
                <c:formatCode>#,##0</c:formatCode>
                <c:ptCount val="3"/>
                <c:pt idx="0">
                  <c:v>2474.234083580273</c:v>
                </c:pt>
                <c:pt idx="1">
                  <c:v>3366.381813265553</c:v>
                </c:pt>
                <c:pt idx="2">
                  <c:v>3010.788725904186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Income!$B$73:$D$73</c:f>
              <c:numCache>
                <c:formatCode>#,##0</c:formatCode>
                <c:ptCount val="3"/>
                <c:pt idx="0">
                  <c:v>22.18524805740937</c:v>
                </c:pt>
                <c:pt idx="1">
                  <c:v>236.6426459457</c:v>
                </c:pt>
                <c:pt idx="2">
                  <c:v>219.7395998067214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Income!$B$74:$D$74</c:f>
              <c:numCache>
                <c:formatCode>#,##0</c:formatCode>
                <c:ptCount val="3"/>
                <c:pt idx="0">
                  <c:v>789.1433707841885</c:v>
                </c:pt>
                <c:pt idx="1">
                  <c:v>1706.40923655018</c:v>
                </c:pt>
                <c:pt idx="2">
                  <c:v>2389.459110280673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Income!$B$76:$D$76</c:f>
              <c:numCache>
                <c:formatCode>#,##0</c:formatCode>
                <c:ptCount val="3"/>
                <c:pt idx="0">
                  <c:v>9317.804184111935</c:v>
                </c:pt>
                <c:pt idx="1">
                  <c:v>14642.26371789018</c:v>
                </c:pt>
                <c:pt idx="2">
                  <c:v>21804.92951928235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Income!$B$77:$D$77</c:f>
              <c:numCache>
                <c:formatCode>#,##0</c:formatCode>
                <c:ptCount val="3"/>
                <c:pt idx="0">
                  <c:v>134.8380012213554</c:v>
                </c:pt>
                <c:pt idx="1">
                  <c:v>134.8380012213553</c:v>
                </c:pt>
                <c:pt idx="2">
                  <c:v>205.4674304325415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Income!$B$78:$D$78</c:f>
              <c:numCache>
                <c:formatCode>#,##0</c:formatCode>
                <c:ptCount val="3"/>
                <c:pt idx="0">
                  <c:v>2396.006790200212</c:v>
                </c:pt>
                <c:pt idx="1">
                  <c:v>1597.337860133475</c:v>
                </c:pt>
                <c:pt idx="2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Income!$B$79:$D$79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74643.85174972935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Income!$B$80:$D$80</c:f>
              <c:numCache>
                <c:formatCode>#,##0</c:formatCode>
                <c:ptCount val="3"/>
                <c:pt idx="0">
                  <c:v>7454.243347289549</c:v>
                </c:pt>
                <c:pt idx="1">
                  <c:v>10648.9190675565</c:v>
                </c:pt>
                <c:pt idx="2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Income!$B$81:$D$81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Income!$B$82:$D$82</c:f>
              <c:numCache>
                <c:formatCode>#,##0</c:formatCode>
                <c:ptCount val="3"/>
                <c:pt idx="0">
                  <c:v>0.0</c:v>
                </c:pt>
                <c:pt idx="1">
                  <c:v>4141.246304049748</c:v>
                </c:pt>
                <c:pt idx="2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Income!$B$83:$D$83</c:f>
              <c:numCache>
                <c:formatCode>#,##0</c:formatCode>
                <c:ptCount val="3"/>
                <c:pt idx="0">
                  <c:v>2031.500524986835</c:v>
                </c:pt>
                <c:pt idx="1">
                  <c:v>2031.500524986835</c:v>
                </c:pt>
                <c:pt idx="2">
                  <c:v>1857.371908559392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Income!$B$84:$D$84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Income!$B$85:$D$85</c:f>
              <c:numCache>
                <c:formatCode>#,##0</c:formatCode>
                <c:ptCount val="3"/>
                <c:pt idx="0">
                  <c:v>31716.03062287244</c:v>
                </c:pt>
                <c:pt idx="1">
                  <c:v>31920.1349050006</c:v>
                </c:pt>
                <c:pt idx="2">
                  <c:v>33691.15156421209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Income!$B$86:$D$86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Income!$B$87:$D$87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3563240"/>
        <c:axId val="-2137044392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Income!$B$89:$D$89</c:f>
              <c:numCache>
                <c:formatCode>#,##0</c:formatCode>
                <c:ptCount val="3"/>
                <c:pt idx="0">
                  <c:v>33489.86731665794</c:v>
                </c:pt>
                <c:pt idx="1">
                  <c:v>33489.86731665793</c:v>
                </c:pt>
                <c:pt idx="2">
                  <c:v>33489.86731665794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Income!$B$90:$D$90</c:f>
              <c:numCache>
                <c:formatCode>#,##0</c:formatCode>
                <c:ptCount val="3"/>
                <c:pt idx="0">
                  <c:v>51872.69398332461</c:v>
                </c:pt>
                <c:pt idx="1">
                  <c:v>51872.69398332461</c:v>
                </c:pt>
                <c:pt idx="2">
                  <c:v>51872.69398332461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Income!$B$91:$D$91</c:f>
              <c:numCache>
                <c:formatCode>#,##0</c:formatCode>
                <c:ptCount val="3"/>
                <c:pt idx="0">
                  <c:v>84610.61398332461</c:v>
                </c:pt>
                <c:pt idx="1">
                  <c:v>84610.6139833246</c:v>
                </c:pt>
                <c:pt idx="2">
                  <c:v>84610.61398332461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563240"/>
        <c:axId val="-2137044392"/>
      </c:lineChart>
      <c:catAx>
        <c:axId val="2083563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7044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7044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35632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2474.234083580273</c:v>
                </c:pt>
                <c:pt idx="1">
                  <c:v>2474.234083580273</c:v>
                </c:pt>
                <c:pt idx="2">
                  <c:v>2474.234083580273</c:v>
                </c:pt>
                <c:pt idx="3">
                  <c:v>2474.234083580273</c:v>
                </c:pt>
                <c:pt idx="4">
                  <c:v>2474.234083580273</c:v>
                </c:pt>
                <c:pt idx="5">
                  <c:v>2474.234083580273</c:v>
                </c:pt>
                <c:pt idx="6">
                  <c:v>2474.234083580273</c:v>
                </c:pt>
                <c:pt idx="7">
                  <c:v>2474.234083580273</c:v>
                </c:pt>
                <c:pt idx="8">
                  <c:v>2474.234083580273</c:v>
                </c:pt>
                <c:pt idx="9">
                  <c:v>2474.234083580273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22.18524805740937</c:v>
                </c:pt>
                <c:pt idx="1">
                  <c:v>22.18524805740937</c:v>
                </c:pt>
                <c:pt idx="2">
                  <c:v>22.18524805740937</c:v>
                </c:pt>
                <c:pt idx="3">
                  <c:v>22.18524805740937</c:v>
                </c:pt>
                <c:pt idx="4">
                  <c:v>22.18524805740937</c:v>
                </c:pt>
                <c:pt idx="5">
                  <c:v>22.18524805740937</c:v>
                </c:pt>
                <c:pt idx="6">
                  <c:v>22.18524805740937</c:v>
                </c:pt>
                <c:pt idx="7">
                  <c:v>22.18524805740937</c:v>
                </c:pt>
                <c:pt idx="8">
                  <c:v>22.18524805740937</c:v>
                </c:pt>
                <c:pt idx="9">
                  <c:v>22.18524805740937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789.1433707841885</c:v>
                </c:pt>
                <c:pt idx="1">
                  <c:v>789.1433707841885</c:v>
                </c:pt>
                <c:pt idx="2">
                  <c:v>789.1433707841885</c:v>
                </c:pt>
                <c:pt idx="3">
                  <c:v>789.1433707841885</c:v>
                </c:pt>
                <c:pt idx="4">
                  <c:v>789.1433707841885</c:v>
                </c:pt>
                <c:pt idx="5">
                  <c:v>789.1433707841885</c:v>
                </c:pt>
                <c:pt idx="6">
                  <c:v>789.1433707841885</c:v>
                </c:pt>
                <c:pt idx="7">
                  <c:v>789.1433707841885</c:v>
                </c:pt>
                <c:pt idx="8">
                  <c:v>789.1433707841885</c:v>
                </c:pt>
                <c:pt idx="9">
                  <c:v>789.1433707841885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9317.804184111935</c:v>
                </c:pt>
                <c:pt idx="1">
                  <c:v>9317.804184111935</c:v>
                </c:pt>
                <c:pt idx="2">
                  <c:v>9317.804184111935</c:v>
                </c:pt>
                <c:pt idx="3">
                  <c:v>9317.804184111935</c:v>
                </c:pt>
                <c:pt idx="4">
                  <c:v>9317.804184111935</c:v>
                </c:pt>
                <c:pt idx="5">
                  <c:v>9317.804184111935</c:v>
                </c:pt>
                <c:pt idx="6">
                  <c:v>9317.804184111935</c:v>
                </c:pt>
                <c:pt idx="7">
                  <c:v>9317.804184111935</c:v>
                </c:pt>
                <c:pt idx="8">
                  <c:v>9317.804184111935</c:v>
                </c:pt>
                <c:pt idx="9">
                  <c:v>9317.804184111935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134.8380012213554</c:v>
                </c:pt>
                <c:pt idx="1">
                  <c:v>134.8380012213554</c:v>
                </c:pt>
                <c:pt idx="2">
                  <c:v>134.8380012213554</c:v>
                </c:pt>
                <c:pt idx="3">
                  <c:v>134.8380012213554</c:v>
                </c:pt>
                <c:pt idx="4">
                  <c:v>134.8380012213554</c:v>
                </c:pt>
                <c:pt idx="5">
                  <c:v>134.8380012213554</c:v>
                </c:pt>
                <c:pt idx="6">
                  <c:v>134.8380012213554</c:v>
                </c:pt>
                <c:pt idx="7">
                  <c:v>134.8380012213554</c:v>
                </c:pt>
                <c:pt idx="8">
                  <c:v>134.8380012213554</c:v>
                </c:pt>
                <c:pt idx="9">
                  <c:v>134.8380012213554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2396.006790200212</c:v>
                </c:pt>
                <c:pt idx="1">
                  <c:v>2396.006790200212</c:v>
                </c:pt>
                <c:pt idx="2">
                  <c:v>2396.006790200212</c:v>
                </c:pt>
                <c:pt idx="3">
                  <c:v>2396.006790200212</c:v>
                </c:pt>
                <c:pt idx="4">
                  <c:v>2396.006790200212</c:v>
                </c:pt>
                <c:pt idx="5">
                  <c:v>2396.006790200212</c:v>
                </c:pt>
                <c:pt idx="6">
                  <c:v>2396.006790200212</c:v>
                </c:pt>
                <c:pt idx="7">
                  <c:v>2396.006790200212</c:v>
                </c:pt>
                <c:pt idx="8">
                  <c:v>2396.006790200212</c:v>
                </c:pt>
                <c:pt idx="9">
                  <c:v>2396.006790200212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2031.500524986835</c:v>
                </c:pt>
                <c:pt idx="1">
                  <c:v>2031.500524986835</c:v>
                </c:pt>
                <c:pt idx="2">
                  <c:v>2031.500524986835</c:v>
                </c:pt>
                <c:pt idx="3">
                  <c:v>2031.500524986835</c:v>
                </c:pt>
                <c:pt idx="4">
                  <c:v>2031.500524986835</c:v>
                </c:pt>
                <c:pt idx="5">
                  <c:v>2031.500524986835</c:v>
                </c:pt>
                <c:pt idx="6">
                  <c:v>2031.500524986835</c:v>
                </c:pt>
                <c:pt idx="7">
                  <c:v>2031.500524986835</c:v>
                </c:pt>
                <c:pt idx="8">
                  <c:v>2031.500524986835</c:v>
                </c:pt>
                <c:pt idx="9">
                  <c:v>2031.500524986835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6099416"/>
        <c:axId val="-201676328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33489.86731665794</c:v>
                </c:pt>
                <c:pt idx="1">
                  <c:v>33489.86731665793</c:v>
                </c:pt>
                <c:pt idx="2">
                  <c:v>33489.86731665794</c:v>
                </c:pt>
                <c:pt idx="3">
                  <c:v>0.0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51872.69398332461</c:v>
                </c:pt>
                <c:pt idx="1">
                  <c:v>51872.69398332461</c:v>
                </c:pt>
                <c:pt idx="2">
                  <c:v>51872.69398332461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099416"/>
        <c:axId val="-2016763288"/>
      </c:lineChart>
      <c:catAx>
        <c:axId val="-201609941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763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6763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0994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0.362495751530212</c:v>
                </c:pt>
                <c:pt idx="1">
                  <c:v>0.507494052142297</c:v>
                </c:pt>
                <c:pt idx="2">
                  <c:v>0.507494052142297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0.364652091818423</c:v>
                </c:pt>
                <c:pt idx="1">
                  <c:v>0.430289468345739</c:v>
                </c:pt>
                <c:pt idx="2">
                  <c:v>0.430289468345739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0.649407799260334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0.0386217873695052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0.11394597631197</c:v>
                </c:pt>
                <c:pt idx="1">
                  <c:v>0.0895737969549581</c:v>
                </c:pt>
                <c:pt idx="2">
                  <c:v>0.188323174591309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-0.430289468345739</c:v>
                </c:pt>
                <c:pt idx="2">
                  <c:v>-0.116875853826595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7260840"/>
        <c:axId val="-2100639160"/>
      </c:barChart>
      <c:catAx>
        <c:axId val="-2017260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0639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0639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72608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0.175705058994379</c:v>
                </c:pt>
                <c:pt idx="1">
                  <c:v>0.245987082592131</c:v>
                </c:pt>
                <c:pt idx="2">
                  <c:v>0.245987082592131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0.0637834835982054</c:v>
                </c:pt>
                <c:pt idx="1">
                  <c:v>0.0436065040864178</c:v>
                </c:pt>
                <c:pt idx="2">
                  <c:v>0.0814261390725959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0.0854490288114935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0.314773994450351</c:v>
                </c:pt>
                <c:pt idx="1">
                  <c:v>0.311369389731123</c:v>
                </c:pt>
                <c:pt idx="2">
                  <c:v>0.274639300320654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0.183538176977275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0.0637834835982054</c:v>
                </c:pt>
                <c:pt idx="1">
                  <c:v>0.0436065040864178</c:v>
                </c:pt>
                <c:pt idx="2">
                  <c:v>0.0814261390725959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6801064"/>
        <c:axId val="-2058928952"/>
      </c:barChart>
      <c:catAx>
        <c:axId val="-2016801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8928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8928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68010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4088200"/>
        <c:axId val="-2014084680"/>
      </c:barChart>
      <c:catAx>
        <c:axId val="-2014088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4084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4084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40882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0.44994170361933</c:v>
                </c:pt>
                <c:pt idx="1">
                  <c:v>0.629918385067062</c:v>
                </c:pt>
                <c:pt idx="2">
                  <c:v>0.629918385067062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0.452618224430305</c:v>
                </c:pt>
                <c:pt idx="1">
                  <c:v>0.412279819413022</c:v>
                </c:pt>
                <c:pt idx="2">
                  <c:v>0.360732708805508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0.806066416804672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0.0348644643946657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0.157251096259868</c:v>
                </c:pt>
                <c:pt idx="1">
                  <c:v>0.117862877435178</c:v>
                </c:pt>
                <c:pt idx="2">
                  <c:v>0.24621441941219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-0.53408950482776</c:v>
                </c:pt>
                <c:pt idx="2">
                  <c:v>-0.419571215434441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0813192"/>
        <c:axId val="-2066946856"/>
      </c:barChart>
      <c:catAx>
        <c:axId val="2120813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6946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6946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08131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0.128710023127557</c:v>
                </c:pt>
                <c:pt idx="1">
                  <c:v>0.0257420046255115</c:v>
                </c:pt>
                <c:pt idx="2" formatCode="0.0%">
                  <c:v>0.0257420046255115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0.0463203389076677</c:v>
                </c:pt>
                <c:pt idx="1">
                  <c:v>0.00926406778153353</c:v>
                </c:pt>
                <c:pt idx="2" formatCode="0.0%">
                  <c:v>0.00926406778153353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0.0333333333333333</c:v>
                </c:pt>
                <c:pt idx="1">
                  <c:v>0.00666666666666667</c:v>
                </c:pt>
                <c:pt idx="2" formatCode="0.0%">
                  <c:v>0.00666666666666667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0.101392661448141</c:v>
                </c:pt>
                <c:pt idx="1">
                  <c:v>0.0304177984344423</c:v>
                </c:pt>
                <c:pt idx="2" formatCode="0.0%">
                  <c:v>0.0304177984344423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0.0126252019213663</c:v>
                </c:pt>
                <c:pt idx="1">
                  <c:v>0.00252504038427326</c:v>
                </c:pt>
                <c:pt idx="2" formatCode="0.0%">
                  <c:v>0.00252504038427326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0.00600535047144636</c:v>
                </c:pt>
                <c:pt idx="1">
                  <c:v>0.00120107009428927</c:v>
                </c:pt>
                <c:pt idx="2" formatCode="0.0%">
                  <c:v>0.00123801997950397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0.00124888809820317</c:v>
                </c:pt>
                <c:pt idx="1">
                  <c:v>0.000249777619640633</c:v>
                </c:pt>
                <c:pt idx="2" formatCode="0.0%">
                  <c:v>0.000249777619640633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0.0539084949297278</c:v>
                </c:pt>
                <c:pt idx="1">
                  <c:v>0.0107816989859456</c:v>
                </c:pt>
                <c:pt idx="2" formatCode="0.0%">
                  <c:v>0.0107816989859456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0.000893969044653976</c:v>
                </c:pt>
                <c:pt idx="1">
                  <c:v>0.000178793808930795</c:v>
                </c:pt>
                <c:pt idx="2" formatCode="0.0%">
                  <c:v>0.000202445689215357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0.0111355025796122</c:v>
                </c:pt>
                <c:pt idx="1">
                  <c:v>0.00222710051592243</c:v>
                </c:pt>
                <c:pt idx="2" formatCode="0.0%">
                  <c:v>0.00225271910300463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0.0150507027219356</c:v>
                </c:pt>
                <c:pt idx="1">
                  <c:v>0.0150507027219356</c:v>
                </c:pt>
                <c:pt idx="2" formatCode="0.0%">
                  <c:v>0.0160461997727186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0.136054421768707</c:v>
                </c:pt>
                <c:pt idx="1">
                  <c:v>0.136054421768707</c:v>
                </c:pt>
                <c:pt idx="2" formatCode="0.0%">
                  <c:v>0.136054421768707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0.0949691442803771</c:v>
                </c:pt>
                <c:pt idx="1">
                  <c:v>0.0949691442803771</c:v>
                </c:pt>
                <c:pt idx="2" formatCode="0.0%">
                  <c:v>0.0698430077023914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0.214907751289806</c:v>
                </c:pt>
                <c:pt idx="1">
                  <c:v>0.214907751289806</c:v>
                </c:pt>
                <c:pt idx="2" formatCode="0.0%">
                  <c:v>0.21748177418726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0.609067300124533</c:v>
                </c:pt>
                <c:pt idx="1">
                  <c:v>0.252362240937237</c:v>
                </c:pt>
                <c:pt idx="2" formatCode="0.0%">
                  <c:v>0.471234357299185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1168248"/>
        <c:axId val="-2035724648"/>
      </c:barChart>
      <c:catAx>
        <c:axId val="-2031168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5724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5724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11682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2474.234083580273</c:v>
                </c:pt>
                <c:pt idx="1">
                  <c:v>2474.234083580273</c:v>
                </c:pt>
                <c:pt idx="2">
                  <c:v>2474.234083580273</c:v>
                </c:pt>
                <c:pt idx="3">
                  <c:v>2474.234083580273</c:v>
                </c:pt>
                <c:pt idx="4">
                  <c:v>2474.234083580273</c:v>
                </c:pt>
                <c:pt idx="5">
                  <c:v>2474.234083580273</c:v>
                </c:pt>
                <c:pt idx="6">
                  <c:v>2474.234083580273</c:v>
                </c:pt>
                <c:pt idx="7">
                  <c:v>2474.234083580273</c:v>
                </c:pt>
                <c:pt idx="8">
                  <c:v>2474.234083580273</c:v>
                </c:pt>
                <c:pt idx="9">
                  <c:v>2474.234083580273</c:v>
                </c:pt>
                <c:pt idx="10">
                  <c:v>2474.234083580273</c:v>
                </c:pt>
                <c:pt idx="11">
                  <c:v>2474.234083580273</c:v>
                </c:pt>
                <c:pt idx="12">
                  <c:v>2474.234083580273</c:v>
                </c:pt>
                <c:pt idx="13">
                  <c:v>2474.234083580273</c:v>
                </c:pt>
                <c:pt idx="14">
                  <c:v>2474.234083580273</c:v>
                </c:pt>
                <c:pt idx="15">
                  <c:v>2474.234083580273</c:v>
                </c:pt>
                <c:pt idx="16">
                  <c:v>2474.234083580273</c:v>
                </c:pt>
                <c:pt idx="17">
                  <c:v>2474.234083580273</c:v>
                </c:pt>
                <c:pt idx="18">
                  <c:v>2474.234083580273</c:v>
                </c:pt>
                <c:pt idx="19">
                  <c:v>2474.234083580273</c:v>
                </c:pt>
                <c:pt idx="20">
                  <c:v>2474.234083580273</c:v>
                </c:pt>
                <c:pt idx="21">
                  <c:v>2474.234083580273</c:v>
                </c:pt>
                <c:pt idx="22">
                  <c:v>2474.234083580273</c:v>
                </c:pt>
                <c:pt idx="23">
                  <c:v>2474.234083580273</c:v>
                </c:pt>
                <c:pt idx="24">
                  <c:v>2474.234083580273</c:v>
                </c:pt>
                <c:pt idx="25">
                  <c:v>2474.234083580273</c:v>
                </c:pt>
                <c:pt idx="26">
                  <c:v>2474.234083580273</c:v>
                </c:pt>
                <c:pt idx="27">
                  <c:v>2474.234083580273</c:v>
                </c:pt>
                <c:pt idx="28">
                  <c:v>2474.234083580273</c:v>
                </c:pt>
                <c:pt idx="29">
                  <c:v>2474.234083580273</c:v>
                </c:pt>
                <c:pt idx="30">
                  <c:v>2474.234083580273</c:v>
                </c:pt>
                <c:pt idx="31">
                  <c:v>2474.234083580273</c:v>
                </c:pt>
                <c:pt idx="32">
                  <c:v>2474.234083580273</c:v>
                </c:pt>
                <c:pt idx="33">
                  <c:v>2474.234083580273</c:v>
                </c:pt>
                <c:pt idx="34">
                  <c:v>2474.234083580273</c:v>
                </c:pt>
                <c:pt idx="35">
                  <c:v>2474.234083580273</c:v>
                </c:pt>
                <c:pt idx="36">
                  <c:v>2474.234083580273</c:v>
                </c:pt>
                <c:pt idx="37">
                  <c:v>2474.234083580273</c:v>
                </c:pt>
                <c:pt idx="38">
                  <c:v>2474.234083580273</c:v>
                </c:pt>
                <c:pt idx="39">
                  <c:v>2474.234083580273</c:v>
                </c:pt>
                <c:pt idx="40">
                  <c:v>3366.381813265553</c:v>
                </c:pt>
                <c:pt idx="41">
                  <c:v>3366.381813265553</c:v>
                </c:pt>
                <c:pt idx="42">
                  <c:v>3366.381813265553</c:v>
                </c:pt>
                <c:pt idx="43">
                  <c:v>3366.381813265553</c:v>
                </c:pt>
                <c:pt idx="44">
                  <c:v>3366.381813265553</c:v>
                </c:pt>
                <c:pt idx="45">
                  <c:v>3366.381813265553</c:v>
                </c:pt>
                <c:pt idx="46">
                  <c:v>3366.381813265553</c:v>
                </c:pt>
                <c:pt idx="47">
                  <c:v>3366.381813265553</c:v>
                </c:pt>
                <c:pt idx="48">
                  <c:v>3366.381813265553</c:v>
                </c:pt>
                <c:pt idx="49">
                  <c:v>3366.381813265553</c:v>
                </c:pt>
                <c:pt idx="50">
                  <c:v>3366.381813265553</c:v>
                </c:pt>
                <c:pt idx="51">
                  <c:v>3366.381813265553</c:v>
                </c:pt>
                <c:pt idx="52">
                  <c:v>3366.381813265553</c:v>
                </c:pt>
                <c:pt idx="53">
                  <c:v>3366.381813265553</c:v>
                </c:pt>
                <c:pt idx="54">
                  <c:v>3366.381813265553</c:v>
                </c:pt>
                <c:pt idx="55">
                  <c:v>3366.381813265553</c:v>
                </c:pt>
                <c:pt idx="56">
                  <c:v>3366.381813265553</c:v>
                </c:pt>
                <c:pt idx="57">
                  <c:v>3366.381813265553</c:v>
                </c:pt>
                <c:pt idx="58">
                  <c:v>3366.381813265553</c:v>
                </c:pt>
                <c:pt idx="59">
                  <c:v>3366.381813265553</c:v>
                </c:pt>
                <c:pt idx="60">
                  <c:v>3366.381813265553</c:v>
                </c:pt>
                <c:pt idx="61">
                  <c:v>3366.381813265553</c:v>
                </c:pt>
                <c:pt idx="62">
                  <c:v>3366.381813265553</c:v>
                </c:pt>
                <c:pt idx="63">
                  <c:v>3366.381813265553</c:v>
                </c:pt>
                <c:pt idx="64">
                  <c:v>3366.381813265553</c:v>
                </c:pt>
                <c:pt idx="65">
                  <c:v>3366.381813265553</c:v>
                </c:pt>
                <c:pt idx="66">
                  <c:v>3366.381813265553</c:v>
                </c:pt>
                <c:pt idx="67">
                  <c:v>3366.381813265553</c:v>
                </c:pt>
                <c:pt idx="68">
                  <c:v>3366.381813265553</c:v>
                </c:pt>
                <c:pt idx="69">
                  <c:v>3366.381813265553</c:v>
                </c:pt>
                <c:pt idx="70">
                  <c:v>3366.381813265553</c:v>
                </c:pt>
                <c:pt idx="71">
                  <c:v>3366.381813265553</c:v>
                </c:pt>
                <c:pt idx="72">
                  <c:v>3366.381813265553</c:v>
                </c:pt>
                <c:pt idx="73">
                  <c:v>3366.381813265553</c:v>
                </c:pt>
                <c:pt idx="74">
                  <c:v>3366.381813265553</c:v>
                </c:pt>
                <c:pt idx="75">
                  <c:v>3366.381813265553</c:v>
                </c:pt>
                <c:pt idx="76">
                  <c:v>3366.381813265553</c:v>
                </c:pt>
                <c:pt idx="77">
                  <c:v>3366.381813265553</c:v>
                </c:pt>
                <c:pt idx="78">
                  <c:v>3366.381813265553</c:v>
                </c:pt>
                <c:pt idx="79">
                  <c:v>3010.788725904186</c:v>
                </c:pt>
                <c:pt idx="80">
                  <c:v>3010.788725904186</c:v>
                </c:pt>
                <c:pt idx="81">
                  <c:v>3010.788725904186</c:v>
                </c:pt>
                <c:pt idx="82">
                  <c:v>3010.788725904186</c:v>
                </c:pt>
                <c:pt idx="83">
                  <c:v>3010.788725904186</c:v>
                </c:pt>
                <c:pt idx="84">
                  <c:v>3010.788725904186</c:v>
                </c:pt>
                <c:pt idx="85">
                  <c:v>3010.788725904186</c:v>
                </c:pt>
                <c:pt idx="86">
                  <c:v>3010.788725904186</c:v>
                </c:pt>
                <c:pt idx="87">
                  <c:v>3010.788725904186</c:v>
                </c:pt>
                <c:pt idx="88">
                  <c:v>3010.788725904186</c:v>
                </c:pt>
                <c:pt idx="89">
                  <c:v>3010.788725904186</c:v>
                </c:pt>
                <c:pt idx="90">
                  <c:v>3010.788725904186</c:v>
                </c:pt>
                <c:pt idx="91">
                  <c:v>3010.788725904186</c:v>
                </c:pt>
                <c:pt idx="92">
                  <c:v>3010.788725904186</c:v>
                </c:pt>
                <c:pt idx="93">
                  <c:v>3010.788725904186</c:v>
                </c:pt>
                <c:pt idx="94">
                  <c:v>3010.788725904186</c:v>
                </c:pt>
                <c:pt idx="95">
                  <c:v>3010.788725904186</c:v>
                </c:pt>
                <c:pt idx="96">
                  <c:v>3010.788725904186</c:v>
                </c:pt>
                <c:pt idx="97">
                  <c:v>3010.788725904186</c:v>
                </c:pt>
                <c:pt idx="98">
                  <c:v>3010.788725904186</c:v>
                </c:pt>
                <c:pt idx="99">
                  <c:v>3010.788725904186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22.18524805740937</c:v>
                </c:pt>
                <c:pt idx="1">
                  <c:v>22.18524805740937</c:v>
                </c:pt>
                <c:pt idx="2">
                  <c:v>22.18524805740937</c:v>
                </c:pt>
                <c:pt idx="3">
                  <c:v>22.18524805740937</c:v>
                </c:pt>
                <c:pt idx="4">
                  <c:v>22.18524805740937</c:v>
                </c:pt>
                <c:pt idx="5">
                  <c:v>22.18524805740937</c:v>
                </c:pt>
                <c:pt idx="6">
                  <c:v>22.18524805740937</c:v>
                </c:pt>
                <c:pt idx="7">
                  <c:v>22.18524805740937</c:v>
                </c:pt>
                <c:pt idx="8">
                  <c:v>22.18524805740937</c:v>
                </c:pt>
                <c:pt idx="9">
                  <c:v>22.18524805740937</c:v>
                </c:pt>
                <c:pt idx="10">
                  <c:v>22.18524805740937</c:v>
                </c:pt>
                <c:pt idx="11">
                  <c:v>22.18524805740937</c:v>
                </c:pt>
                <c:pt idx="12">
                  <c:v>22.18524805740937</c:v>
                </c:pt>
                <c:pt idx="13">
                  <c:v>22.18524805740937</c:v>
                </c:pt>
                <c:pt idx="14">
                  <c:v>22.18524805740937</c:v>
                </c:pt>
                <c:pt idx="15">
                  <c:v>22.18524805740937</c:v>
                </c:pt>
                <c:pt idx="16">
                  <c:v>22.18524805740937</c:v>
                </c:pt>
                <c:pt idx="17">
                  <c:v>22.18524805740937</c:v>
                </c:pt>
                <c:pt idx="18">
                  <c:v>22.18524805740937</c:v>
                </c:pt>
                <c:pt idx="19">
                  <c:v>22.18524805740937</c:v>
                </c:pt>
                <c:pt idx="20">
                  <c:v>22.18524805740937</c:v>
                </c:pt>
                <c:pt idx="21">
                  <c:v>22.18524805740937</c:v>
                </c:pt>
                <c:pt idx="22">
                  <c:v>22.18524805740937</c:v>
                </c:pt>
                <c:pt idx="23">
                  <c:v>22.18524805740937</c:v>
                </c:pt>
                <c:pt idx="24">
                  <c:v>22.18524805740937</c:v>
                </c:pt>
                <c:pt idx="25">
                  <c:v>22.18524805740937</c:v>
                </c:pt>
                <c:pt idx="26">
                  <c:v>22.18524805740937</c:v>
                </c:pt>
                <c:pt idx="27">
                  <c:v>22.18524805740937</c:v>
                </c:pt>
                <c:pt idx="28">
                  <c:v>22.18524805740937</c:v>
                </c:pt>
                <c:pt idx="29">
                  <c:v>22.18524805740937</c:v>
                </c:pt>
                <c:pt idx="30">
                  <c:v>22.18524805740937</c:v>
                </c:pt>
                <c:pt idx="31">
                  <c:v>22.18524805740937</c:v>
                </c:pt>
                <c:pt idx="32">
                  <c:v>22.18524805740937</c:v>
                </c:pt>
                <c:pt idx="33">
                  <c:v>22.18524805740937</c:v>
                </c:pt>
                <c:pt idx="34">
                  <c:v>22.18524805740937</c:v>
                </c:pt>
                <c:pt idx="35">
                  <c:v>22.18524805740937</c:v>
                </c:pt>
                <c:pt idx="36">
                  <c:v>22.18524805740937</c:v>
                </c:pt>
                <c:pt idx="37">
                  <c:v>22.18524805740937</c:v>
                </c:pt>
                <c:pt idx="38">
                  <c:v>22.18524805740937</c:v>
                </c:pt>
                <c:pt idx="39">
                  <c:v>22.18524805740937</c:v>
                </c:pt>
                <c:pt idx="40">
                  <c:v>236.6426459457</c:v>
                </c:pt>
                <c:pt idx="41">
                  <c:v>236.6426459457</c:v>
                </c:pt>
                <c:pt idx="42">
                  <c:v>236.6426459457</c:v>
                </c:pt>
                <c:pt idx="43">
                  <c:v>236.6426459457</c:v>
                </c:pt>
                <c:pt idx="44">
                  <c:v>236.6426459457</c:v>
                </c:pt>
                <c:pt idx="45">
                  <c:v>236.6426459457</c:v>
                </c:pt>
                <c:pt idx="46">
                  <c:v>236.6426459457</c:v>
                </c:pt>
                <c:pt idx="47">
                  <c:v>236.6426459457</c:v>
                </c:pt>
                <c:pt idx="48">
                  <c:v>236.6426459457</c:v>
                </c:pt>
                <c:pt idx="49">
                  <c:v>236.6426459457</c:v>
                </c:pt>
                <c:pt idx="50">
                  <c:v>236.6426459457</c:v>
                </c:pt>
                <c:pt idx="51">
                  <c:v>236.6426459457</c:v>
                </c:pt>
                <c:pt idx="52">
                  <c:v>236.6426459457</c:v>
                </c:pt>
                <c:pt idx="53">
                  <c:v>236.6426459457</c:v>
                </c:pt>
                <c:pt idx="54">
                  <c:v>236.6426459457</c:v>
                </c:pt>
                <c:pt idx="55">
                  <c:v>236.6426459457</c:v>
                </c:pt>
                <c:pt idx="56">
                  <c:v>236.6426459457</c:v>
                </c:pt>
                <c:pt idx="57">
                  <c:v>236.6426459457</c:v>
                </c:pt>
                <c:pt idx="58">
                  <c:v>236.6426459457</c:v>
                </c:pt>
                <c:pt idx="59">
                  <c:v>236.6426459457</c:v>
                </c:pt>
                <c:pt idx="60">
                  <c:v>236.6426459457</c:v>
                </c:pt>
                <c:pt idx="61">
                  <c:v>236.6426459457</c:v>
                </c:pt>
                <c:pt idx="62">
                  <c:v>236.6426459457</c:v>
                </c:pt>
                <c:pt idx="63">
                  <c:v>236.6426459457</c:v>
                </c:pt>
                <c:pt idx="64">
                  <c:v>236.6426459457</c:v>
                </c:pt>
                <c:pt idx="65">
                  <c:v>236.6426459457</c:v>
                </c:pt>
                <c:pt idx="66">
                  <c:v>236.6426459457</c:v>
                </c:pt>
                <c:pt idx="67">
                  <c:v>236.6426459457</c:v>
                </c:pt>
                <c:pt idx="68">
                  <c:v>236.6426459457</c:v>
                </c:pt>
                <c:pt idx="69">
                  <c:v>236.6426459457</c:v>
                </c:pt>
                <c:pt idx="70">
                  <c:v>236.6426459457</c:v>
                </c:pt>
                <c:pt idx="71">
                  <c:v>236.6426459457</c:v>
                </c:pt>
                <c:pt idx="72">
                  <c:v>236.6426459457</c:v>
                </c:pt>
                <c:pt idx="73">
                  <c:v>236.6426459457</c:v>
                </c:pt>
                <c:pt idx="74">
                  <c:v>236.6426459457</c:v>
                </c:pt>
                <c:pt idx="75">
                  <c:v>236.6426459457</c:v>
                </c:pt>
                <c:pt idx="76">
                  <c:v>236.6426459457</c:v>
                </c:pt>
                <c:pt idx="77">
                  <c:v>236.6426459457</c:v>
                </c:pt>
                <c:pt idx="78">
                  <c:v>236.6426459457</c:v>
                </c:pt>
                <c:pt idx="79">
                  <c:v>219.7395998067214</c:v>
                </c:pt>
                <c:pt idx="80">
                  <c:v>219.7395998067214</c:v>
                </c:pt>
                <c:pt idx="81">
                  <c:v>219.7395998067214</c:v>
                </c:pt>
                <c:pt idx="82">
                  <c:v>219.7395998067214</c:v>
                </c:pt>
                <c:pt idx="83">
                  <c:v>219.7395998067214</c:v>
                </c:pt>
                <c:pt idx="84">
                  <c:v>219.7395998067214</c:v>
                </c:pt>
                <c:pt idx="85">
                  <c:v>219.7395998067214</c:v>
                </c:pt>
                <c:pt idx="86">
                  <c:v>219.7395998067214</c:v>
                </c:pt>
                <c:pt idx="87">
                  <c:v>219.7395998067214</c:v>
                </c:pt>
                <c:pt idx="88">
                  <c:v>219.7395998067214</c:v>
                </c:pt>
                <c:pt idx="89">
                  <c:v>219.7395998067214</c:v>
                </c:pt>
                <c:pt idx="90">
                  <c:v>219.7395998067214</c:v>
                </c:pt>
                <c:pt idx="91">
                  <c:v>219.7395998067214</c:v>
                </c:pt>
                <c:pt idx="92">
                  <c:v>219.7395998067214</c:v>
                </c:pt>
                <c:pt idx="93">
                  <c:v>219.7395998067214</c:v>
                </c:pt>
                <c:pt idx="94">
                  <c:v>219.7395998067214</c:v>
                </c:pt>
                <c:pt idx="95">
                  <c:v>219.7395998067214</c:v>
                </c:pt>
                <c:pt idx="96">
                  <c:v>219.7395998067214</c:v>
                </c:pt>
                <c:pt idx="97">
                  <c:v>219.7395998067214</c:v>
                </c:pt>
                <c:pt idx="98">
                  <c:v>219.7395998067214</c:v>
                </c:pt>
                <c:pt idx="99">
                  <c:v>219.7395998067214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789.1433707841885</c:v>
                </c:pt>
                <c:pt idx="1">
                  <c:v>789.1433707841885</c:v>
                </c:pt>
                <c:pt idx="2">
                  <c:v>789.1433707841885</c:v>
                </c:pt>
                <c:pt idx="3">
                  <c:v>789.1433707841885</c:v>
                </c:pt>
                <c:pt idx="4">
                  <c:v>789.1433707841885</c:v>
                </c:pt>
                <c:pt idx="5">
                  <c:v>789.1433707841885</c:v>
                </c:pt>
                <c:pt idx="6">
                  <c:v>789.1433707841885</c:v>
                </c:pt>
                <c:pt idx="7">
                  <c:v>789.1433707841885</c:v>
                </c:pt>
                <c:pt idx="8">
                  <c:v>789.1433707841885</c:v>
                </c:pt>
                <c:pt idx="9">
                  <c:v>789.1433707841885</c:v>
                </c:pt>
                <c:pt idx="10">
                  <c:v>789.1433707841885</c:v>
                </c:pt>
                <c:pt idx="11">
                  <c:v>789.1433707841885</c:v>
                </c:pt>
                <c:pt idx="12">
                  <c:v>789.1433707841885</c:v>
                </c:pt>
                <c:pt idx="13">
                  <c:v>789.1433707841885</c:v>
                </c:pt>
                <c:pt idx="14">
                  <c:v>789.1433707841885</c:v>
                </c:pt>
                <c:pt idx="15">
                  <c:v>789.1433707841885</c:v>
                </c:pt>
                <c:pt idx="16">
                  <c:v>789.1433707841885</c:v>
                </c:pt>
                <c:pt idx="17">
                  <c:v>789.1433707841885</c:v>
                </c:pt>
                <c:pt idx="18">
                  <c:v>789.1433707841885</c:v>
                </c:pt>
                <c:pt idx="19">
                  <c:v>789.1433707841885</c:v>
                </c:pt>
                <c:pt idx="20">
                  <c:v>789.1433707841885</c:v>
                </c:pt>
                <c:pt idx="21">
                  <c:v>789.1433707841885</c:v>
                </c:pt>
                <c:pt idx="22">
                  <c:v>789.1433707841885</c:v>
                </c:pt>
                <c:pt idx="23">
                  <c:v>789.1433707841885</c:v>
                </c:pt>
                <c:pt idx="24">
                  <c:v>789.1433707841885</c:v>
                </c:pt>
                <c:pt idx="25">
                  <c:v>789.1433707841885</c:v>
                </c:pt>
                <c:pt idx="26">
                  <c:v>789.1433707841885</c:v>
                </c:pt>
                <c:pt idx="27">
                  <c:v>789.1433707841885</c:v>
                </c:pt>
                <c:pt idx="28">
                  <c:v>789.1433707841885</c:v>
                </c:pt>
                <c:pt idx="29">
                  <c:v>789.1433707841885</c:v>
                </c:pt>
                <c:pt idx="30">
                  <c:v>789.1433707841885</c:v>
                </c:pt>
                <c:pt idx="31">
                  <c:v>789.1433707841885</c:v>
                </c:pt>
                <c:pt idx="32">
                  <c:v>789.1433707841885</c:v>
                </c:pt>
                <c:pt idx="33">
                  <c:v>789.1433707841885</c:v>
                </c:pt>
                <c:pt idx="34">
                  <c:v>789.1433707841885</c:v>
                </c:pt>
                <c:pt idx="35">
                  <c:v>789.1433707841885</c:v>
                </c:pt>
                <c:pt idx="36">
                  <c:v>789.1433707841885</c:v>
                </c:pt>
                <c:pt idx="37">
                  <c:v>789.1433707841885</c:v>
                </c:pt>
                <c:pt idx="38">
                  <c:v>789.1433707841885</c:v>
                </c:pt>
                <c:pt idx="39">
                  <c:v>789.1433707841885</c:v>
                </c:pt>
                <c:pt idx="40">
                  <c:v>1706.40923655018</c:v>
                </c:pt>
                <c:pt idx="41">
                  <c:v>1706.40923655018</c:v>
                </c:pt>
                <c:pt idx="42">
                  <c:v>1706.40923655018</c:v>
                </c:pt>
                <c:pt idx="43">
                  <c:v>1706.40923655018</c:v>
                </c:pt>
                <c:pt idx="44">
                  <c:v>1706.40923655018</c:v>
                </c:pt>
                <c:pt idx="45">
                  <c:v>1706.40923655018</c:v>
                </c:pt>
                <c:pt idx="46">
                  <c:v>1706.40923655018</c:v>
                </c:pt>
                <c:pt idx="47">
                  <c:v>1706.40923655018</c:v>
                </c:pt>
                <c:pt idx="48">
                  <c:v>1706.40923655018</c:v>
                </c:pt>
                <c:pt idx="49">
                  <c:v>1706.40923655018</c:v>
                </c:pt>
                <c:pt idx="50">
                  <c:v>1706.40923655018</c:v>
                </c:pt>
                <c:pt idx="51">
                  <c:v>1706.40923655018</c:v>
                </c:pt>
                <c:pt idx="52">
                  <c:v>1706.40923655018</c:v>
                </c:pt>
                <c:pt idx="53">
                  <c:v>1706.40923655018</c:v>
                </c:pt>
                <c:pt idx="54">
                  <c:v>1706.40923655018</c:v>
                </c:pt>
                <c:pt idx="55">
                  <c:v>1706.40923655018</c:v>
                </c:pt>
                <c:pt idx="56">
                  <c:v>1706.40923655018</c:v>
                </c:pt>
                <c:pt idx="57">
                  <c:v>1706.40923655018</c:v>
                </c:pt>
                <c:pt idx="58">
                  <c:v>1706.40923655018</c:v>
                </c:pt>
                <c:pt idx="59">
                  <c:v>1706.40923655018</c:v>
                </c:pt>
                <c:pt idx="60">
                  <c:v>1706.40923655018</c:v>
                </c:pt>
                <c:pt idx="61">
                  <c:v>1706.40923655018</c:v>
                </c:pt>
                <c:pt idx="62">
                  <c:v>1706.40923655018</c:v>
                </c:pt>
                <c:pt idx="63">
                  <c:v>1706.40923655018</c:v>
                </c:pt>
                <c:pt idx="64">
                  <c:v>1706.40923655018</c:v>
                </c:pt>
                <c:pt idx="65">
                  <c:v>1706.40923655018</c:v>
                </c:pt>
                <c:pt idx="66">
                  <c:v>1706.40923655018</c:v>
                </c:pt>
                <c:pt idx="67">
                  <c:v>1706.40923655018</c:v>
                </c:pt>
                <c:pt idx="68">
                  <c:v>1706.40923655018</c:v>
                </c:pt>
                <c:pt idx="69">
                  <c:v>1706.40923655018</c:v>
                </c:pt>
                <c:pt idx="70">
                  <c:v>1706.40923655018</c:v>
                </c:pt>
                <c:pt idx="71">
                  <c:v>1706.40923655018</c:v>
                </c:pt>
                <c:pt idx="72">
                  <c:v>1706.40923655018</c:v>
                </c:pt>
                <c:pt idx="73">
                  <c:v>1706.40923655018</c:v>
                </c:pt>
                <c:pt idx="74">
                  <c:v>1706.40923655018</c:v>
                </c:pt>
                <c:pt idx="75">
                  <c:v>1706.40923655018</c:v>
                </c:pt>
                <c:pt idx="76">
                  <c:v>1706.40923655018</c:v>
                </c:pt>
                <c:pt idx="77">
                  <c:v>1706.40923655018</c:v>
                </c:pt>
                <c:pt idx="78">
                  <c:v>1706.40923655018</c:v>
                </c:pt>
                <c:pt idx="79">
                  <c:v>2389.459110280673</c:v>
                </c:pt>
                <c:pt idx="80">
                  <c:v>2389.459110280673</c:v>
                </c:pt>
                <c:pt idx="81">
                  <c:v>2389.459110280673</c:v>
                </c:pt>
                <c:pt idx="82">
                  <c:v>2389.459110280673</c:v>
                </c:pt>
                <c:pt idx="83">
                  <c:v>2389.459110280673</c:v>
                </c:pt>
                <c:pt idx="84">
                  <c:v>2389.459110280673</c:v>
                </c:pt>
                <c:pt idx="85">
                  <c:v>2389.459110280673</c:v>
                </c:pt>
                <c:pt idx="86">
                  <c:v>2389.459110280673</c:v>
                </c:pt>
                <c:pt idx="87">
                  <c:v>2389.459110280673</c:v>
                </c:pt>
                <c:pt idx="88">
                  <c:v>2389.459110280673</c:v>
                </c:pt>
                <c:pt idx="89">
                  <c:v>2389.459110280673</c:v>
                </c:pt>
                <c:pt idx="90">
                  <c:v>2389.459110280673</c:v>
                </c:pt>
                <c:pt idx="91">
                  <c:v>2389.459110280673</c:v>
                </c:pt>
                <c:pt idx="92">
                  <c:v>2389.459110280673</c:v>
                </c:pt>
                <c:pt idx="93">
                  <c:v>2389.459110280673</c:v>
                </c:pt>
                <c:pt idx="94">
                  <c:v>2389.459110280673</c:v>
                </c:pt>
                <c:pt idx="95">
                  <c:v>2389.459110280673</c:v>
                </c:pt>
                <c:pt idx="96">
                  <c:v>2389.459110280673</c:v>
                </c:pt>
                <c:pt idx="97">
                  <c:v>2389.459110280673</c:v>
                </c:pt>
                <c:pt idx="98">
                  <c:v>2389.459110280673</c:v>
                </c:pt>
                <c:pt idx="99">
                  <c:v>2389.459110280673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9317.804184111935</c:v>
                </c:pt>
                <c:pt idx="1">
                  <c:v>9317.804184111935</c:v>
                </c:pt>
                <c:pt idx="2">
                  <c:v>9317.804184111935</c:v>
                </c:pt>
                <c:pt idx="3">
                  <c:v>9317.804184111935</c:v>
                </c:pt>
                <c:pt idx="4">
                  <c:v>9317.804184111935</c:v>
                </c:pt>
                <c:pt idx="5">
                  <c:v>9317.804184111935</c:v>
                </c:pt>
                <c:pt idx="6">
                  <c:v>9317.804184111935</c:v>
                </c:pt>
                <c:pt idx="7">
                  <c:v>9317.804184111935</c:v>
                </c:pt>
                <c:pt idx="8">
                  <c:v>9317.804184111935</c:v>
                </c:pt>
                <c:pt idx="9">
                  <c:v>9317.804184111935</c:v>
                </c:pt>
                <c:pt idx="10">
                  <c:v>9317.804184111935</c:v>
                </c:pt>
                <c:pt idx="11">
                  <c:v>9317.804184111935</c:v>
                </c:pt>
                <c:pt idx="12">
                  <c:v>9317.804184111935</c:v>
                </c:pt>
                <c:pt idx="13">
                  <c:v>9317.804184111935</c:v>
                </c:pt>
                <c:pt idx="14">
                  <c:v>9317.804184111935</c:v>
                </c:pt>
                <c:pt idx="15">
                  <c:v>9317.804184111935</c:v>
                </c:pt>
                <c:pt idx="16">
                  <c:v>9317.804184111935</c:v>
                </c:pt>
                <c:pt idx="17">
                  <c:v>9317.804184111935</c:v>
                </c:pt>
                <c:pt idx="18">
                  <c:v>9317.804184111935</c:v>
                </c:pt>
                <c:pt idx="19">
                  <c:v>9317.804184111935</c:v>
                </c:pt>
                <c:pt idx="20">
                  <c:v>9317.804184111935</c:v>
                </c:pt>
                <c:pt idx="21">
                  <c:v>9317.804184111935</c:v>
                </c:pt>
                <c:pt idx="22">
                  <c:v>9317.804184111935</c:v>
                </c:pt>
                <c:pt idx="23">
                  <c:v>9317.804184111935</c:v>
                </c:pt>
                <c:pt idx="24">
                  <c:v>9317.804184111935</c:v>
                </c:pt>
                <c:pt idx="25">
                  <c:v>9317.804184111935</c:v>
                </c:pt>
                <c:pt idx="26">
                  <c:v>9317.804184111935</c:v>
                </c:pt>
                <c:pt idx="27">
                  <c:v>9317.804184111935</c:v>
                </c:pt>
                <c:pt idx="28">
                  <c:v>9317.804184111935</c:v>
                </c:pt>
                <c:pt idx="29">
                  <c:v>9317.804184111935</c:v>
                </c:pt>
                <c:pt idx="30">
                  <c:v>9317.804184111935</c:v>
                </c:pt>
                <c:pt idx="31">
                  <c:v>9317.804184111935</c:v>
                </c:pt>
                <c:pt idx="32">
                  <c:v>9317.804184111935</c:v>
                </c:pt>
                <c:pt idx="33">
                  <c:v>9317.804184111935</c:v>
                </c:pt>
                <c:pt idx="34">
                  <c:v>9317.804184111935</c:v>
                </c:pt>
                <c:pt idx="35">
                  <c:v>9317.804184111935</c:v>
                </c:pt>
                <c:pt idx="36">
                  <c:v>9317.804184111935</c:v>
                </c:pt>
                <c:pt idx="37">
                  <c:v>9317.804184111935</c:v>
                </c:pt>
                <c:pt idx="38">
                  <c:v>9317.804184111935</c:v>
                </c:pt>
                <c:pt idx="39">
                  <c:v>9317.804184111935</c:v>
                </c:pt>
                <c:pt idx="40">
                  <c:v>14642.26371789018</c:v>
                </c:pt>
                <c:pt idx="41">
                  <c:v>14642.26371789018</c:v>
                </c:pt>
                <c:pt idx="42">
                  <c:v>14642.26371789018</c:v>
                </c:pt>
                <c:pt idx="43">
                  <c:v>14642.26371789018</c:v>
                </c:pt>
                <c:pt idx="44">
                  <c:v>14642.26371789018</c:v>
                </c:pt>
                <c:pt idx="45">
                  <c:v>14642.26371789018</c:v>
                </c:pt>
                <c:pt idx="46">
                  <c:v>14642.26371789018</c:v>
                </c:pt>
                <c:pt idx="47">
                  <c:v>14642.26371789018</c:v>
                </c:pt>
                <c:pt idx="48">
                  <c:v>14642.26371789018</c:v>
                </c:pt>
                <c:pt idx="49">
                  <c:v>14642.26371789018</c:v>
                </c:pt>
                <c:pt idx="50">
                  <c:v>14642.26371789018</c:v>
                </c:pt>
                <c:pt idx="51">
                  <c:v>14642.26371789018</c:v>
                </c:pt>
                <c:pt idx="52">
                  <c:v>14642.26371789018</c:v>
                </c:pt>
                <c:pt idx="53">
                  <c:v>14642.26371789018</c:v>
                </c:pt>
                <c:pt idx="54">
                  <c:v>14642.26371789018</c:v>
                </c:pt>
                <c:pt idx="55">
                  <c:v>14642.26371789018</c:v>
                </c:pt>
                <c:pt idx="56">
                  <c:v>14642.26371789018</c:v>
                </c:pt>
                <c:pt idx="57">
                  <c:v>14642.26371789018</c:v>
                </c:pt>
                <c:pt idx="58">
                  <c:v>14642.26371789018</c:v>
                </c:pt>
                <c:pt idx="59">
                  <c:v>14642.26371789018</c:v>
                </c:pt>
                <c:pt idx="60">
                  <c:v>14642.26371789018</c:v>
                </c:pt>
                <c:pt idx="61">
                  <c:v>14642.26371789018</c:v>
                </c:pt>
                <c:pt idx="62">
                  <c:v>14642.26371789018</c:v>
                </c:pt>
                <c:pt idx="63">
                  <c:v>14642.26371789018</c:v>
                </c:pt>
                <c:pt idx="64">
                  <c:v>14642.26371789018</c:v>
                </c:pt>
                <c:pt idx="65">
                  <c:v>14642.26371789018</c:v>
                </c:pt>
                <c:pt idx="66">
                  <c:v>14642.26371789018</c:v>
                </c:pt>
                <c:pt idx="67">
                  <c:v>14642.26371789018</c:v>
                </c:pt>
                <c:pt idx="68">
                  <c:v>14642.26371789018</c:v>
                </c:pt>
                <c:pt idx="69">
                  <c:v>14642.26371789018</c:v>
                </c:pt>
                <c:pt idx="70">
                  <c:v>14642.26371789018</c:v>
                </c:pt>
                <c:pt idx="71">
                  <c:v>14642.26371789018</c:v>
                </c:pt>
                <c:pt idx="72">
                  <c:v>14642.26371789018</c:v>
                </c:pt>
                <c:pt idx="73">
                  <c:v>14642.26371789018</c:v>
                </c:pt>
                <c:pt idx="74">
                  <c:v>14642.26371789018</c:v>
                </c:pt>
                <c:pt idx="75">
                  <c:v>14642.26371789018</c:v>
                </c:pt>
                <c:pt idx="76">
                  <c:v>14642.26371789018</c:v>
                </c:pt>
                <c:pt idx="77">
                  <c:v>14642.26371789018</c:v>
                </c:pt>
                <c:pt idx="78">
                  <c:v>14642.26371789018</c:v>
                </c:pt>
                <c:pt idx="79">
                  <c:v>21804.92951928235</c:v>
                </c:pt>
                <c:pt idx="80">
                  <c:v>21804.92951928235</c:v>
                </c:pt>
                <c:pt idx="81">
                  <c:v>21804.92951928235</c:v>
                </c:pt>
                <c:pt idx="82">
                  <c:v>21804.92951928235</c:v>
                </c:pt>
                <c:pt idx="83">
                  <c:v>21804.92951928235</c:v>
                </c:pt>
                <c:pt idx="84">
                  <c:v>21804.92951928235</c:v>
                </c:pt>
                <c:pt idx="85">
                  <c:v>21804.92951928235</c:v>
                </c:pt>
                <c:pt idx="86">
                  <c:v>21804.92951928235</c:v>
                </c:pt>
                <c:pt idx="87">
                  <c:v>21804.92951928235</c:v>
                </c:pt>
                <c:pt idx="88">
                  <c:v>21804.92951928235</c:v>
                </c:pt>
                <c:pt idx="89">
                  <c:v>21804.92951928235</c:v>
                </c:pt>
                <c:pt idx="90">
                  <c:v>21804.92951928235</c:v>
                </c:pt>
                <c:pt idx="91">
                  <c:v>21804.92951928235</c:v>
                </c:pt>
                <c:pt idx="92">
                  <c:v>21804.92951928235</c:v>
                </c:pt>
                <c:pt idx="93">
                  <c:v>21804.92951928235</c:v>
                </c:pt>
                <c:pt idx="94">
                  <c:v>21804.92951928235</c:v>
                </c:pt>
                <c:pt idx="95">
                  <c:v>21804.92951928235</c:v>
                </c:pt>
                <c:pt idx="96">
                  <c:v>21804.92951928235</c:v>
                </c:pt>
                <c:pt idx="97">
                  <c:v>21804.92951928235</c:v>
                </c:pt>
                <c:pt idx="98">
                  <c:v>21804.92951928235</c:v>
                </c:pt>
                <c:pt idx="99">
                  <c:v>21804.92951928235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134.8380012213554</c:v>
                </c:pt>
                <c:pt idx="1">
                  <c:v>134.8380012213554</c:v>
                </c:pt>
                <c:pt idx="2">
                  <c:v>134.8380012213554</c:v>
                </c:pt>
                <c:pt idx="3">
                  <c:v>134.8380012213554</c:v>
                </c:pt>
                <c:pt idx="4">
                  <c:v>134.8380012213554</c:v>
                </c:pt>
                <c:pt idx="5">
                  <c:v>134.8380012213554</c:v>
                </c:pt>
                <c:pt idx="6">
                  <c:v>134.8380012213554</c:v>
                </c:pt>
                <c:pt idx="7">
                  <c:v>134.8380012213554</c:v>
                </c:pt>
                <c:pt idx="8">
                  <c:v>134.8380012213554</c:v>
                </c:pt>
                <c:pt idx="9">
                  <c:v>134.8380012213554</c:v>
                </c:pt>
                <c:pt idx="10">
                  <c:v>134.8380012213554</c:v>
                </c:pt>
                <c:pt idx="11">
                  <c:v>134.8380012213554</c:v>
                </c:pt>
                <c:pt idx="12">
                  <c:v>134.8380012213554</c:v>
                </c:pt>
                <c:pt idx="13">
                  <c:v>134.8380012213554</c:v>
                </c:pt>
                <c:pt idx="14">
                  <c:v>134.8380012213554</c:v>
                </c:pt>
                <c:pt idx="15">
                  <c:v>134.8380012213554</c:v>
                </c:pt>
                <c:pt idx="16">
                  <c:v>134.8380012213554</c:v>
                </c:pt>
                <c:pt idx="17">
                  <c:v>134.8380012213554</c:v>
                </c:pt>
                <c:pt idx="18">
                  <c:v>134.8380012213554</c:v>
                </c:pt>
                <c:pt idx="19">
                  <c:v>134.8380012213554</c:v>
                </c:pt>
                <c:pt idx="20">
                  <c:v>134.8380012213554</c:v>
                </c:pt>
                <c:pt idx="21">
                  <c:v>134.8380012213554</c:v>
                </c:pt>
                <c:pt idx="22">
                  <c:v>134.8380012213554</c:v>
                </c:pt>
                <c:pt idx="23">
                  <c:v>134.8380012213554</c:v>
                </c:pt>
                <c:pt idx="24">
                  <c:v>134.8380012213554</c:v>
                </c:pt>
                <c:pt idx="25">
                  <c:v>134.8380012213554</c:v>
                </c:pt>
                <c:pt idx="26">
                  <c:v>134.8380012213554</c:v>
                </c:pt>
                <c:pt idx="27">
                  <c:v>134.8380012213554</c:v>
                </c:pt>
                <c:pt idx="28">
                  <c:v>134.8380012213554</c:v>
                </c:pt>
                <c:pt idx="29">
                  <c:v>134.8380012213554</c:v>
                </c:pt>
                <c:pt idx="30">
                  <c:v>134.8380012213554</c:v>
                </c:pt>
                <c:pt idx="31">
                  <c:v>134.8380012213554</c:v>
                </c:pt>
                <c:pt idx="32">
                  <c:v>134.8380012213554</c:v>
                </c:pt>
                <c:pt idx="33">
                  <c:v>134.8380012213554</c:v>
                </c:pt>
                <c:pt idx="34">
                  <c:v>134.8380012213554</c:v>
                </c:pt>
                <c:pt idx="35">
                  <c:v>134.8380012213554</c:v>
                </c:pt>
                <c:pt idx="36">
                  <c:v>134.8380012213554</c:v>
                </c:pt>
                <c:pt idx="37">
                  <c:v>134.8380012213554</c:v>
                </c:pt>
                <c:pt idx="38">
                  <c:v>134.8380012213554</c:v>
                </c:pt>
                <c:pt idx="39">
                  <c:v>134.8380012213554</c:v>
                </c:pt>
                <c:pt idx="40">
                  <c:v>134.8380012213553</c:v>
                </c:pt>
                <c:pt idx="41">
                  <c:v>134.8380012213553</c:v>
                </c:pt>
                <c:pt idx="42">
                  <c:v>134.8380012213553</c:v>
                </c:pt>
                <c:pt idx="43">
                  <c:v>134.8380012213553</c:v>
                </c:pt>
                <c:pt idx="44">
                  <c:v>134.8380012213553</c:v>
                </c:pt>
                <c:pt idx="45">
                  <c:v>134.8380012213553</c:v>
                </c:pt>
                <c:pt idx="46">
                  <c:v>134.8380012213553</c:v>
                </c:pt>
                <c:pt idx="47">
                  <c:v>134.8380012213553</c:v>
                </c:pt>
                <c:pt idx="48">
                  <c:v>134.8380012213553</c:v>
                </c:pt>
                <c:pt idx="49">
                  <c:v>134.8380012213553</c:v>
                </c:pt>
                <c:pt idx="50">
                  <c:v>134.8380012213553</c:v>
                </c:pt>
                <c:pt idx="51">
                  <c:v>134.8380012213553</c:v>
                </c:pt>
                <c:pt idx="52">
                  <c:v>134.8380012213553</c:v>
                </c:pt>
                <c:pt idx="53">
                  <c:v>134.8380012213553</c:v>
                </c:pt>
                <c:pt idx="54">
                  <c:v>134.8380012213553</c:v>
                </c:pt>
                <c:pt idx="55">
                  <c:v>134.8380012213553</c:v>
                </c:pt>
                <c:pt idx="56">
                  <c:v>134.8380012213553</c:v>
                </c:pt>
                <c:pt idx="57">
                  <c:v>134.8380012213553</c:v>
                </c:pt>
                <c:pt idx="58">
                  <c:v>134.8380012213553</c:v>
                </c:pt>
                <c:pt idx="59">
                  <c:v>134.8380012213553</c:v>
                </c:pt>
                <c:pt idx="60">
                  <c:v>134.8380012213553</c:v>
                </c:pt>
                <c:pt idx="61">
                  <c:v>134.8380012213553</c:v>
                </c:pt>
                <c:pt idx="62">
                  <c:v>134.8380012213553</c:v>
                </c:pt>
                <c:pt idx="63">
                  <c:v>134.8380012213553</c:v>
                </c:pt>
                <c:pt idx="64">
                  <c:v>134.8380012213553</c:v>
                </c:pt>
                <c:pt idx="65">
                  <c:v>134.8380012213553</c:v>
                </c:pt>
                <c:pt idx="66">
                  <c:v>134.8380012213553</c:v>
                </c:pt>
                <c:pt idx="67">
                  <c:v>134.8380012213553</c:v>
                </c:pt>
                <c:pt idx="68">
                  <c:v>134.8380012213553</c:v>
                </c:pt>
                <c:pt idx="69">
                  <c:v>134.8380012213553</c:v>
                </c:pt>
                <c:pt idx="70">
                  <c:v>134.8380012213553</c:v>
                </c:pt>
                <c:pt idx="71">
                  <c:v>134.8380012213553</c:v>
                </c:pt>
                <c:pt idx="72">
                  <c:v>134.8380012213553</c:v>
                </c:pt>
                <c:pt idx="73">
                  <c:v>134.8380012213553</c:v>
                </c:pt>
                <c:pt idx="74">
                  <c:v>134.8380012213553</c:v>
                </c:pt>
                <c:pt idx="75">
                  <c:v>134.8380012213553</c:v>
                </c:pt>
                <c:pt idx="76">
                  <c:v>134.8380012213553</c:v>
                </c:pt>
                <c:pt idx="77">
                  <c:v>134.8380012213553</c:v>
                </c:pt>
                <c:pt idx="78">
                  <c:v>134.8380012213553</c:v>
                </c:pt>
                <c:pt idx="79">
                  <c:v>205.4674304325415</c:v>
                </c:pt>
                <c:pt idx="80">
                  <c:v>205.4674304325415</c:v>
                </c:pt>
                <c:pt idx="81">
                  <c:v>205.4674304325415</c:v>
                </c:pt>
                <c:pt idx="82">
                  <c:v>205.4674304325415</c:v>
                </c:pt>
                <c:pt idx="83">
                  <c:v>205.4674304325415</c:v>
                </c:pt>
                <c:pt idx="84">
                  <c:v>205.4674304325415</c:v>
                </c:pt>
                <c:pt idx="85">
                  <c:v>205.4674304325415</c:v>
                </c:pt>
                <c:pt idx="86">
                  <c:v>205.4674304325415</c:v>
                </c:pt>
                <c:pt idx="87">
                  <c:v>205.4674304325415</c:v>
                </c:pt>
                <c:pt idx="88">
                  <c:v>205.4674304325415</c:v>
                </c:pt>
                <c:pt idx="89">
                  <c:v>205.4674304325415</c:v>
                </c:pt>
                <c:pt idx="90">
                  <c:v>205.4674304325415</c:v>
                </c:pt>
                <c:pt idx="91">
                  <c:v>205.4674304325415</c:v>
                </c:pt>
                <c:pt idx="92">
                  <c:v>205.4674304325415</c:v>
                </c:pt>
                <c:pt idx="93">
                  <c:v>205.4674304325415</c:v>
                </c:pt>
                <c:pt idx="94">
                  <c:v>205.4674304325415</c:v>
                </c:pt>
                <c:pt idx="95">
                  <c:v>205.4674304325415</c:v>
                </c:pt>
                <c:pt idx="96">
                  <c:v>205.4674304325415</c:v>
                </c:pt>
                <c:pt idx="97">
                  <c:v>205.4674304325415</c:v>
                </c:pt>
                <c:pt idx="98">
                  <c:v>205.4674304325415</c:v>
                </c:pt>
                <c:pt idx="99">
                  <c:v>205.4674304325415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2396.006790200212</c:v>
                </c:pt>
                <c:pt idx="1">
                  <c:v>2396.006790200212</c:v>
                </c:pt>
                <c:pt idx="2">
                  <c:v>2396.006790200212</c:v>
                </c:pt>
                <c:pt idx="3">
                  <c:v>2396.006790200212</c:v>
                </c:pt>
                <c:pt idx="4">
                  <c:v>2396.006790200212</c:v>
                </c:pt>
                <c:pt idx="5">
                  <c:v>2396.006790200212</c:v>
                </c:pt>
                <c:pt idx="6">
                  <c:v>2396.006790200212</c:v>
                </c:pt>
                <c:pt idx="7">
                  <c:v>2396.006790200212</c:v>
                </c:pt>
                <c:pt idx="8">
                  <c:v>2396.006790200212</c:v>
                </c:pt>
                <c:pt idx="9">
                  <c:v>2396.006790200212</c:v>
                </c:pt>
                <c:pt idx="10">
                  <c:v>2396.006790200212</c:v>
                </c:pt>
                <c:pt idx="11">
                  <c:v>2396.006790200212</c:v>
                </c:pt>
                <c:pt idx="12">
                  <c:v>2396.006790200212</c:v>
                </c:pt>
                <c:pt idx="13">
                  <c:v>2396.006790200212</c:v>
                </c:pt>
                <c:pt idx="14">
                  <c:v>2396.006790200212</c:v>
                </c:pt>
                <c:pt idx="15">
                  <c:v>2396.006790200212</c:v>
                </c:pt>
                <c:pt idx="16">
                  <c:v>2396.006790200212</c:v>
                </c:pt>
                <c:pt idx="17">
                  <c:v>2396.006790200212</c:v>
                </c:pt>
                <c:pt idx="18">
                  <c:v>2396.006790200212</c:v>
                </c:pt>
                <c:pt idx="19">
                  <c:v>2396.006790200212</c:v>
                </c:pt>
                <c:pt idx="20">
                  <c:v>2396.006790200212</c:v>
                </c:pt>
                <c:pt idx="21">
                  <c:v>2396.006790200212</c:v>
                </c:pt>
                <c:pt idx="22">
                  <c:v>2396.006790200212</c:v>
                </c:pt>
                <c:pt idx="23">
                  <c:v>2396.006790200212</c:v>
                </c:pt>
                <c:pt idx="24">
                  <c:v>2396.006790200212</c:v>
                </c:pt>
                <c:pt idx="25">
                  <c:v>2396.006790200212</c:v>
                </c:pt>
                <c:pt idx="26">
                  <c:v>2396.006790200212</c:v>
                </c:pt>
                <c:pt idx="27">
                  <c:v>2396.006790200212</c:v>
                </c:pt>
                <c:pt idx="28">
                  <c:v>2396.006790200212</c:v>
                </c:pt>
                <c:pt idx="29">
                  <c:v>2396.006790200212</c:v>
                </c:pt>
                <c:pt idx="30">
                  <c:v>2396.006790200212</c:v>
                </c:pt>
                <c:pt idx="31">
                  <c:v>2396.006790200212</c:v>
                </c:pt>
                <c:pt idx="32">
                  <c:v>2396.006790200212</c:v>
                </c:pt>
                <c:pt idx="33">
                  <c:v>2396.006790200212</c:v>
                </c:pt>
                <c:pt idx="34">
                  <c:v>2396.006790200212</c:v>
                </c:pt>
                <c:pt idx="35">
                  <c:v>2396.006790200212</c:v>
                </c:pt>
                <c:pt idx="36">
                  <c:v>2396.006790200212</c:v>
                </c:pt>
                <c:pt idx="37">
                  <c:v>2396.006790200212</c:v>
                </c:pt>
                <c:pt idx="38">
                  <c:v>2396.006790200212</c:v>
                </c:pt>
                <c:pt idx="39">
                  <c:v>2396.006790200212</c:v>
                </c:pt>
                <c:pt idx="40">
                  <c:v>1597.337860133475</c:v>
                </c:pt>
                <c:pt idx="41">
                  <c:v>1597.337860133475</c:v>
                </c:pt>
                <c:pt idx="42">
                  <c:v>1597.337860133475</c:v>
                </c:pt>
                <c:pt idx="43">
                  <c:v>1597.337860133475</c:v>
                </c:pt>
                <c:pt idx="44">
                  <c:v>1597.337860133475</c:v>
                </c:pt>
                <c:pt idx="45">
                  <c:v>1597.337860133475</c:v>
                </c:pt>
                <c:pt idx="46">
                  <c:v>1597.337860133475</c:v>
                </c:pt>
                <c:pt idx="47">
                  <c:v>1597.337860133475</c:v>
                </c:pt>
                <c:pt idx="48">
                  <c:v>1597.337860133475</c:v>
                </c:pt>
                <c:pt idx="49">
                  <c:v>1597.337860133475</c:v>
                </c:pt>
                <c:pt idx="50">
                  <c:v>1597.337860133475</c:v>
                </c:pt>
                <c:pt idx="51">
                  <c:v>1597.337860133475</c:v>
                </c:pt>
                <c:pt idx="52">
                  <c:v>1597.337860133475</c:v>
                </c:pt>
                <c:pt idx="53">
                  <c:v>1597.337860133475</c:v>
                </c:pt>
                <c:pt idx="54">
                  <c:v>1597.337860133475</c:v>
                </c:pt>
                <c:pt idx="55">
                  <c:v>1597.337860133475</c:v>
                </c:pt>
                <c:pt idx="56">
                  <c:v>1597.337860133475</c:v>
                </c:pt>
                <c:pt idx="57">
                  <c:v>1597.337860133475</c:v>
                </c:pt>
                <c:pt idx="58">
                  <c:v>1597.337860133475</c:v>
                </c:pt>
                <c:pt idx="59">
                  <c:v>1597.337860133475</c:v>
                </c:pt>
                <c:pt idx="60">
                  <c:v>1597.337860133475</c:v>
                </c:pt>
                <c:pt idx="61">
                  <c:v>1597.337860133475</c:v>
                </c:pt>
                <c:pt idx="62">
                  <c:v>1597.337860133475</c:v>
                </c:pt>
                <c:pt idx="63">
                  <c:v>1597.337860133475</c:v>
                </c:pt>
                <c:pt idx="64">
                  <c:v>1597.337860133475</c:v>
                </c:pt>
                <c:pt idx="65">
                  <c:v>1597.337860133475</c:v>
                </c:pt>
                <c:pt idx="66">
                  <c:v>1597.337860133475</c:v>
                </c:pt>
                <c:pt idx="67">
                  <c:v>1597.337860133475</c:v>
                </c:pt>
                <c:pt idx="68">
                  <c:v>1597.337860133475</c:v>
                </c:pt>
                <c:pt idx="69">
                  <c:v>1597.337860133475</c:v>
                </c:pt>
                <c:pt idx="70">
                  <c:v>1597.337860133475</c:v>
                </c:pt>
                <c:pt idx="71">
                  <c:v>1597.337860133475</c:v>
                </c:pt>
                <c:pt idx="72">
                  <c:v>1597.337860133475</c:v>
                </c:pt>
                <c:pt idx="73">
                  <c:v>1597.337860133475</c:v>
                </c:pt>
                <c:pt idx="74">
                  <c:v>1597.337860133475</c:v>
                </c:pt>
                <c:pt idx="75">
                  <c:v>1597.337860133475</c:v>
                </c:pt>
                <c:pt idx="76">
                  <c:v>1597.337860133475</c:v>
                </c:pt>
                <c:pt idx="77">
                  <c:v>1597.337860133475</c:v>
                </c:pt>
                <c:pt idx="78">
                  <c:v>1597.337860133475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74643.85174972935</c:v>
                </c:pt>
                <c:pt idx="80">
                  <c:v>74643.85174972935</c:v>
                </c:pt>
                <c:pt idx="81">
                  <c:v>74643.85174972935</c:v>
                </c:pt>
                <c:pt idx="82">
                  <c:v>74643.85174972935</c:v>
                </c:pt>
                <c:pt idx="83">
                  <c:v>74643.85174972935</c:v>
                </c:pt>
                <c:pt idx="84">
                  <c:v>74643.85174972935</c:v>
                </c:pt>
                <c:pt idx="85">
                  <c:v>74643.85174972935</c:v>
                </c:pt>
                <c:pt idx="86">
                  <c:v>74643.85174972935</c:v>
                </c:pt>
                <c:pt idx="87">
                  <c:v>74643.85174972935</c:v>
                </c:pt>
                <c:pt idx="88">
                  <c:v>74643.85174972935</c:v>
                </c:pt>
                <c:pt idx="89">
                  <c:v>74643.85174972935</c:v>
                </c:pt>
                <c:pt idx="90">
                  <c:v>74643.85174972935</c:v>
                </c:pt>
                <c:pt idx="91">
                  <c:v>74643.85174972935</c:v>
                </c:pt>
                <c:pt idx="92">
                  <c:v>74643.85174972935</c:v>
                </c:pt>
                <c:pt idx="93">
                  <c:v>74643.85174972935</c:v>
                </c:pt>
                <c:pt idx="94">
                  <c:v>74643.85174972935</c:v>
                </c:pt>
                <c:pt idx="95">
                  <c:v>74643.85174972935</c:v>
                </c:pt>
                <c:pt idx="96">
                  <c:v>74643.85174972935</c:v>
                </c:pt>
                <c:pt idx="97">
                  <c:v>74643.85174972935</c:v>
                </c:pt>
                <c:pt idx="98">
                  <c:v>74643.85174972935</c:v>
                </c:pt>
                <c:pt idx="99">
                  <c:v>74643.85174972935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4141.246304049748</c:v>
                </c:pt>
                <c:pt idx="41">
                  <c:v>4141.246304049748</c:v>
                </c:pt>
                <c:pt idx="42">
                  <c:v>4141.246304049748</c:v>
                </c:pt>
                <c:pt idx="43">
                  <c:v>4141.246304049748</c:v>
                </c:pt>
                <c:pt idx="44">
                  <c:v>4141.246304049748</c:v>
                </c:pt>
                <c:pt idx="45">
                  <c:v>4141.246304049748</c:v>
                </c:pt>
                <c:pt idx="46">
                  <c:v>4141.246304049748</c:v>
                </c:pt>
                <c:pt idx="47">
                  <c:v>4141.246304049748</c:v>
                </c:pt>
                <c:pt idx="48">
                  <c:v>4141.246304049748</c:v>
                </c:pt>
                <c:pt idx="49">
                  <c:v>4141.246304049748</c:v>
                </c:pt>
                <c:pt idx="50">
                  <c:v>4141.246304049748</c:v>
                </c:pt>
                <c:pt idx="51">
                  <c:v>4141.246304049748</c:v>
                </c:pt>
                <c:pt idx="52">
                  <c:v>4141.246304049748</c:v>
                </c:pt>
                <c:pt idx="53">
                  <c:v>4141.246304049748</c:v>
                </c:pt>
                <c:pt idx="54">
                  <c:v>4141.246304049748</c:v>
                </c:pt>
                <c:pt idx="55">
                  <c:v>4141.246304049748</c:v>
                </c:pt>
                <c:pt idx="56">
                  <c:v>4141.246304049748</c:v>
                </c:pt>
                <c:pt idx="57">
                  <c:v>4141.246304049748</c:v>
                </c:pt>
                <c:pt idx="58">
                  <c:v>4141.246304049748</c:v>
                </c:pt>
                <c:pt idx="59">
                  <c:v>4141.246304049748</c:v>
                </c:pt>
                <c:pt idx="60">
                  <c:v>4141.246304049748</c:v>
                </c:pt>
                <c:pt idx="61">
                  <c:v>4141.246304049748</c:v>
                </c:pt>
                <c:pt idx="62">
                  <c:v>4141.246304049748</c:v>
                </c:pt>
                <c:pt idx="63">
                  <c:v>4141.246304049748</c:v>
                </c:pt>
                <c:pt idx="64">
                  <c:v>4141.246304049748</c:v>
                </c:pt>
                <c:pt idx="65">
                  <c:v>4141.246304049748</c:v>
                </c:pt>
                <c:pt idx="66">
                  <c:v>4141.246304049748</c:v>
                </c:pt>
                <c:pt idx="67">
                  <c:v>4141.246304049748</c:v>
                </c:pt>
                <c:pt idx="68">
                  <c:v>4141.246304049748</c:v>
                </c:pt>
                <c:pt idx="69">
                  <c:v>4141.246304049748</c:v>
                </c:pt>
                <c:pt idx="70">
                  <c:v>4141.246304049748</c:v>
                </c:pt>
                <c:pt idx="71">
                  <c:v>4141.246304049748</c:v>
                </c:pt>
                <c:pt idx="72">
                  <c:v>4141.246304049748</c:v>
                </c:pt>
                <c:pt idx="73">
                  <c:v>4141.246304049748</c:v>
                </c:pt>
                <c:pt idx="74">
                  <c:v>4141.246304049748</c:v>
                </c:pt>
                <c:pt idx="75">
                  <c:v>4141.246304049748</c:v>
                </c:pt>
                <c:pt idx="76">
                  <c:v>4141.246304049748</c:v>
                </c:pt>
                <c:pt idx="77">
                  <c:v>4141.246304049748</c:v>
                </c:pt>
                <c:pt idx="78">
                  <c:v>4141.246304049748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2031.500524986835</c:v>
                </c:pt>
                <c:pt idx="1">
                  <c:v>2031.500524986835</c:v>
                </c:pt>
                <c:pt idx="2">
                  <c:v>2031.500524986835</c:v>
                </c:pt>
                <c:pt idx="3">
                  <c:v>2031.500524986835</c:v>
                </c:pt>
                <c:pt idx="4">
                  <c:v>2031.500524986835</c:v>
                </c:pt>
                <c:pt idx="5">
                  <c:v>2031.500524986835</c:v>
                </c:pt>
                <c:pt idx="6">
                  <c:v>2031.500524986835</c:v>
                </c:pt>
                <c:pt idx="7">
                  <c:v>2031.500524986835</c:v>
                </c:pt>
                <c:pt idx="8">
                  <c:v>2031.500524986835</c:v>
                </c:pt>
                <c:pt idx="9">
                  <c:v>2031.500524986835</c:v>
                </c:pt>
                <c:pt idx="10">
                  <c:v>2031.500524986835</c:v>
                </c:pt>
                <c:pt idx="11">
                  <c:v>2031.500524986835</c:v>
                </c:pt>
                <c:pt idx="12">
                  <c:v>2031.500524986835</c:v>
                </c:pt>
                <c:pt idx="13">
                  <c:v>2031.500524986835</c:v>
                </c:pt>
                <c:pt idx="14">
                  <c:v>2031.500524986835</c:v>
                </c:pt>
                <c:pt idx="15">
                  <c:v>2031.500524986835</c:v>
                </c:pt>
                <c:pt idx="16">
                  <c:v>2031.500524986835</c:v>
                </c:pt>
                <c:pt idx="17">
                  <c:v>2031.500524986835</c:v>
                </c:pt>
                <c:pt idx="18">
                  <c:v>2031.500524986835</c:v>
                </c:pt>
                <c:pt idx="19">
                  <c:v>2031.500524986835</c:v>
                </c:pt>
                <c:pt idx="20">
                  <c:v>2031.500524986835</c:v>
                </c:pt>
                <c:pt idx="21">
                  <c:v>2031.500524986835</c:v>
                </c:pt>
                <c:pt idx="22">
                  <c:v>2031.500524986835</c:v>
                </c:pt>
                <c:pt idx="23">
                  <c:v>2031.500524986835</c:v>
                </c:pt>
                <c:pt idx="24">
                  <c:v>2031.500524986835</c:v>
                </c:pt>
                <c:pt idx="25">
                  <c:v>2031.500524986835</c:v>
                </c:pt>
                <c:pt idx="26">
                  <c:v>2031.500524986835</c:v>
                </c:pt>
                <c:pt idx="27">
                  <c:v>2031.500524986835</c:v>
                </c:pt>
                <c:pt idx="28">
                  <c:v>2031.500524986835</c:v>
                </c:pt>
                <c:pt idx="29">
                  <c:v>2031.500524986835</c:v>
                </c:pt>
                <c:pt idx="30">
                  <c:v>2031.500524986835</c:v>
                </c:pt>
                <c:pt idx="31">
                  <c:v>2031.500524986835</c:v>
                </c:pt>
                <c:pt idx="32">
                  <c:v>2031.500524986835</c:v>
                </c:pt>
                <c:pt idx="33">
                  <c:v>2031.500524986835</c:v>
                </c:pt>
                <c:pt idx="34">
                  <c:v>2031.500524986835</c:v>
                </c:pt>
                <c:pt idx="35">
                  <c:v>2031.500524986835</c:v>
                </c:pt>
                <c:pt idx="36">
                  <c:v>2031.500524986835</c:v>
                </c:pt>
                <c:pt idx="37">
                  <c:v>2031.500524986835</c:v>
                </c:pt>
                <c:pt idx="38">
                  <c:v>2031.500524986835</c:v>
                </c:pt>
                <c:pt idx="39">
                  <c:v>2031.500524986835</c:v>
                </c:pt>
                <c:pt idx="40">
                  <c:v>2031.500524986835</c:v>
                </c:pt>
                <c:pt idx="41">
                  <c:v>2031.500524986835</c:v>
                </c:pt>
                <c:pt idx="42">
                  <c:v>2031.500524986835</c:v>
                </c:pt>
                <c:pt idx="43">
                  <c:v>2031.500524986835</c:v>
                </c:pt>
                <c:pt idx="44">
                  <c:v>2031.500524986835</c:v>
                </c:pt>
                <c:pt idx="45">
                  <c:v>2031.500524986835</c:v>
                </c:pt>
                <c:pt idx="46">
                  <c:v>2031.500524986835</c:v>
                </c:pt>
                <c:pt idx="47">
                  <c:v>2031.500524986835</c:v>
                </c:pt>
                <c:pt idx="48">
                  <c:v>2031.500524986835</c:v>
                </c:pt>
                <c:pt idx="49">
                  <c:v>2031.500524986835</c:v>
                </c:pt>
                <c:pt idx="50">
                  <c:v>2031.500524986835</c:v>
                </c:pt>
                <c:pt idx="51">
                  <c:v>2031.500524986835</c:v>
                </c:pt>
                <c:pt idx="52">
                  <c:v>2031.500524986835</c:v>
                </c:pt>
                <c:pt idx="53">
                  <c:v>2031.500524986835</c:v>
                </c:pt>
                <c:pt idx="54">
                  <c:v>2031.500524986835</c:v>
                </c:pt>
                <c:pt idx="55">
                  <c:v>2031.500524986835</c:v>
                </c:pt>
                <c:pt idx="56">
                  <c:v>2031.500524986835</c:v>
                </c:pt>
                <c:pt idx="57">
                  <c:v>2031.500524986835</c:v>
                </c:pt>
                <c:pt idx="58">
                  <c:v>2031.500524986835</c:v>
                </c:pt>
                <c:pt idx="59">
                  <c:v>2031.500524986835</c:v>
                </c:pt>
                <c:pt idx="60">
                  <c:v>2031.500524986835</c:v>
                </c:pt>
                <c:pt idx="61">
                  <c:v>2031.500524986835</c:v>
                </c:pt>
                <c:pt idx="62">
                  <c:v>2031.500524986835</c:v>
                </c:pt>
                <c:pt idx="63">
                  <c:v>2031.500524986835</c:v>
                </c:pt>
                <c:pt idx="64">
                  <c:v>2031.500524986835</c:v>
                </c:pt>
                <c:pt idx="65">
                  <c:v>2031.500524986835</c:v>
                </c:pt>
                <c:pt idx="66">
                  <c:v>2031.500524986835</c:v>
                </c:pt>
                <c:pt idx="67">
                  <c:v>2031.500524986835</c:v>
                </c:pt>
                <c:pt idx="68">
                  <c:v>2031.500524986835</c:v>
                </c:pt>
                <c:pt idx="69">
                  <c:v>2031.500524986835</c:v>
                </c:pt>
                <c:pt idx="70">
                  <c:v>2031.500524986835</c:v>
                </c:pt>
                <c:pt idx="71">
                  <c:v>2031.500524986835</c:v>
                </c:pt>
                <c:pt idx="72">
                  <c:v>2031.500524986835</c:v>
                </c:pt>
                <c:pt idx="73">
                  <c:v>2031.500524986835</c:v>
                </c:pt>
                <c:pt idx="74">
                  <c:v>2031.500524986835</c:v>
                </c:pt>
                <c:pt idx="75">
                  <c:v>2031.500524986835</c:v>
                </c:pt>
                <c:pt idx="76">
                  <c:v>2031.500524986835</c:v>
                </c:pt>
                <c:pt idx="77">
                  <c:v>2031.500524986835</c:v>
                </c:pt>
                <c:pt idx="78">
                  <c:v>2031.500524986835</c:v>
                </c:pt>
                <c:pt idx="79">
                  <c:v>1857.371908559392</c:v>
                </c:pt>
                <c:pt idx="80">
                  <c:v>1857.371908559392</c:v>
                </c:pt>
                <c:pt idx="81">
                  <c:v>1857.371908559392</c:v>
                </c:pt>
                <c:pt idx="82">
                  <c:v>1857.371908559392</c:v>
                </c:pt>
                <c:pt idx="83">
                  <c:v>1857.371908559392</c:v>
                </c:pt>
                <c:pt idx="84">
                  <c:v>1857.371908559392</c:v>
                </c:pt>
                <c:pt idx="85">
                  <c:v>1857.371908559392</c:v>
                </c:pt>
                <c:pt idx="86">
                  <c:v>1857.371908559392</c:v>
                </c:pt>
                <c:pt idx="87">
                  <c:v>1857.371908559392</c:v>
                </c:pt>
                <c:pt idx="88">
                  <c:v>1857.371908559392</c:v>
                </c:pt>
                <c:pt idx="89">
                  <c:v>1857.371908559392</c:v>
                </c:pt>
                <c:pt idx="90">
                  <c:v>1857.371908559392</c:v>
                </c:pt>
                <c:pt idx="91">
                  <c:v>1857.371908559392</c:v>
                </c:pt>
                <c:pt idx="92">
                  <c:v>1857.371908559392</c:v>
                </c:pt>
                <c:pt idx="93">
                  <c:v>1857.371908559392</c:v>
                </c:pt>
                <c:pt idx="94">
                  <c:v>1857.371908559392</c:v>
                </c:pt>
                <c:pt idx="95">
                  <c:v>1857.371908559392</c:v>
                </c:pt>
                <c:pt idx="96">
                  <c:v>1857.371908559392</c:v>
                </c:pt>
                <c:pt idx="97">
                  <c:v>1857.371908559392</c:v>
                </c:pt>
                <c:pt idx="98">
                  <c:v>1857.371908559392</c:v>
                </c:pt>
                <c:pt idx="99">
                  <c:v>1857.371908559392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31716.03062287244</c:v>
                </c:pt>
                <c:pt idx="1">
                  <c:v>31716.03062287244</c:v>
                </c:pt>
                <c:pt idx="2">
                  <c:v>31716.03062287244</c:v>
                </c:pt>
                <c:pt idx="3">
                  <c:v>31716.03062287244</c:v>
                </c:pt>
                <c:pt idx="4">
                  <c:v>31716.03062287244</c:v>
                </c:pt>
                <c:pt idx="5">
                  <c:v>31716.03062287244</c:v>
                </c:pt>
                <c:pt idx="6">
                  <c:v>31716.03062287244</c:v>
                </c:pt>
                <c:pt idx="7">
                  <c:v>31716.03062287244</c:v>
                </c:pt>
                <c:pt idx="8">
                  <c:v>31716.03062287244</c:v>
                </c:pt>
                <c:pt idx="9">
                  <c:v>31716.03062287244</c:v>
                </c:pt>
                <c:pt idx="10">
                  <c:v>31716.03062287244</c:v>
                </c:pt>
                <c:pt idx="11">
                  <c:v>31716.03062287244</c:v>
                </c:pt>
                <c:pt idx="12">
                  <c:v>31716.03062287244</c:v>
                </c:pt>
                <c:pt idx="13">
                  <c:v>31716.03062287244</c:v>
                </c:pt>
                <c:pt idx="14">
                  <c:v>31716.03062287244</c:v>
                </c:pt>
                <c:pt idx="15">
                  <c:v>31716.03062287244</c:v>
                </c:pt>
                <c:pt idx="16">
                  <c:v>31716.03062287244</c:v>
                </c:pt>
                <c:pt idx="17">
                  <c:v>31716.03062287244</c:v>
                </c:pt>
                <c:pt idx="18">
                  <c:v>31716.03062287244</c:v>
                </c:pt>
                <c:pt idx="19">
                  <c:v>31716.03062287244</c:v>
                </c:pt>
                <c:pt idx="20">
                  <c:v>31716.03062287244</c:v>
                </c:pt>
                <c:pt idx="21">
                  <c:v>31716.03062287244</c:v>
                </c:pt>
                <c:pt idx="22">
                  <c:v>31716.03062287244</c:v>
                </c:pt>
                <c:pt idx="23">
                  <c:v>31716.03062287244</c:v>
                </c:pt>
                <c:pt idx="24">
                  <c:v>31716.03062287244</c:v>
                </c:pt>
                <c:pt idx="25">
                  <c:v>31716.03062287244</c:v>
                </c:pt>
                <c:pt idx="26">
                  <c:v>31716.03062287244</c:v>
                </c:pt>
                <c:pt idx="27">
                  <c:v>31716.03062287244</c:v>
                </c:pt>
                <c:pt idx="28">
                  <c:v>31716.03062287244</c:v>
                </c:pt>
                <c:pt idx="29">
                  <c:v>31716.03062287244</c:v>
                </c:pt>
                <c:pt idx="30">
                  <c:v>31716.03062287244</c:v>
                </c:pt>
                <c:pt idx="31">
                  <c:v>31716.03062287244</c:v>
                </c:pt>
                <c:pt idx="32">
                  <c:v>31716.03062287244</c:v>
                </c:pt>
                <c:pt idx="33">
                  <c:v>31716.03062287244</c:v>
                </c:pt>
                <c:pt idx="34">
                  <c:v>31716.03062287244</c:v>
                </c:pt>
                <c:pt idx="35">
                  <c:v>31716.03062287244</c:v>
                </c:pt>
                <c:pt idx="36">
                  <c:v>31716.03062287244</c:v>
                </c:pt>
                <c:pt idx="37">
                  <c:v>31716.03062287244</c:v>
                </c:pt>
                <c:pt idx="38">
                  <c:v>31716.03062287244</c:v>
                </c:pt>
                <c:pt idx="39">
                  <c:v>31716.03062287244</c:v>
                </c:pt>
                <c:pt idx="40">
                  <c:v>31920.1349050006</c:v>
                </c:pt>
                <c:pt idx="41">
                  <c:v>31920.1349050006</c:v>
                </c:pt>
                <c:pt idx="42">
                  <c:v>31920.1349050006</c:v>
                </c:pt>
                <c:pt idx="43">
                  <c:v>31920.1349050006</c:v>
                </c:pt>
                <c:pt idx="44">
                  <c:v>31920.1349050006</c:v>
                </c:pt>
                <c:pt idx="45">
                  <c:v>31920.1349050006</c:v>
                </c:pt>
                <c:pt idx="46">
                  <c:v>31920.1349050006</c:v>
                </c:pt>
                <c:pt idx="47">
                  <c:v>31920.1349050006</c:v>
                </c:pt>
                <c:pt idx="48">
                  <c:v>31920.1349050006</c:v>
                </c:pt>
                <c:pt idx="49">
                  <c:v>31920.1349050006</c:v>
                </c:pt>
                <c:pt idx="50">
                  <c:v>31920.1349050006</c:v>
                </c:pt>
                <c:pt idx="51">
                  <c:v>31920.1349050006</c:v>
                </c:pt>
                <c:pt idx="52">
                  <c:v>31920.1349050006</c:v>
                </c:pt>
                <c:pt idx="53">
                  <c:v>31920.1349050006</c:v>
                </c:pt>
                <c:pt idx="54">
                  <c:v>31920.1349050006</c:v>
                </c:pt>
                <c:pt idx="55">
                  <c:v>31920.1349050006</c:v>
                </c:pt>
                <c:pt idx="56">
                  <c:v>31920.1349050006</c:v>
                </c:pt>
                <c:pt idx="57">
                  <c:v>31920.1349050006</c:v>
                </c:pt>
                <c:pt idx="58">
                  <c:v>31920.1349050006</c:v>
                </c:pt>
                <c:pt idx="59">
                  <c:v>31920.1349050006</c:v>
                </c:pt>
                <c:pt idx="60">
                  <c:v>31920.1349050006</c:v>
                </c:pt>
                <c:pt idx="61">
                  <c:v>31920.1349050006</c:v>
                </c:pt>
                <c:pt idx="62">
                  <c:v>31920.1349050006</c:v>
                </c:pt>
                <c:pt idx="63">
                  <c:v>31920.1349050006</c:v>
                </c:pt>
                <c:pt idx="64">
                  <c:v>31920.1349050006</c:v>
                </c:pt>
                <c:pt idx="65">
                  <c:v>31920.1349050006</c:v>
                </c:pt>
                <c:pt idx="66">
                  <c:v>31920.1349050006</c:v>
                </c:pt>
                <c:pt idx="67">
                  <c:v>31920.1349050006</c:v>
                </c:pt>
                <c:pt idx="68">
                  <c:v>31920.1349050006</c:v>
                </c:pt>
                <c:pt idx="69">
                  <c:v>31920.1349050006</c:v>
                </c:pt>
                <c:pt idx="70">
                  <c:v>31920.1349050006</c:v>
                </c:pt>
                <c:pt idx="71">
                  <c:v>31920.1349050006</c:v>
                </c:pt>
                <c:pt idx="72">
                  <c:v>31920.1349050006</c:v>
                </c:pt>
                <c:pt idx="73">
                  <c:v>31920.1349050006</c:v>
                </c:pt>
                <c:pt idx="74">
                  <c:v>31920.1349050006</c:v>
                </c:pt>
                <c:pt idx="75">
                  <c:v>31920.1349050006</c:v>
                </c:pt>
                <c:pt idx="76">
                  <c:v>31920.1349050006</c:v>
                </c:pt>
                <c:pt idx="77">
                  <c:v>31920.1349050006</c:v>
                </c:pt>
                <c:pt idx="78">
                  <c:v>31920.1349050006</c:v>
                </c:pt>
                <c:pt idx="79">
                  <c:v>33691.15156421209</c:v>
                </c:pt>
                <c:pt idx="80">
                  <c:v>33691.15156421209</c:v>
                </c:pt>
                <c:pt idx="81">
                  <c:v>33691.15156421209</c:v>
                </c:pt>
                <c:pt idx="82">
                  <c:v>33691.15156421209</c:v>
                </c:pt>
                <c:pt idx="83">
                  <c:v>33691.15156421209</c:v>
                </c:pt>
                <c:pt idx="84">
                  <c:v>33691.15156421209</c:v>
                </c:pt>
                <c:pt idx="85">
                  <c:v>33691.15156421209</c:v>
                </c:pt>
                <c:pt idx="86">
                  <c:v>33691.15156421209</c:v>
                </c:pt>
                <c:pt idx="87">
                  <c:v>33691.15156421209</c:v>
                </c:pt>
                <c:pt idx="88">
                  <c:v>33691.15156421209</c:v>
                </c:pt>
                <c:pt idx="89">
                  <c:v>33691.15156421209</c:v>
                </c:pt>
                <c:pt idx="90">
                  <c:v>33691.15156421209</c:v>
                </c:pt>
                <c:pt idx="91">
                  <c:v>33691.15156421209</c:v>
                </c:pt>
                <c:pt idx="92">
                  <c:v>33691.15156421209</c:v>
                </c:pt>
                <c:pt idx="93">
                  <c:v>33691.15156421209</c:v>
                </c:pt>
                <c:pt idx="94">
                  <c:v>33691.15156421209</c:v>
                </c:pt>
                <c:pt idx="95">
                  <c:v>33691.15156421209</c:v>
                </c:pt>
                <c:pt idx="96">
                  <c:v>33691.15156421209</c:v>
                </c:pt>
                <c:pt idx="97">
                  <c:v>33691.15156421209</c:v>
                </c:pt>
                <c:pt idx="98">
                  <c:v>33691.15156421209</c:v>
                </c:pt>
                <c:pt idx="99">
                  <c:v>33691.15156421209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5257656"/>
        <c:axId val="-2015254296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33489.86731665794</c:v>
                </c:pt>
                <c:pt idx="1">
                  <c:v>33489.86731665794</c:v>
                </c:pt>
                <c:pt idx="2">
                  <c:v>33489.86731665794</c:v>
                </c:pt>
                <c:pt idx="3">
                  <c:v>33489.86731665794</c:v>
                </c:pt>
                <c:pt idx="4">
                  <c:v>33489.86731665794</c:v>
                </c:pt>
                <c:pt idx="5">
                  <c:v>33489.86731665794</c:v>
                </c:pt>
                <c:pt idx="6">
                  <c:v>33489.86731665794</c:v>
                </c:pt>
                <c:pt idx="7">
                  <c:v>33489.86731665794</c:v>
                </c:pt>
                <c:pt idx="8">
                  <c:v>33489.86731665794</c:v>
                </c:pt>
                <c:pt idx="9">
                  <c:v>33489.86731665794</c:v>
                </c:pt>
                <c:pt idx="10">
                  <c:v>33489.86731665794</c:v>
                </c:pt>
                <c:pt idx="11">
                  <c:v>33489.86731665794</c:v>
                </c:pt>
                <c:pt idx="12">
                  <c:v>33489.86731665794</c:v>
                </c:pt>
                <c:pt idx="13">
                  <c:v>33489.86731665794</c:v>
                </c:pt>
                <c:pt idx="14">
                  <c:v>33489.86731665794</c:v>
                </c:pt>
                <c:pt idx="15">
                  <c:v>33489.86731665794</c:v>
                </c:pt>
                <c:pt idx="16">
                  <c:v>33489.86731665794</c:v>
                </c:pt>
                <c:pt idx="17">
                  <c:v>33489.86731665794</c:v>
                </c:pt>
                <c:pt idx="18">
                  <c:v>33489.86731665794</c:v>
                </c:pt>
                <c:pt idx="19">
                  <c:v>33489.86731665794</c:v>
                </c:pt>
                <c:pt idx="20">
                  <c:v>33489.86731665794</c:v>
                </c:pt>
                <c:pt idx="21">
                  <c:v>33489.86731665794</c:v>
                </c:pt>
                <c:pt idx="22">
                  <c:v>33489.86731665794</c:v>
                </c:pt>
                <c:pt idx="23">
                  <c:v>33489.86731665794</c:v>
                </c:pt>
                <c:pt idx="24">
                  <c:v>33489.86731665794</c:v>
                </c:pt>
                <c:pt idx="25">
                  <c:v>33489.86731665794</c:v>
                </c:pt>
                <c:pt idx="26">
                  <c:v>33489.86731665794</c:v>
                </c:pt>
                <c:pt idx="27">
                  <c:v>33489.86731665794</c:v>
                </c:pt>
                <c:pt idx="28">
                  <c:v>33489.86731665794</c:v>
                </c:pt>
                <c:pt idx="29">
                  <c:v>33489.86731665794</c:v>
                </c:pt>
                <c:pt idx="30">
                  <c:v>33489.86731665794</c:v>
                </c:pt>
                <c:pt idx="31">
                  <c:v>33489.86731665794</c:v>
                </c:pt>
                <c:pt idx="32">
                  <c:v>33489.86731665794</c:v>
                </c:pt>
                <c:pt idx="33">
                  <c:v>33489.86731665794</c:v>
                </c:pt>
                <c:pt idx="34">
                  <c:v>33489.86731665794</c:v>
                </c:pt>
                <c:pt idx="35">
                  <c:v>33489.86731665794</c:v>
                </c:pt>
                <c:pt idx="36">
                  <c:v>33489.86731665794</c:v>
                </c:pt>
                <c:pt idx="37">
                  <c:v>33489.86731665794</c:v>
                </c:pt>
                <c:pt idx="38">
                  <c:v>33489.86731665794</c:v>
                </c:pt>
                <c:pt idx="39">
                  <c:v>33489.86731665794</c:v>
                </c:pt>
                <c:pt idx="40">
                  <c:v>33489.86731665793</c:v>
                </c:pt>
                <c:pt idx="41">
                  <c:v>33489.86731665793</c:v>
                </c:pt>
                <c:pt idx="42">
                  <c:v>33489.86731665793</c:v>
                </c:pt>
                <c:pt idx="43">
                  <c:v>33489.86731665793</c:v>
                </c:pt>
                <c:pt idx="44">
                  <c:v>33489.86731665793</c:v>
                </c:pt>
                <c:pt idx="45">
                  <c:v>33489.86731665793</c:v>
                </c:pt>
                <c:pt idx="46">
                  <c:v>33489.86731665793</c:v>
                </c:pt>
                <c:pt idx="47">
                  <c:v>33489.86731665793</c:v>
                </c:pt>
                <c:pt idx="48">
                  <c:v>33489.86731665793</c:v>
                </c:pt>
                <c:pt idx="49">
                  <c:v>33489.86731665793</c:v>
                </c:pt>
                <c:pt idx="50">
                  <c:v>33489.86731665793</c:v>
                </c:pt>
                <c:pt idx="51">
                  <c:v>33489.86731665793</c:v>
                </c:pt>
                <c:pt idx="52">
                  <c:v>33489.86731665793</c:v>
                </c:pt>
                <c:pt idx="53">
                  <c:v>33489.86731665793</c:v>
                </c:pt>
                <c:pt idx="54">
                  <c:v>33489.86731665793</c:v>
                </c:pt>
                <c:pt idx="55">
                  <c:v>33489.86731665793</c:v>
                </c:pt>
                <c:pt idx="56">
                  <c:v>33489.86731665793</c:v>
                </c:pt>
                <c:pt idx="57">
                  <c:v>33489.86731665793</c:v>
                </c:pt>
                <c:pt idx="58">
                  <c:v>33489.86731665793</c:v>
                </c:pt>
                <c:pt idx="59">
                  <c:v>33489.86731665793</c:v>
                </c:pt>
                <c:pt idx="60">
                  <c:v>33489.86731665793</c:v>
                </c:pt>
                <c:pt idx="61">
                  <c:v>33489.86731665793</c:v>
                </c:pt>
                <c:pt idx="62">
                  <c:v>33489.86731665793</c:v>
                </c:pt>
                <c:pt idx="63">
                  <c:v>33489.86731665793</c:v>
                </c:pt>
                <c:pt idx="64">
                  <c:v>33489.86731665793</c:v>
                </c:pt>
                <c:pt idx="65">
                  <c:v>33489.86731665793</c:v>
                </c:pt>
                <c:pt idx="66">
                  <c:v>33489.86731665793</c:v>
                </c:pt>
                <c:pt idx="67">
                  <c:v>33489.86731665793</c:v>
                </c:pt>
                <c:pt idx="68">
                  <c:v>33489.86731665793</c:v>
                </c:pt>
                <c:pt idx="69">
                  <c:v>33489.86731665793</c:v>
                </c:pt>
                <c:pt idx="70">
                  <c:v>33489.86731665793</c:v>
                </c:pt>
                <c:pt idx="71">
                  <c:v>33489.86731665793</c:v>
                </c:pt>
                <c:pt idx="72">
                  <c:v>33489.86731665793</c:v>
                </c:pt>
                <c:pt idx="73">
                  <c:v>33489.86731665793</c:v>
                </c:pt>
                <c:pt idx="74">
                  <c:v>33489.86731665793</c:v>
                </c:pt>
                <c:pt idx="75">
                  <c:v>33489.86731665793</c:v>
                </c:pt>
                <c:pt idx="76">
                  <c:v>33489.86731665793</c:v>
                </c:pt>
                <c:pt idx="77">
                  <c:v>33489.86731665793</c:v>
                </c:pt>
                <c:pt idx="78">
                  <c:v>33489.86731665793</c:v>
                </c:pt>
                <c:pt idx="79">
                  <c:v>33489.86731665794</c:v>
                </c:pt>
                <c:pt idx="80">
                  <c:v>33489.86731665794</c:v>
                </c:pt>
                <c:pt idx="81">
                  <c:v>33489.86731665794</c:v>
                </c:pt>
                <c:pt idx="82">
                  <c:v>33489.86731665794</c:v>
                </c:pt>
                <c:pt idx="83">
                  <c:v>33489.86731665794</c:v>
                </c:pt>
                <c:pt idx="84">
                  <c:v>33489.86731665794</c:v>
                </c:pt>
                <c:pt idx="85">
                  <c:v>33489.86731665794</c:v>
                </c:pt>
                <c:pt idx="86">
                  <c:v>33489.86731665794</c:v>
                </c:pt>
                <c:pt idx="87">
                  <c:v>33489.86731665794</c:v>
                </c:pt>
                <c:pt idx="88">
                  <c:v>33489.86731665794</c:v>
                </c:pt>
                <c:pt idx="89">
                  <c:v>33489.86731665794</c:v>
                </c:pt>
                <c:pt idx="90">
                  <c:v>33489.86731665794</c:v>
                </c:pt>
                <c:pt idx="91">
                  <c:v>33489.86731665794</c:v>
                </c:pt>
                <c:pt idx="92">
                  <c:v>33489.86731665794</c:v>
                </c:pt>
                <c:pt idx="93">
                  <c:v>33489.86731665794</c:v>
                </c:pt>
                <c:pt idx="94">
                  <c:v>33489.86731665794</c:v>
                </c:pt>
                <c:pt idx="95">
                  <c:v>33489.86731665794</c:v>
                </c:pt>
                <c:pt idx="96">
                  <c:v>33489.86731665794</c:v>
                </c:pt>
                <c:pt idx="97">
                  <c:v>33489.86731665794</c:v>
                </c:pt>
                <c:pt idx="98">
                  <c:v>33489.86731665794</c:v>
                </c:pt>
                <c:pt idx="99">
                  <c:v>33489.86731665794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5257656"/>
        <c:axId val="-2015254296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56335.98617310418</c:v>
                </c:pt>
                <c:pt idx="8">
                  <c:v>56692.68713268636</c:v>
                </c:pt>
                <c:pt idx="9">
                  <c:v>57049.38809226854</c:v>
                </c:pt>
                <c:pt idx="10">
                  <c:v>57406.08905185071</c:v>
                </c:pt>
                <c:pt idx="11">
                  <c:v>57762.79001143289</c:v>
                </c:pt>
                <c:pt idx="12">
                  <c:v>58119.49097101507</c:v>
                </c:pt>
                <c:pt idx="13">
                  <c:v>58476.19193059724</c:v>
                </c:pt>
                <c:pt idx="14">
                  <c:v>58832.89289017941</c:v>
                </c:pt>
                <c:pt idx="15">
                  <c:v>59189.59384976159</c:v>
                </c:pt>
                <c:pt idx="16">
                  <c:v>59546.29480934377</c:v>
                </c:pt>
                <c:pt idx="17">
                  <c:v>59902.99576892595</c:v>
                </c:pt>
                <c:pt idx="18">
                  <c:v>60259.69672850812</c:v>
                </c:pt>
                <c:pt idx="19">
                  <c:v>60616.39768809029</c:v>
                </c:pt>
                <c:pt idx="20">
                  <c:v>60973.09864767247</c:v>
                </c:pt>
                <c:pt idx="21">
                  <c:v>61329.79960725464</c:v>
                </c:pt>
                <c:pt idx="22">
                  <c:v>61686.50056683682</c:v>
                </c:pt>
                <c:pt idx="23">
                  <c:v>62043.201526419</c:v>
                </c:pt>
                <c:pt idx="24">
                  <c:v>62399.90248600117</c:v>
                </c:pt>
                <c:pt idx="25">
                  <c:v>62756.60344558334</c:v>
                </c:pt>
                <c:pt idx="26">
                  <c:v>63113.30440516552</c:v>
                </c:pt>
                <c:pt idx="27">
                  <c:v>63470.0053647477</c:v>
                </c:pt>
                <c:pt idx="28">
                  <c:v>63826.70632432987</c:v>
                </c:pt>
                <c:pt idx="29">
                  <c:v>64183.40728391205</c:v>
                </c:pt>
                <c:pt idx="30">
                  <c:v>64540.10824349422</c:v>
                </c:pt>
                <c:pt idx="31">
                  <c:v>64896.8092030764</c:v>
                </c:pt>
                <c:pt idx="32">
                  <c:v>65253.51016265857</c:v>
                </c:pt>
                <c:pt idx="33">
                  <c:v>65610.21112224075</c:v>
                </c:pt>
                <c:pt idx="34">
                  <c:v>65966.91208182293</c:v>
                </c:pt>
                <c:pt idx="35">
                  <c:v>66323.6130414051</c:v>
                </c:pt>
                <c:pt idx="36">
                  <c:v>66680.31400098727</c:v>
                </c:pt>
                <c:pt idx="37">
                  <c:v>67037.01496056945</c:v>
                </c:pt>
                <c:pt idx="38">
                  <c:v>67393.71592015161</c:v>
                </c:pt>
                <c:pt idx="39">
                  <c:v>67750.41687973381</c:v>
                </c:pt>
                <c:pt idx="40">
                  <c:v>68107.11783931598</c:v>
                </c:pt>
                <c:pt idx="41">
                  <c:v>68463.81879889815</c:v>
                </c:pt>
                <c:pt idx="42">
                  <c:v>68820.5197584803</c:v>
                </c:pt>
                <c:pt idx="43">
                  <c:v>69177.2207180625</c:v>
                </c:pt>
                <c:pt idx="44">
                  <c:v>69533.92167764468</c:v>
                </c:pt>
                <c:pt idx="45">
                  <c:v>69890.62263722686</c:v>
                </c:pt>
                <c:pt idx="46">
                  <c:v>70247.32359680903</c:v>
                </c:pt>
                <c:pt idx="47">
                  <c:v>71548.95883546023</c:v>
                </c:pt>
                <c:pt idx="48">
                  <c:v>73795.52835318047</c:v>
                </c:pt>
                <c:pt idx="49">
                  <c:v>76042.09787090072</c:v>
                </c:pt>
                <c:pt idx="50">
                  <c:v>78288.66738862096</c:v>
                </c:pt>
                <c:pt idx="51">
                  <c:v>80535.23690634119</c:v>
                </c:pt>
                <c:pt idx="52">
                  <c:v>82781.80642406143</c:v>
                </c:pt>
                <c:pt idx="53">
                  <c:v>85028.37594178167</c:v>
                </c:pt>
                <c:pt idx="54">
                  <c:v>87274.9454595019</c:v>
                </c:pt>
                <c:pt idx="55">
                  <c:v>89521.51497722215</c:v>
                </c:pt>
                <c:pt idx="56">
                  <c:v>91768.0844949424</c:v>
                </c:pt>
                <c:pt idx="57">
                  <c:v>94014.65401266262</c:v>
                </c:pt>
                <c:pt idx="58">
                  <c:v>96261.22353038286</c:v>
                </c:pt>
                <c:pt idx="59">
                  <c:v>98507.79304810311</c:v>
                </c:pt>
                <c:pt idx="60">
                  <c:v>100754.3625658234</c:v>
                </c:pt>
                <c:pt idx="61">
                  <c:v>103000.9320835436</c:v>
                </c:pt>
                <c:pt idx="62">
                  <c:v>105247.5016012638</c:v>
                </c:pt>
                <c:pt idx="63">
                  <c:v>107494.0711189841</c:v>
                </c:pt>
                <c:pt idx="64">
                  <c:v>109740.6406367043</c:v>
                </c:pt>
                <c:pt idx="65">
                  <c:v>111987.2101544245</c:v>
                </c:pt>
                <c:pt idx="66">
                  <c:v>114233.7796721448</c:v>
                </c:pt>
                <c:pt idx="67">
                  <c:v>116480.349189865</c:v>
                </c:pt>
                <c:pt idx="68">
                  <c:v>118726.9187075853</c:v>
                </c:pt>
                <c:pt idx="69">
                  <c:v>120973.4882253055</c:v>
                </c:pt>
                <c:pt idx="70">
                  <c:v>123220.0577430257</c:v>
                </c:pt>
                <c:pt idx="71">
                  <c:v>125466.627260746</c:v>
                </c:pt>
                <c:pt idx="72">
                  <c:v>127713.1967784662</c:v>
                </c:pt>
                <c:pt idx="73">
                  <c:v>129959.7662961865</c:v>
                </c:pt>
                <c:pt idx="74">
                  <c:v>132206.3358139067</c:v>
                </c:pt>
                <c:pt idx="75">
                  <c:v>134452.9053316269</c:v>
                </c:pt>
                <c:pt idx="76">
                  <c:v>136699.4748493472</c:v>
                </c:pt>
                <c:pt idx="77">
                  <c:v>131259.7710554355</c:v>
                </c:pt>
                <c:pt idx="78">
                  <c:v>118133.793949892</c:v>
                </c:pt>
                <c:pt idx="79">
                  <c:v>105007.8168443484</c:v>
                </c:pt>
                <c:pt idx="80">
                  <c:v>91881.83973880487</c:v>
                </c:pt>
                <c:pt idx="81">
                  <c:v>78755.86263326131</c:v>
                </c:pt>
                <c:pt idx="82">
                  <c:v>65629.88552771776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5257656"/>
        <c:axId val="-2015254296"/>
      </c:scatterChart>
      <c:catAx>
        <c:axId val="-201525765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52542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152542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525765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2474.234083580273</c:v>
                </c:pt>
                <c:pt idx="1">
                  <c:v>2474.234083580273</c:v>
                </c:pt>
                <c:pt idx="2">
                  <c:v>2474.234083580273</c:v>
                </c:pt>
                <c:pt idx="3">
                  <c:v>2474.234083580273</c:v>
                </c:pt>
                <c:pt idx="4">
                  <c:v>2474.234083580273</c:v>
                </c:pt>
                <c:pt idx="5">
                  <c:v>2474.234083580273</c:v>
                </c:pt>
                <c:pt idx="6">
                  <c:v>2474.234083580273</c:v>
                </c:pt>
                <c:pt idx="7">
                  <c:v>2474.234083580273</c:v>
                </c:pt>
                <c:pt idx="8">
                  <c:v>2474.234083580273</c:v>
                </c:pt>
                <c:pt idx="9">
                  <c:v>2474.234083580273</c:v>
                </c:pt>
                <c:pt idx="10">
                  <c:v>2474.234083580273</c:v>
                </c:pt>
                <c:pt idx="11">
                  <c:v>2474.234083580273</c:v>
                </c:pt>
                <c:pt idx="12">
                  <c:v>2474.234083580273</c:v>
                </c:pt>
                <c:pt idx="13">
                  <c:v>2474.234083580273</c:v>
                </c:pt>
                <c:pt idx="14">
                  <c:v>2474.234083580273</c:v>
                </c:pt>
                <c:pt idx="15">
                  <c:v>2474.234083580273</c:v>
                </c:pt>
                <c:pt idx="16">
                  <c:v>2474.234083580273</c:v>
                </c:pt>
                <c:pt idx="17">
                  <c:v>2474.234083580273</c:v>
                </c:pt>
                <c:pt idx="18">
                  <c:v>2474.234083580273</c:v>
                </c:pt>
                <c:pt idx="19">
                  <c:v>2474.234083580273</c:v>
                </c:pt>
                <c:pt idx="20">
                  <c:v>2474.234083580273</c:v>
                </c:pt>
                <c:pt idx="21">
                  <c:v>2496.820102053318</c:v>
                </c:pt>
                <c:pt idx="22">
                  <c:v>2519.406120526363</c:v>
                </c:pt>
                <c:pt idx="23">
                  <c:v>2541.992138999408</c:v>
                </c:pt>
                <c:pt idx="24">
                  <c:v>2564.578157472453</c:v>
                </c:pt>
                <c:pt idx="25">
                  <c:v>2587.164175945498</c:v>
                </c:pt>
                <c:pt idx="26">
                  <c:v>2609.750194418543</c:v>
                </c:pt>
                <c:pt idx="27">
                  <c:v>2632.336212891588</c:v>
                </c:pt>
                <c:pt idx="28">
                  <c:v>2654.922231364633</c:v>
                </c:pt>
                <c:pt idx="29">
                  <c:v>2677.508249837679</c:v>
                </c:pt>
                <c:pt idx="30">
                  <c:v>2700.094268310724</c:v>
                </c:pt>
                <c:pt idx="31">
                  <c:v>2722.680286783769</c:v>
                </c:pt>
                <c:pt idx="32">
                  <c:v>2745.266305256814</c:v>
                </c:pt>
                <c:pt idx="33">
                  <c:v>2767.852323729859</c:v>
                </c:pt>
                <c:pt idx="34">
                  <c:v>2790.438342202904</c:v>
                </c:pt>
                <c:pt idx="35">
                  <c:v>2813.02436067595</c:v>
                </c:pt>
                <c:pt idx="36">
                  <c:v>2835.610379148994</c:v>
                </c:pt>
                <c:pt idx="37">
                  <c:v>2858.19639762204</c:v>
                </c:pt>
                <c:pt idx="38">
                  <c:v>2880.782416095084</c:v>
                </c:pt>
                <c:pt idx="39">
                  <c:v>2903.368434568129</c:v>
                </c:pt>
                <c:pt idx="40">
                  <c:v>2925.954453041174</c:v>
                </c:pt>
                <c:pt idx="41">
                  <c:v>2948.540471514219</c:v>
                </c:pt>
                <c:pt idx="42">
                  <c:v>2971.126489987264</c:v>
                </c:pt>
                <c:pt idx="43">
                  <c:v>2993.712508460309</c:v>
                </c:pt>
                <c:pt idx="44">
                  <c:v>3016.298526933355</c:v>
                </c:pt>
                <c:pt idx="45">
                  <c:v>3038.8845454064</c:v>
                </c:pt>
                <c:pt idx="46">
                  <c:v>3061.470563879444</c:v>
                </c:pt>
                <c:pt idx="47">
                  <c:v>3084.05658235249</c:v>
                </c:pt>
                <c:pt idx="48">
                  <c:v>3106.642600825535</c:v>
                </c:pt>
                <c:pt idx="49">
                  <c:v>3129.22861929858</c:v>
                </c:pt>
                <c:pt idx="50">
                  <c:v>3151.814637771625</c:v>
                </c:pt>
                <c:pt idx="51">
                  <c:v>3174.40065624467</c:v>
                </c:pt>
                <c:pt idx="52">
                  <c:v>3196.986674717715</c:v>
                </c:pt>
                <c:pt idx="53">
                  <c:v>3219.57269319076</c:v>
                </c:pt>
                <c:pt idx="54">
                  <c:v>3242.158711663806</c:v>
                </c:pt>
                <c:pt idx="55">
                  <c:v>3264.74473013685</c:v>
                </c:pt>
                <c:pt idx="56">
                  <c:v>3287.330748609896</c:v>
                </c:pt>
                <c:pt idx="57">
                  <c:v>3309.916767082941</c:v>
                </c:pt>
                <c:pt idx="58">
                  <c:v>3332.502785555986</c:v>
                </c:pt>
                <c:pt idx="59">
                  <c:v>3355.088804029031</c:v>
                </c:pt>
                <c:pt idx="60">
                  <c:v>3360.45526180953</c:v>
                </c:pt>
                <c:pt idx="61">
                  <c:v>3348.602158897485</c:v>
                </c:pt>
                <c:pt idx="62">
                  <c:v>3336.74905598544</c:v>
                </c:pt>
                <c:pt idx="63">
                  <c:v>3324.895953073393</c:v>
                </c:pt>
                <c:pt idx="64">
                  <c:v>3313.042850161348</c:v>
                </c:pt>
                <c:pt idx="65">
                  <c:v>3301.189747249303</c:v>
                </c:pt>
                <c:pt idx="66">
                  <c:v>3289.336644337257</c:v>
                </c:pt>
                <c:pt idx="67">
                  <c:v>3277.483541425212</c:v>
                </c:pt>
                <c:pt idx="68">
                  <c:v>3265.630438513166</c:v>
                </c:pt>
                <c:pt idx="69">
                  <c:v>3253.77733560112</c:v>
                </c:pt>
                <c:pt idx="70">
                  <c:v>3241.924232689075</c:v>
                </c:pt>
                <c:pt idx="71">
                  <c:v>3230.07112977703</c:v>
                </c:pt>
                <c:pt idx="72">
                  <c:v>3218.218026864984</c:v>
                </c:pt>
                <c:pt idx="73">
                  <c:v>3206.364923952938</c:v>
                </c:pt>
                <c:pt idx="74">
                  <c:v>3194.511821040893</c:v>
                </c:pt>
                <c:pt idx="75">
                  <c:v>3182.658718128847</c:v>
                </c:pt>
                <c:pt idx="76">
                  <c:v>3170.805615216801</c:v>
                </c:pt>
                <c:pt idx="77">
                  <c:v>3158.952512304756</c:v>
                </c:pt>
                <c:pt idx="78">
                  <c:v>3147.09940939271</c:v>
                </c:pt>
                <c:pt idx="79">
                  <c:v>3135.246306480665</c:v>
                </c:pt>
                <c:pt idx="80">
                  <c:v>3123.39320356862</c:v>
                </c:pt>
                <c:pt idx="81">
                  <c:v>3111.540100656573</c:v>
                </c:pt>
                <c:pt idx="82">
                  <c:v>3099.686997744528</c:v>
                </c:pt>
                <c:pt idx="83">
                  <c:v>3087.833894832482</c:v>
                </c:pt>
                <c:pt idx="84">
                  <c:v>3075.980791920437</c:v>
                </c:pt>
                <c:pt idx="85">
                  <c:v>3064.127689008391</c:v>
                </c:pt>
                <c:pt idx="86">
                  <c:v>3052.274586096346</c:v>
                </c:pt>
                <c:pt idx="87">
                  <c:v>3040.4214831843</c:v>
                </c:pt>
                <c:pt idx="88">
                  <c:v>3028.568380272255</c:v>
                </c:pt>
                <c:pt idx="89">
                  <c:v>3016.71527736021</c:v>
                </c:pt>
                <c:pt idx="90">
                  <c:v>2867.417834194463</c:v>
                </c:pt>
                <c:pt idx="91">
                  <c:v>2580.676050775017</c:v>
                </c:pt>
                <c:pt idx="92">
                  <c:v>2293.934267355571</c:v>
                </c:pt>
                <c:pt idx="93">
                  <c:v>2007.192483936124</c:v>
                </c:pt>
                <c:pt idx="94">
                  <c:v>1720.450700516678</c:v>
                </c:pt>
                <c:pt idx="95">
                  <c:v>1433.708917097232</c:v>
                </c:pt>
                <c:pt idx="96">
                  <c:v>1146.967133677785</c:v>
                </c:pt>
                <c:pt idx="97">
                  <c:v>860.225350258339</c:v>
                </c:pt>
                <c:pt idx="98">
                  <c:v>573.4835668388923</c:v>
                </c:pt>
                <c:pt idx="99">
                  <c:v>286.7417834194461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22.18524805740937</c:v>
                </c:pt>
                <c:pt idx="1">
                  <c:v>22.18524805740937</c:v>
                </c:pt>
                <c:pt idx="2">
                  <c:v>22.18524805740937</c:v>
                </c:pt>
                <c:pt idx="3">
                  <c:v>22.18524805740937</c:v>
                </c:pt>
                <c:pt idx="4">
                  <c:v>22.18524805740937</c:v>
                </c:pt>
                <c:pt idx="5">
                  <c:v>22.18524805740937</c:v>
                </c:pt>
                <c:pt idx="6">
                  <c:v>22.18524805740937</c:v>
                </c:pt>
                <c:pt idx="7">
                  <c:v>22.18524805740937</c:v>
                </c:pt>
                <c:pt idx="8">
                  <c:v>22.18524805740937</c:v>
                </c:pt>
                <c:pt idx="9">
                  <c:v>22.18524805740937</c:v>
                </c:pt>
                <c:pt idx="10">
                  <c:v>22.18524805740937</c:v>
                </c:pt>
                <c:pt idx="11">
                  <c:v>22.18524805740937</c:v>
                </c:pt>
                <c:pt idx="12">
                  <c:v>22.18524805740937</c:v>
                </c:pt>
                <c:pt idx="13">
                  <c:v>22.18524805740937</c:v>
                </c:pt>
                <c:pt idx="14">
                  <c:v>22.18524805740937</c:v>
                </c:pt>
                <c:pt idx="15">
                  <c:v>22.18524805740937</c:v>
                </c:pt>
                <c:pt idx="16">
                  <c:v>22.18524805740937</c:v>
                </c:pt>
                <c:pt idx="17">
                  <c:v>22.18524805740937</c:v>
                </c:pt>
                <c:pt idx="18">
                  <c:v>22.18524805740937</c:v>
                </c:pt>
                <c:pt idx="19">
                  <c:v>22.18524805740937</c:v>
                </c:pt>
                <c:pt idx="20">
                  <c:v>22.18524805740937</c:v>
                </c:pt>
                <c:pt idx="21">
                  <c:v>27.61454926977116</c:v>
                </c:pt>
                <c:pt idx="22">
                  <c:v>33.04385048213295</c:v>
                </c:pt>
                <c:pt idx="23">
                  <c:v>38.47315169449473</c:v>
                </c:pt>
                <c:pt idx="24">
                  <c:v>43.90245290685652</c:v>
                </c:pt>
                <c:pt idx="25">
                  <c:v>49.3317541192183</c:v>
                </c:pt>
                <c:pt idx="26">
                  <c:v>54.7610553315801</c:v>
                </c:pt>
                <c:pt idx="27">
                  <c:v>60.19035654394187</c:v>
                </c:pt>
                <c:pt idx="28">
                  <c:v>65.61965775630367</c:v>
                </c:pt>
                <c:pt idx="29">
                  <c:v>71.04895896866544</c:v>
                </c:pt>
                <c:pt idx="30">
                  <c:v>76.47826018102723</c:v>
                </c:pt>
                <c:pt idx="31">
                  <c:v>81.90756139338901</c:v>
                </c:pt>
                <c:pt idx="32">
                  <c:v>87.33686260575081</c:v>
                </c:pt>
                <c:pt idx="33">
                  <c:v>92.76616381811258</c:v>
                </c:pt>
                <c:pt idx="34">
                  <c:v>98.19546503047437</c:v>
                </c:pt>
                <c:pt idx="35">
                  <c:v>103.6247662428362</c:v>
                </c:pt>
                <c:pt idx="36">
                  <c:v>109.054067455198</c:v>
                </c:pt>
                <c:pt idx="37">
                  <c:v>114.4833686675597</c:v>
                </c:pt>
                <c:pt idx="38">
                  <c:v>119.9126698799215</c:v>
                </c:pt>
                <c:pt idx="39">
                  <c:v>125.3419710922833</c:v>
                </c:pt>
                <c:pt idx="40">
                  <c:v>130.7712723046451</c:v>
                </c:pt>
                <c:pt idx="41">
                  <c:v>136.2005735170069</c:v>
                </c:pt>
                <c:pt idx="42">
                  <c:v>141.6298747293687</c:v>
                </c:pt>
                <c:pt idx="43">
                  <c:v>147.0591759417304</c:v>
                </c:pt>
                <c:pt idx="44">
                  <c:v>152.4884771540923</c:v>
                </c:pt>
                <c:pt idx="45">
                  <c:v>157.917778366454</c:v>
                </c:pt>
                <c:pt idx="46">
                  <c:v>163.3470795788158</c:v>
                </c:pt>
                <c:pt idx="47">
                  <c:v>168.7763807911776</c:v>
                </c:pt>
                <c:pt idx="48">
                  <c:v>174.2056820035394</c:v>
                </c:pt>
                <c:pt idx="49">
                  <c:v>179.6349832159012</c:v>
                </c:pt>
                <c:pt idx="50">
                  <c:v>185.064284428263</c:v>
                </c:pt>
                <c:pt idx="51">
                  <c:v>190.4935856406248</c:v>
                </c:pt>
                <c:pt idx="52">
                  <c:v>195.9228868529865</c:v>
                </c:pt>
                <c:pt idx="53">
                  <c:v>201.3521880653483</c:v>
                </c:pt>
                <c:pt idx="54">
                  <c:v>206.7814892777101</c:v>
                </c:pt>
                <c:pt idx="55">
                  <c:v>212.2107904900719</c:v>
                </c:pt>
                <c:pt idx="56">
                  <c:v>217.6400917024337</c:v>
                </c:pt>
                <c:pt idx="57">
                  <c:v>223.0693929147955</c:v>
                </c:pt>
                <c:pt idx="58">
                  <c:v>228.4986941271573</c:v>
                </c:pt>
                <c:pt idx="59">
                  <c:v>233.927995339519</c:v>
                </c:pt>
                <c:pt idx="60">
                  <c:v>236.3609285100503</c:v>
                </c:pt>
                <c:pt idx="61">
                  <c:v>235.797493638751</c:v>
                </c:pt>
                <c:pt idx="62">
                  <c:v>235.2340587674517</c:v>
                </c:pt>
                <c:pt idx="63">
                  <c:v>234.6706238961524</c:v>
                </c:pt>
                <c:pt idx="64">
                  <c:v>234.1071890248531</c:v>
                </c:pt>
                <c:pt idx="65">
                  <c:v>233.5437541535539</c:v>
                </c:pt>
                <c:pt idx="66">
                  <c:v>232.9803192822546</c:v>
                </c:pt>
                <c:pt idx="67">
                  <c:v>232.4168844109553</c:v>
                </c:pt>
                <c:pt idx="68">
                  <c:v>231.853449539656</c:v>
                </c:pt>
                <c:pt idx="69">
                  <c:v>231.2900146683567</c:v>
                </c:pt>
                <c:pt idx="70">
                  <c:v>230.7265797970574</c:v>
                </c:pt>
                <c:pt idx="71">
                  <c:v>230.1631449257582</c:v>
                </c:pt>
                <c:pt idx="72">
                  <c:v>229.5997100544589</c:v>
                </c:pt>
                <c:pt idx="73">
                  <c:v>229.0362751831596</c:v>
                </c:pt>
                <c:pt idx="74">
                  <c:v>228.4728403118603</c:v>
                </c:pt>
                <c:pt idx="75">
                  <c:v>227.909405440561</c:v>
                </c:pt>
                <c:pt idx="76">
                  <c:v>227.3459705692617</c:v>
                </c:pt>
                <c:pt idx="77">
                  <c:v>226.7825356979624</c:v>
                </c:pt>
                <c:pt idx="78">
                  <c:v>226.2191008266632</c:v>
                </c:pt>
                <c:pt idx="79">
                  <c:v>225.6556659553639</c:v>
                </c:pt>
                <c:pt idx="80">
                  <c:v>225.0922310840646</c:v>
                </c:pt>
                <c:pt idx="81">
                  <c:v>224.5287962127653</c:v>
                </c:pt>
                <c:pt idx="82">
                  <c:v>223.965361341466</c:v>
                </c:pt>
                <c:pt idx="83">
                  <c:v>223.4019264701667</c:v>
                </c:pt>
                <c:pt idx="84">
                  <c:v>222.8384915988674</c:v>
                </c:pt>
                <c:pt idx="85">
                  <c:v>222.2750567275682</c:v>
                </c:pt>
                <c:pt idx="86">
                  <c:v>221.7116218562689</c:v>
                </c:pt>
                <c:pt idx="87">
                  <c:v>221.1481869849696</c:v>
                </c:pt>
                <c:pt idx="88">
                  <c:v>220.5847521136703</c:v>
                </c:pt>
                <c:pt idx="89">
                  <c:v>220.021317242371</c:v>
                </c:pt>
                <c:pt idx="90">
                  <c:v>209.2758093397346</c:v>
                </c:pt>
                <c:pt idx="91">
                  <c:v>188.3482284057612</c:v>
                </c:pt>
                <c:pt idx="92">
                  <c:v>167.4206474717877</c:v>
                </c:pt>
                <c:pt idx="93">
                  <c:v>146.4930665378142</c:v>
                </c:pt>
                <c:pt idx="94">
                  <c:v>125.5654856038408</c:v>
                </c:pt>
                <c:pt idx="95">
                  <c:v>104.6379046698673</c:v>
                </c:pt>
                <c:pt idx="96">
                  <c:v>83.71032373589386</c:v>
                </c:pt>
                <c:pt idx="97">
                  <c:v>62.7827428019204</c:v>
                </c:pt>
                <c:pt idx="98">
                  <c:v>41.85516186794692</c:v>
                </c:pt>
                <c:pt idx="99">
                  <c:v>20.92758093397345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789.1433707841885</c:v>
                </c:pt>
                <c:pt idx="1">
                  <c:v>789.1433707841885</c:v>
                </c:pt>
                <c:pt idx="2">
                  <c:v>789.1433707841885</c:v>
                </c:pt>
                <c:pt idx="3">
                  <c:v>789.1433707841885</c:v>
                </c:pt>
                <c:pt idx="4">
                  <c:v>789.1433707841885</c:v>
                </c:pt>
                <c:pt idx="5">
                  <c:v>789.1433707841885</c:v>
                </c:pt>
                <c:pt idx="6">
                  <c:v>789.1433707841885</c:v>
                </c:pt>
                <c:pt idx="7">
                  <c:v>789.1433707841885</c:v>
                </c:pt>
                <c:pt idx="8">
                  <c:v>789.1433707841885</c:v>
                </c:pt>
                <c:pt idx="9">
                  <c:v>789.1433707841885</c:v>
                </c:pt>
                <c:pt idx="10">
                  <c:v>789.1433707841885</c:v>
                </c:pt>
                <c:pt idx="11">
                  <c:v>789.1433707841885</c:v>
                </c:pt>
                <c:pt idx="12">
                  <c:v>789.1433707841885</c:v>
                </c:pt>
                <c:pt idx="13">
                  <c:v>789.1433707841885</c:v>
                </c:pt>
                <c:pt idx="14">
                  <c:v>789.1433707841885</c:v>
                </c:pt>
                <c:pt idx="15">
                  <c:v>789.1433707841885</c:v>
                </c:pt>
                <c:pt idx="16">
                  <c:v>789.1433707841885</c:v>
                </c:pt>
                <c:pt idx="17">
                  <c:v>789.1433707841885</c:v>
                </c:pt>
                <c:pt idx="18">
                  <c:v>789.1433707841885</c:v>
                </c:pt>
                <c:pt idx="19">
                  <c:v>789.1433707841885</c:v>
                </c:pt>
                <c:pt idx="20">
                  <c:v>789.1433707841885</c:v>
                </c:pt>
                <c:pt idx="21">
                  <c:v>812.365291436492</c:v>
                </c:pt>
                <c:pt idx="22">
                  <c:v>835.5872120887957</c:v>
                </c:pt>
                <c:pt idx="23">
                  <c:v>858.8091327410992</c:v>
                </c:pt>
                <c:pt idx="24">
                  <c:v>882.0310533934028</c:v>
                </c:pt>
                <c:pt idx="25">
                  <c:v>905.2529740457064</c:v>
                </c:pt>
                <c:pt idx="26">
                  <c:v>928.47489469801</c:v>
                </c:pt>
                <c:pt idx="27">
                  <c:v>951.6968153503134</c:v>
                </c:pt>
                <c:pt idx="28">
                  <c:v>974.918736002617</c:v>
                </c:pt>
                <c:pt idx="29">
                  <c:v>998.1406566549207</c:v>
                </c:pt>
                <c:pt idx="30">
                  <c:v>1021.362577307224</c:v>
                </c:pt>
                <c:pt idx="31">
                  <c:v>1044.584497959528</c:v>
                </c:pt>
                <c:pt idx="32">
                  <c:v>1067.806418611831</c:v>
                </c:pt>
                <c:pt idx="33">
                  <c:v>1091.028339264135</c:v>
                </c:pt>
                <c:pt idx="34">
                  <c:v>1114.250259916439</c:v>
                </c:pt>
                <c:pt idx="35">
                  <c:v>1137.472180568742</c:v>
                </c:pt>
                <c:pt idx="36">
                  <c:v>1160.694101221046</c:v>
                </c:pt>
                <c:pt idx="37">
                  <c:v>1183.91602187335</c:v>
                </c:pt>
                <c:pt idx="38">
                  <c:v>1207.137942525653</c:v>
                </c:pt>
                <c:pt idx="39">
                  <c:v>1230.359863177956</c:v>
                </c:pt>
                <c:pt idx="40">
                  <c:v>1253.58178383026</c:v>
                </c:pt>
                <c:pt idx="41">
                  <c:v>1276.803704482563</c:v>
                </c:pt>
                <c:pt idx="42">
                  <c:v>1300.025625134867</c:v>
                </c:pt>
                <c:pt idx="43">
                  <c:v>1323.247545787171</c:v>
                </c:pt>
                <c:pt idx="44">
                  <c:v>1346.469466439474</c:v>
                </c:pt>
                <c:pt idx="45">
                  <c:v>1369.691387091778</c:v>
                </c:pt>
                <c:pt idx="46">
                  <c:v>1392.913307744082</c:v>
                </c:pt>
                <c:pt idx="47">
                  <c:v>1416.135228396385</c:v>
                </c:pt>
                <c:pt idx="48">
                  <c:v>1439.357149048689</c:v>
                </c:pt>
                <c:pt idx="49">
                  <c:v>1462.579069700992</c:v>
                </c:pt>
                <c:pt idx="50">
                  <c:v>1485.800990353296</c:v>
                </c:pt>
                <c:pt idx="51">
                  <c:v>1509.022911005599</c:v>
                </c:pt>
                <c:pt idx="52">
                  <c:v>1532.244831657903</c:v>
                </c:pt>
                <c:pt idx="53">
                  <c:v>1555.466752310207</c:v>
                </c:pt>
                <c:pt idx="54">
                  <c:v>1578.68867296251</c:v>
                </c:pt>
                <c:pt idx="55">
                  <c:v>1601.910593614813</c:v>
                </c:pt>
                <c:pt idx="56">
                  <c:v>1625.132514267117</c:v>
                </c:pt>
                <c:pt idx="57">
                  <c:v>1648.354434919421</c:v>
                </c:pt>
                <c:pt idx="58">
                  <c:v>1671.576355571724</c:v>
                </c:pt>
                <c:pt idx="59">
                  <c:v>1694.798276224028</c:v>
                </c:pt>
                <c:pt idx="60">
                  <c:v>1717.793401112355</c:v>
                </c:pt>
                <c:pt idx="61">
                  <c:v>1740.561730236704</c:v>
                </c:pt>
                <c:pt idx="62">
                  <c:v>1763.330059361054</c:v>
                </c:pt>
                <c:pt idx="63">
                  <c:v>1786.098388485404</c:v>
                </c:pt>
                <c:pt idx="64">
                  <c:v>1808.866717609754</c:v>
                </c:pt>
                <c:pt idx="65">
                  <c:v>1831.635046734104</c:v>
                </c:pt>
                <c:pt idx="66">
                  <c:v>1854.403375858454</c:v>
                </c:pt>
                <c:pt idx="67">
                  <c:v>1877.171704982803</c:v>
                </c:pt>
                <c:pt idx="68">
                  <c:v>1899.940034107153</c:v>
                </c:pt>
                <c:pt idx="69">
                  <c:v>1922.708363231503</c:v>
                </c:pt>
                <c:pt idx="70">
                  <c:v>1945.476692355853</c:v>
                </c:pt>
                <c:pt idx="71">
                  <c:v>1968.245021480202</c:v>
                </c:pt>
                <c:pt idx="72">
                  <c:v>1991.013350604552</c:v>
                </c:pt>
                <c:pt idx="73">
                  <c:v>2013.781679728902</c:v>
                </c:pt>
                <c:pt idx="74">
                  <c:v>2036.550008853252</c:v>
                </c:pt>
                <c:pt idx="75">
                  <c:v>2059.318337977602</c:v>
                </c:pt>
                <c:pt idx="76">
                  <c:v>2082.086667101952</c:v>
                </c:pt>
                <c:pt idx="77">
                  <c:v>2104.854996226301</c:v>
                </c:pt>
                <c:pt idx="78">
                  <c:v>2127.623325350651</c:v>
                </c:pt>
                <c:pt idx="79">
                  <c:v>2150.391654475001</c:v>
                </c:pt>
                <c:pt idx="80">
                  <c:v>2173.159983599351</c:v>
                </c:pt>
                <c:pt idx="81">
                  <c:v>2195.9283127237</c:v>
                </c:pt>
                <c:pt idx="82">
                  <c:v>2218.696641848051</c:v>
                </c:pt>
                <c:pt idx="83">
                  <c:v>2241.4649709724</c:v>
                </c:pt>
                <c:pt idx="84">
                  <c:v>2264.23330009675</c:v>
                </c:pt>
                <c:pt idx="85">
                  <c:v>2287.0016292211</c:v>
                </c:pt>
                <c:pt idx="86">
                  <c:v>2309.76995834545</c:v>
                </c:pt>
                <c:pt idx="87">
                  <c:v>2332.538287469799</c:v>
                </c:pt>
                <c:pt idx="88">
                  <c:v>2355.30661659415</c:v>
                </c:pt>
                <c:pt idx="89">
                  <c:v>2378.074945718499</c:v>
                </c:pt>
                <c:pt idx="90">
                  <c:v>2275.675343124452</c:v>
                </c:pt>
                <c:pt idx="91">
                  <c:v>2048.107808812006</c:v>
                </c:pt>
                <c:pt idx="92">
                  <c:v>1820.540274499561</c:v>
                </c:pt>
                <c:pt idx="93">
                  <c:v>1592.972740187116</c:v>
                </c:pt>
                <c:pt idx="94">
                  <c:v>1365.405205874671</c:v>
                </c:pt>
                <c:pt idx="95">
                  <c:v>1137.837671562226</c:v>
                </c:pt>
                <c:pt idx="96">
                  <c:v>910.2701372497804</c:v>
                </c:pt>
                <c:pt idx="97">
                  <c:v>682.7026029373353</c:v>
                </c:pt>
                <c:pt idx="98">
                  <c:v>455.1350686248902</c:v>
                </c:pt>
                <c:pt idx="99">
                  <c:v>227.5675343124453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9317.804184111935</c:v>
                </c:pt>
                <c:pt idx="1">
                  <c:v>9317.804184111935</c:v>
                </c:pt>
                <c:pt idx="2">
                  <c:v>9317.804184111935</c:v>
                </c:pt>
                <c:pt idx="3">
                  <c:v>9317.804184111935</c:v>
                </c:pt>
                <c:pt idx="4">
                  <c:v>9317.804184111935</c:v>
                </c:pt>
                <c:pt idx="5">
                  <c:v>9317.804184111935</c:v>
                </c:pt>
                <c:pt idx="6">
                  <c:v>9317.804184111935</c:v>
                </c:pt>
                <c:pt idx="7">
                  <c:v>9317.804184111935</c:v>
                </c:pt>
                <c:pt idx="8">
                  <c:v>9317.804184111935</c:v>
                </c:pt>
                <c:pt idx="9">
                  <c:v>9317.804184111935</c:v>
                </c:pt>
                <c:pt idx="10">
                  <c:v>9317.804184111935</c:v>
                </c:pt>
                <c:pt idx="11">
                  <c:v>9317.804184111935</c:v>
                </c:pt>
                <c:pt idx="12">
                  <c:v>9317.804184111935</c:v>
                </c:pt>
                <c:pt idx="13">
                  <c:v>9317.804184111935</c:v>
                </c:pt>
                <c:pt idx="14">
                  <c:v>9317.804184111935</c:v>
                </c:pt>
                <c:pt idx="15">
                  <c:v>9317.804184111935</c:v>
                </c:pt>
                <c:pt idx="16">
                  <c:v>9317.804184111935</c:v>
                </c:pt>
                <c:pt idx="17">
                  <c:v>9317.804184111935</c:v>
                </c:pt>
                <c:pt idx="18">
                  <c:v>9317.804184111935</c:v>
                </c:pt>
                <c:pt idx="19">
                  <c:v>9317.804184111935</c:v>
                </c:pt>
                <c:pt idx="20">
                  <c:v>9317.804184111935</c:v>
                </c:pt>
                <c:pt idx="21">
                  <c:v>9452.600628005055</c:v>
                </c:pt>
                <c:pt idx="22">
                  <c:v>9587.397071898176</c:v>
                </c:pt>
                <c:pt idx="23">
                  <c:v>9722.193515791295</c:v>
                </c:pt>
                <c:pt idx="24">
                  <c:v>9856.989959684417</c:v>
                </c:pt>
                <c:pt idx="25">
                  <c:v>9991.786403577536</c:v>
                </c:pt>
                <c:pt idx="26">
                  <c:v>10126.58284747066</c:v>
                </c:pt>
                <c:pt idx="27">
                  <c:v>10261.37929136378</c:v>
                </c:pt>
                <c:pt idx="28">
                  <c:v>10396.1757352569</c:v>
                </c:pt>
                <c:pt idx="29">
                  <c:v>10530.97217915002</c:v>
                </c:pt>
                <c:pt idx="30">
                  <c:v>10665.76862304314</c:v>
                </c:pt>
                <c:pt idx="31">
                  <c:v>10800.56506693626</c:v>
                </c:pt>
                <c:pt idx="32">
                  <c:v>10935.36151082938</c:v>
                </c:pt>
                <c:pt idx="33">
                  <c:v>11070.1579547225</c:v>
                </c:pt>
                <c:pt idx="34">
                  <c:v>11204.95439861562</c:v>
                </c:pt>
                <c:pt idx="35">
                  <c:v>11339.75084250874</c:v>
                </c:pt>
                <c:pt idx="36">
                  <c:v>11474.54728640186</c:v>
                </c:pt>
                <c:pt idx="37">
                  <c:v>11609.34373029498</c:v>
                </c:pt>
                <c:pt idx="38">
                  <c:v>11744.1401741881</c:v>
                </c:pt>
                <c:pt idx="39">
                  <c:v>11878.93661808122</c:v>
                </c:pt>
                <c:pt idx="40">
                  <c:v>12013.73306197434</c:v>
                </c:pt>
                <c:pt idx="41">
                  <c:v>12148.52950586746</c:v>
                </c:pt>
                <c:pt idx="42">
                  <c:v>12283.32594976058</c:v>
                </c:pt>
                <c:pt idx="43">
                  <c:v>12418.1223936537</c:v>
                </c:pt>
                <c:pt idx="44">
                  <c:v>12552.91883754682</c:v>
                </c:pt>
                <c:pt idx="45">
                  <c:v>12687.71528143994</c:v>
                </c:pt>
                <c:pt idx="46">
                  <c:v>12822.51172533306</c:v>
                </c:pt>
                <c:pt idx="47">
                  <c:v>12957.30816922618</c:v>
                </c:pt>
                <c:pt idx="48">
                  <c:v>13092.1046131193</c:v>
                </c:pt>
                <c:pt idx="49">
                  <c:v>13226.90105701242</c:v>
                </c:pt>
                <c:pt idx="50">
                  <c:v>13361.69750090554</c:v>
                </c:pt>
                <c:pt idx="51">
                  <c:v>13496.49394479866</c:v>
                </c:pt>
                <c:pt idx="52">
                  <c:v>13631.29038869178</c:v>
                </c:pt>
                <c:pt idx="53">
                  <c:v>13766.0868325849</c:v>
                </c:pt>
                <c:pt idx="54">
                  <c:v>13900.88327647802</c:v>
                </c:pt>
                <c:pt idx="55">
                  <c:v>14035.67972037114</c:v>
                </c:pt>
                <c:pt idx="56">
                  <c:v>14170.47616426426</c:v>
                </c:pt>
                <c:pt idx="57">
                  <c:v>14305.27260815738</c:v>
                </c:pt>
                <c:pt idx="58">
                  <c:v>14440.0690520505</c:v>
                </c:pt>
                <c:pt idx="59">
                  <c:v>14574.86549594362</c:v>
                </c:pt>
                <c:pt idx="60">
                  <c:v>14761.64148124672</c:v>
                </c:pt>
                <c:pt idx="61">
                  <c:v>15000.39700795979</c:v>
                </c:pt>
                <c:pt idx="62">
                  <c:v>15239.15253467286</c:v>
                </c:pt>
                <c:pt idx="63">
                  <c:v>15477.90806138594</c:v>
                </c:pt>
                <c:pt idx="64">
                  <c:v>15716.66358809901</c:v>
                </c:pt>
                <c:pt idx="65">
                  <c:v>15955.41911481208</c:v>
                </c:pt>
                <c:pt idx="66">
                  <c:v>16194.17464152515</c:v>
                </c:pt>
                <c:pt idx="67">
                  <c:v>16432.93016823822</c:v>
                </c:pt>
                <c:pt idx="68">
                  <c:v>16671.6856949513</c:v>
                </c:pt>
                <c:pt idx="69">
                  <c:v>16910.44122166437</c:v>
                </c:pt>
                <c:pt idx="70">
                  <c:v>17149.19674837744</c:v>
                </c:pt>
                <c:pt idx="71">
                  <c:v>17387.95227509051</c:v>
                </c:pt>
                <c:pt idx="72">
                  <c:v>17626.70780180359</c:v>
                </c:pt>
                <c:pt idx="73">
                  <c:v>17865.46332851666</c:v>
                </c:pt>
                <c:pt idx="74">
                  <c:v>18104.21885522973</c:v>
                </c:pt>
                <c:pt idx="75">
                  <c:v>18342.9743819428</c:v>
                </c:pt>
                <c:pt idx="76">
                  <c:v>18581.72990865587</c:v>
                </c:pt>
                <c:pt idx="77">
                  <c:v>18820.48543536895</c:v>
                </c:pt>
                <c:pt idx="78">
                  <c:v>19059.24096208202</c:v>
                </c:pt>
                <c:pt idx="79">
                  <c:v>19297.9964887951</c:v>
                </c:pt>
                <c:pt idx="80">
                  <c:v>19536.75201550817</c:v>
                </c:pt>
                <c:pt idx="81">
                  <c:v>19775.50754222124</c:v>
                </c:pt>
                <c:pt idx="82">
                  <c:v>20014.26306893431</c:v>
                </c:pt>
                <c:pt idx="83">
                  <c:v>20253.01859564738</c:v>
                </c:pt>
                <c:pt idx="84">
                  <c:v>20491.77412236045</c:v>
                </c:pt>
                <c:pt idx="85">
                  <c:v>20730.52964907353</c:v>
                </c:pt>
                <c:pt idx="86">
                  <c:v>20969.2851757866</c:v>
                </c:pt>
                <c:pt idx="87">
                  <c:v>21208.04070249967</c:v>
                </c:pt>
                <c:pt idx="88">
                  <c:v>21446.79622921274</c:v>
                </c:pt>
                <c:pt idx="89">
                  <c:v>21685.55175592582</c:v>
                </c:pt>
                <c:pt idx="90">
                  <c:v>20766.59954217367</c:v>
                </c:pt>
                <c:pt idx="91">
                  <c:v>18689.9395879563</c:v>
                </c:pt>
                <c:pt idx="92">
                  <c:v>16613.27963373894</c:v>
                </c:pt>
                <c:pt idx="93">
                  <c:v>14536.61967952157</c:v>
                </c:pt>
                <c:pt idx="94">
                  <c:v>12459.9597253042</c:v>
                </c:pt>
                <c:pt idx="95">
                  <c:v>10383.29977108683</c:v>
                </c:pt>
                <c:pt idx="96">
                  <c:v>8306.639816869466</c:v>
                </c:pt>
                <c:pt idx="97">
                  <c:v>6229.979862652101</c:v>
                </c:pt>
                <c:pt idx="98">
                  <c:v>4153.319908434732</c:v>
                </c:pt>
                <c:pt idx="99">
                  <c:v>2076.659954217368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134.8380012213554</c:v>
                </c:pt>
                <c:pt idx="1">
                  <c:v>134.8380012213554</c:v>
                </c:pt>
                <c:pt idx="2">
                  <c:v>134.8380012213554</c:v>
                </c:pt>
                <c:pt idx="3">
                  <c:v>134.8380012213554</c:v>
                </c:pt>
                <c:pt idx="4">
                  <c:v>134.8380012213554</c:v>
                </c:pt>
                <c:pt idx="5">
                  <c:v>134.8380012213554</c:v>
                </c:pt>
                <c:pt idx="6">
                  <c:v>134.8380012213554</c:v>
                </c:pt>
                <c:pt idx="7">
                  <c:v>134.8380012213554</c:v>
                </c:pt>
                <c:pt idx="8">
                  <c:v>134.8380012213554</c:v>
                </c:pt>
                <c:pt idx="9">
                  <c:v>134.8380012213554</c:v>
                </c:pt>
                <c:pt idx="10">
                  <c:v>134.8380012213554</c:v>
                </c:pt>
                <c:pt idx="11">
                  <c:v>134.8380012213554</c:v>
                </c:pt>
                <c:pt idx="12">
                  <c:v>134.8380012213554</c:v>
                </c:pt>
                <c:pt idx="13">
                  <c:v>134.8380012213554</c:v>
                </c:pt>
                <c:pt idx="14">
                  <c:v>134.8380012213554</c:v>
                </c:pt>
                <c:pt idx="15">
                  <c:v>134.8380012213554</c:v>
                </c:pt>
                <c:pt idx="16">
                  <c:v>134.8380012213554</c:v>
                </c:pt>
                <c:pt idx="17">
                  <c:v>134.8380012213554</c:v>
                </c:pt>
                <c:pt idx="18">
                  <c:v>134.8380012213554</c:v>
                </c:pt>
                <c:pt idx="19">
                  <c:v>134.8380012213554</c:v>
                </c:pt>
                <c:pt idx="20">
                  <c:v>134.8380012213554</c:v>
                </c:pt>
                <c:pt idx="21">
                  <c:v>134.8380012213554</c:v>
                </c:pt>
                <c:pt idx="22">
                  <c:v>134.8380012213554</c:v>
                </c:pt>
                <c:pt idx="23">
                  <c:v>134.8380012213554</c:v>
                </c:pt>
                <c:pt idx="24">
                  <c:v>134.8380012213554</c:v>
                </c:pt>
                <c:pt idx="25">
                  <c:v>134.8380012213554</c:v>
                </c:pt>
                <c:pt idx="26">
                  <c:v>134.8380012213554</c:v>
                </c:pt>
                <c:pt idx="27">
                  <c:v>134.8380012213554</c:v>
                </c:pt>
                <c:pt idx="28">
                  <c:v>134.8380012213554</c:v>
                </c:pt>
                <c:pt idx="29">
                  <c:v>134.8380012213554</c:v>
                </c:pt>
                <c:pt idx="30">
                  <c:v>134.8380012213554</c:v>
                </c:pt>
                <c:pt idx="31">
                  <c:v>134.8380012213554</c:v>
                </c:pt>
                <c:pt idx="32">
                  <c:v>134.8380012213554</c:v>
                </c:pt>
                <c:pt idx="33">
                  <c:v>134.8380012213554</c:v>
                </c:pt>
                <c:pt idx="34">
                  <c:v>134.8380012213554</c:v>
                </c:pt>
                <c:pt idx="35">
                  <c:v>134.8380012213554</c:v>
                </c:pt>
                <c:pt idx="36">
                  <c:v>134.8380012213554</c:v>
                </c:pt>
                <c:pt idx="37">
                  <c:v>134.8380012213554</c:v>
                </c:pt>
                <c:pt idx="38">
                  <c:v>134.8380012213554</c:v>
                </c:pt>
                <c:pt idx="39">
                  <c:v>134.8380012213554</c:v>
                </c:pt>
                <c:pt idx="40">
                  <c:v>134.8380012213553</c:v>
                </c:pt>
                <c:pt idx="41">
                  <c:v>134.8380012213553</c:v>
                </c:pt>
                <c:pt idx="42">
                  <c:v>134.8380012213553</c:v>
                </c:pt>
                <c:pt idx="43">
                  <c:v>134.8380012213553</c:v>
                </c:pt>
                <c:pt idx="44">
                  <c:v>134.8380012213553</c:v>
                </c:pt>
                <c:pt idx="45">
                  <c:v>134.8380012213553</c:v>
                </c:pt>
                <c:pt idx="46">
                  <c:v>134.8380012213553</c:v>
                </c:pt>
                <c:pt idx="47">
                  <c:v>134.8380012213553</c:v>
                </c:pt>
                <c:pt idx="48">
                  <c:v>134.8380012213553</c:v>
                </c:pt>
                <c:pt idx="49">
                  <c:v>134.8380012213553</c:v>
                </c:pt>
                <c:pt idx="50">
                  <c:v>134.8380012213553</c:v>
                </c:pt>
                <c:pt idx="51">
                  <c:v>134.8380012213553</c:v>
                </c:pt>
                <c:pt idx="52">
                  <c:v>134.8380012213553</c:v>
                </c:pt>
                <c:pt idx="53">
                  <c:v>134.8380012213553</c:v>
                </c:pt>
                <c:pt idx="54">
                  <c:v>134.8380012213553</c:v>
                </c:pt>
                <c:pt idx="55">
                  <c:v>134.8380012213553</c:v>
                </c:pt>
                <c:pt idx="56">
                  <c:v>134.8380012213553</c:v>
                </c:pt>
                <c:pt idx="57">
                  <c:v>134.8380012213553</c:v>
                </c:pt>
                <c:pt idx="58">
                  <c:v>134.8380012213553</c:v>
                </c:pt>
                <c:pt idx="59">
                  <c:v>134.8380012213553</c:v>
                </c:pt>
                <c:pt idx="60">
                  <c:v>136.0151583748751</c:v>
                </c:pt>
                <c:pt idx="61">
                  <c:v>138.3694726819147</c:v>
                </c:pt>
                <c:pt idx="62">
                  <c:v>140.7237869889542</c:v>
                </c:pt>
                <c:pt idx="63">
                  <c:v>143.0781012959937</c:v>
                </c:pt>
                <c:pt idx="64">
                  <c:v>145.4324156030333</c:v>
                </c:pt>
                <c:pt idx="65">
                  <c:v>147.7867299100728</c:v>
                </c:pt>
                <c:pt idx="66">
                  <c:v>150.1410442171124</c:v>
                </c:pt>
                <c:pt idx="67">
                  <c:v>152.4953585241519</c:v>
                </c:pt>
                <c:pt idx="68">
                  <c:v>154.8496728311914</c:v>
                </c:pt>
                <c:pt idx="69">
                  <c:v>157.203987138231</c:v>
                </c:pt>
                <c:pt idx="70">
                  <c:v>159.5583014452705</c:v>
                </c:pt>
                <c:pt idx="71">
                  <c:v>161.91261575231</c:v>
                </c:pt>
                <c:pt idx="72">
                  <c:v>164.2669300593496</c:v>
                </c:pt>
                <c:pt idx="73">
                  <c:v>166.6212443663891</c:v>
                </c:pt>
                <c:pt idx="74">
                  <c:v>168.9755586734287</c:v>
                </c:pt>
                <c:pt idx="75">
                  <c:v>171.3298729804682</c:v>
                </c:pt>
                <c:pt idx="76">
                  <c:v>173.6841872875077</c:v>
                </c:pt>
                <c:pt idx="77">
                  <c:v>176.0385015945473</c:v>
                </c:pt>
                <c:pt idx="78">
                  <c:v>178.3928159015868</c:v>
                </c:pt>
                <c:pt idx="79">
                  <c:v>180.7471302086264</c:v>
                </c:pt>
                <c:pt idx="80">
                  <c:v>183.101444515666</c:v>
                </c:pt>
                <c:pt idx="81">
                  <c:v>185.4557588227054</c:v>
                </c:pt>
                <c:pt idx="82">
                  <c:v>187.810073129745</c:v>
                </c:pt>
                <c:pt idx="83">
                  <c:v>190.1643874367845</c:v>
                </c:pt>
                <c:pt idx="84">
                  <c:v>192.5187017438241</c:v>
                </c:pt>
                <c:pt idx="85">
                  <c:v>194.8730160508636</c:v>
                </c:pt>
                <c:pt idx="86">
                  <c:v>197.2273303579031</c:v>
                </c:pt>
                <c:pt idx="87">
                  <c:v>199.5816446649427</c:v>
                </c:pt>
                <c:pt idx="88">
                  <c:v>201.9359589719822</c:v>
                </c:pt>
                <c:pt idx="89">
                  <c:v>204.2902732790218</c:v>
                </c:pt>
                <c:pt idx="90">
                  <c:v>195.683267078611</c:v>
                </c:pt>
                <c:pt idx="91">
                  <c:v>176.1149403707499</c:v>
                </c:pt>
                <c:pt idx="92">
                  <c:v>156.5466136628888</c:v>
                </c:pt>
                <c:pt idx="93">
                  <c:v>136.9782869550277</c:v>
                </c:pt>
                <c:pt idx="94">
                  <c:v>117.4099602471666</c:v>
                </c:pt>
                <c:pt idx="95">
                  <c:v>97.8416335393055</c:v>
                </c:pt>
                <c:pt idx="96">
                  <c:v>78.2733068314444</c:v>
                </c:pt>
                <c:pt idx="97">
                  <c:v>58.70498012358331</c:v>
                </c:pt>
                <c:pt idx="98">
                  <c:v>39.13665341572218</c:v>
                </c:pt>
                <c:pt idx="99">
                  <c:v>19.5683267078611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2396.006790200212</c:v>
                </c:pt>
                <c:pt idx="1">
                  <c:v>2396.006790200212</c:v>
                </c:pt>
                <c:pt idx="2">
                  <c:v>2396.006790200212</c:v>
                </c:pt>
                <c:pt idx="3">
                  <c:v>2396.006790200212</c:v>
                </c:pt>
                <c:pt idx="4">
                  <c:v>2396.006790200212</c:v>
                </c:pt>
                <c:pt idx="5">
                  <c:v>2396.006790200212</c:v>
                </c:pt>
                <c:pt idx="6">
                  <c:v>2396.006790200212</c:v>
                </c:pt>
                <c:pt idx="7">
                  <c:v>2396.006790200212</c:v>
                </c:pt>
                <c:pt idx="8">
                  <c:v>2396.006790200212</c:v>
                </c:pt>
                <c:pt idx="9">
                  <c:v>2396.006790200212</c:v>
                </c:pt>
                <c:pt idx="10">
                  <c:v>2396.006790200212</c:v>
                </c:pt>
                <c:pt idx="11">
                  <c:v>2396.006790200212</c:v>
                </c:pt>
                <c:pt idx="12">
                  <c:v>2396.006790200212</c:v>
                </c:pt>
                <c:pt idx="13">
                  <c:v>2396.006790200212</c:v>
                </c:pt>
                <c:pt idx="14">
                  <c:v>2396.006790200212</c:v>
                </c:pt>
                <c:pt idx="15">
                  <c:v>2396.006790200212</c:v>
                </c:pt>
                <c:pt idx="16">
                  <c:v>2396.006790200212</c:v>
                </c:pt>
                <c:pt idx="17">
                  <c:v>2396.006790200212</c:v>
                </c:pt>
                <c:pt idx="18">
                  <c:v>2396.006790200212</c:v>
                </c:pt>
                <c:pt idx="19">
                  <c:v>2396.006790200212</c:v>
                </c:pt>
                <c:pt idx="20">
                  <c:v>2396.006790200212</c:v>
                </c:pt>
                <c:pt idx="21">
                  <c:v>2375.787323616244</c:v>
                </c:pt>
                <c:pt idx="22">
                  <c:v>2355.567857032276</c:v>
                </c:pt>
                <c:pt idx="23">
                  <c:v>2335.348390448308</c:v>
                </c:pt>
                <c:pt idx="24">
                  <c:v>2315.12892386434</c:v>
                </c:pt>
                <c:pt idx="25">
                  <c:v>2294.909457280372</c:v>
                </c:pt>
                <c:pt idx="26">
                  <c:v>2274.689990696404</c:v>
                </c:pt>
                <c:pt idx="27">
                  <c:v>2254.470524112436</c:v>
                </c:pt>
                <c:pt idx="28">
                  <c:v>2234.251057528468</c:v>
                </c:pt>
                <c:pt idx="29">
                  <c:v>2214.0315909445</c:v>
                </c:pt>
                <c:pt idx="30">
                  <c:v>2193.812124360531</c:v>
                </c:pt>
                <c:pt idx="31">
                  <c:v>2173.592657776563</c:v>
                </c:pt>
                <c:pt idx="32">
                  <c:v>2153.373191192595</c:v>
                </c:pt>
                <c:pt idx="33">
                  <c:v>2133.153724608627</c:v>
                </c:pt>
                <c:pt idx="34">
                  <c:v>2112.934258024659</c:v>
                </c:pt>
                <c:pt idx="35">
                  <c:v>2092.714791440691</c:v>
                </c:pt>
                <c:pt idx="36">
                  <c:v>2072.495324856723</c:v>
                </c:pt>
                <c:pt idx="37">
                  <c:v>2052.275858272756</c:v>
                </c:pt>
                <c:pt idx="38">
                  <c:v>2032.056391688787</c:v>
                </c:pt>
                <c:pt idx="39">
                  <c:v>2011.836925104819</c:v>
                </c:pt>
                <c:pt idx="40">
                  <c:v>1991.617458520851</c:v>
                </c:pt>
                <c:pt idx="41">
                  <c:v>1971.397991936883</c:v>
                </c:pt>
                <c:pt idx="42">
                  <c:v>1951.178525352915</c:v>
                </c:pt>
                <c:pt idx="43">
                  <c:v>1930.959058768947</c:v>
                </c:pt>
                <c:pt idx="44">
                  <c:v>1910.73959218498</c:v>
                </c:pt>
                <c:pt idx="45">
                  <c:v>1890.520125601011</c:v>
                </c:pt>
                <c:pt idx="46">
                  <c:v>1870.300659017043</c:v>
                </c:pt>
                <c:pt idx="47">
                  <c:v>1850.081192433075</c:v>
                </c:pt>
                <c:pt idx="48">
                  <c:v>1829.861725849107</c:v>
                </c:pt>
                <c:pt idx="49">
                  <c:v>1809.642259265139</c:v>
                </c:pt>
                <c:pt idx="50">
                  <c:v>1789.422792681171</c:v>
                </c:pt>
                <c:pt idx="51">
                  <c:v>1769.203326097203</c:v>
                </c:pt>
                <c:pt idx="52">
                  <c:v>1748.983859513235</c:v>
                </c:pt>
                <c:pt idx="53">
                  <c:v>1728.764392929267</c:v>
                </c:pt>
                <c:pt idx="54">
                  <c:v>1708.544926345299</c:v>
                </c:pt>
                <c:pt idx="55">
                  <c:v>1688.325459761331</c:v>
                </c:pt>
                <c:pt idx="56">
                  <c:v>1668.105993177363</c:v>
                </c:pt>
                <c:pt idx="57">
                  <c:v>1647.886526593395</c:v>
                </c:pt>
                <c:pt idx="58">
                  <c:v>1627.667060009427</c:v>
                </c:pt>
                <c:pt idx="59">
                  <c:v>1607.447593425459</c:v>
                </c:pt>
                <c:pt idx="60">
                  <c:v>1570.715562464583</c:v>
                </c:pt>
                <c:pt idx="61">
                  <c:v>1517.470967126801</c:v>
                </c:pt>
                <c:pt idx="62">
                  <c:v>1464.226371789018</c:v>
                </c:pt>
                <c:pt idx="63">
                  <c:v>1410.981776451236</c:v>
                </c:pt>
                <c:pt idx="64">
                  <c:v>1357.737181113453</c:v>
                </c:pt>
                <c:pt idx="65">
                  <c:v>1304.492585775671</c:v>
                </c:pt>
                <c:pt idx="66">
                  <c:v>1251.247990437888</c:v>
                </c:pt>
                <c:pt idx="67">
                  <c:v>1198.003395100106</c:v>
                </c:pt>
                <c:pt idx="68">
                  <c:v>1144.758799762323</c:v>
                </c:pt>
                <c:pt idx="69">
                  <c:v>1091.514204424541</c:v>
                </c:pt>
                <c:pt idx="70">
                  <c:v>1038.269609086758</c:v>
                </c:pt>
                <c:pt idx="71">
                  <c:v>985.025013748976</c:v>
                </c:pt>
                <c:pt idx="72">
                  <c:v>931.7804184111935</c:v>
                </c:pt>
                <c:pt idx="73">
                  <c:v>878.5358230734109</c:v>
                </c:pt>
                <c:pt idx="74">
                  <c:v>825.2912277356286</c:v>
                </c:pt>
                <c:pt idx="75">
                  <c:v>772.0466323978461</c:v>
                </c:pt>
                <c:pt idx="76">
                  <c:v>718.8020370600635</c:v>
                </c:pt>
                <c:pt idx="77">
                  <c:v>665.5574417222811</c:v>
                </c:pt>
                <c:pt idx="78">
                  <c:v>612.3128463844986</c:v>
                </c:pt>
                <c:pt idx="79">
                  <c:v>559.0682510467161</c:v>
                </c:pt>
                <c:pt idx="80">
                  <c:v>505.8236557089335</c:v>
                </c:pt>
                <c:pt idx="81">
                  <c:v>452.5790603711511</c:v>
                </c:pt>
                <c:pt idx="82">
                  <c:v>399.3344650333685</c:v>
                </c:pt>
                <c:pt idx="83">
                  <c:v>346.0898696955862</c:v>
                </c:pt>
                <c:pt idx="84">
                  <c:v>292.8452743578036</c:v>
                </c:pt>
                <c:pt idx="85">
                  <c:v>239.6006790200211</c:v>
                </c:pt>
                <c:pt idx="86">
                  <c:v>186.3560836822387</c:v>
                </c:pt>
                <c:pt idx="87">
                  <c:v>133.1114883444561</c:v>
                </c:pt>
                <c:pt idx="88">
                  <c:v>79.86689300667376</c:v>
                </c:pt>
                <c:pt idx="89">
                  <c:v>26.62229766889141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1244.064195828822</c:v>
                </c:pt>
                <c:pt idx="61">
                  <c:v>3732.192587486467</c:v>
                </c:pt>
                <c:pt idx="62">
                  <c:v>6220.320979144113</c:v>
                </c:pt>
                <c:pt idx="63">
                  <c:v>8708.449370801758</c:v>
                </c:pt>
                <c:pt idx="64">
                  <c:v>11196.5777624594</c:v>
                </c:pt>
                <c:pt idx="65">
                  <c:v>13684.70615411705</c:v>
                </c:pt>
                <c:pt idx="66">
                  <c:v>16172.83454577469</c:v>
                </c:pt>
                <c:pt idx="67">
                  <c:v>18660.96293743234</c:v>
                </c:pt>
                <c:pt idx="68">
                  <c:v>21149.09132908998</c:v>
                </c:pt>
                <c:pt idx="69">
                  <c:v>23637.21972074763</c:v>
                </c:pt>
                <c:pt idx="70">
                  <c:v>26125.34811240527</c:v>
                </c:pt>
                <c:pt idx="71">
                  <c:v>28613.47650406292</c:v>
                </c:pt>
                <c:pt idx="72">
                  <c:v>31101.60489572056</c:v>
                </c:pt>
                <c:pt idx="73">
                  <c:v>33589.73328737821</c:v>
                </c:pt>
                <c:pt idx="74">
                  <c:v>36077.86167903585</c:v>
                </c:pt>
                <c:pt idx="75">
                  <c:v>38565.9900706935</c:v>
                </c:pt>
                <c:pt idx="76">
                  <c:v>41054.11846235114</c:v>
                </c:pt>
                <c:pt idx="77">
                  <c:v>43542.24685400878</c:v>
                </c:pt>
                <c:pt idx="78">
                  <c:v>46030.37524566644</c:v>
                </c:pt>
                <c:pt idx="79">
                  <c:v>48518.50363732408</c:v>
                </c:pt>
                <c:pt idx="80">
                  <c:v>51006.63202898172</c:v>
                </c:pt>
                <c:pt idx="81">
                  <c:v>53494.76042063937</c:v>
                </c:pt>
                <c:pt idx="82">
                  <c:v>55982.888812297</c:v>
                </c:pt>
                <c:pt idx="83">
                  <c:v>58471.01720395466</c:v>
                </c:pt>
                <c:pt idx="84">
                  <c:v>60959.1455956123</c:v>
                </c:pt>
                <c:pt idx="85">
                  <c:v>63447.27398726995</c:v>
                </c:pt>
                <c:pt idx="86">
                  <c:v>65935.4023789276</c:v>
                </c:pt>
                <c:pt idx="87">
                  <c:v>68423.53077058523</c:v>
                </c:pt>
                <c:pt idx="88">
                  <c:v>70911.65916224288</c:v>
                </c:pt>
                <c:pt idx="89">
                  <c:v>73399.78755390053</c:v>
                </c:pt>
                <c:pt idx="90">
                  <c:v>71089.38261878985</c:v>
                </c:pt>
                <c:pt idx="91">
                  <c:v>63980.44435691087</c:v>
                </c:pt>
                <c:pt idx="92">
                  <c:v>56871.50609503189</c:v>
                </c:pt>
                <c:pt idx="93">
                  <c:v>49762.5678331529</c:v>
                </c:pt>
                <c:pt idx="94">
                  <c:v>42653.62957127392</c:v>
                </c:pt>
                <c:pt idx="95">
                  <c:v>35544.69130939492</c:v>
                </c:pt>
                <c:pt idx="96">
                  <c:v>28435.75304751594</c:v>
                </c:pt>
                <c:pt idx="97">
                  <c:v>21326.81478563696</c:v>
                </c:pt>
                <c:pt idx="98">
                  <c:v>14217.87652375797</c:v>
                </c:pt>
                <c:pt idx="99">
                  <c:v>7108.938261878982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104.8416785835379</c:v>
                </c:pt>
                <c:pt idx="22">
                  <c:v>209.6833571670759</c:v>
                </c:pt>
                <c:pt idx="23">
                  <c:v>314.5250357506138</c:v>
                </c:pt>
                <c:pt idx="24">
                  <c:v>419.3667143341518</c:v>
                </c:pt>
                <c:pt idx="25">
                  <c:v>524.2083929176897</c:v>
                </c:pt>
                <c:pt idx="26">
                  <c:v>629.0500715012276</c:v>
                </c:pt>
                <c:pt idx="27">
                  <c:v>733.8917500847656</c:v>
                </c:pt>
                <c:pt idx="28">
                  <c:v>838.7334286683035</c:v>
                </c:pt>
                <c:pt idx="29">
                  <c:v>943.5751072518413</c:v>
                </c:pt>
                <c:pt idx="30">
                  <c:v>1048.416785835379</c:v>
                </c:pt>
                <c:pt idx="31">
                  <c:v>1153.258464418917</c:v>
                </c:pt>
                <c:pt idx="32">
                  <c:v>1258.100143002455</c:v>
                </c:pt>
                <c:pt idx="33">
                  <c:v>1362.941821585993</c:v>
                </c:pt>
                <c:pt idx="34">
                  <c:v>1467.783500169531</c:v>
                </c:pt>
                <c:pt idx="35">
                  <c:v>1572.62517875307</c:v>
                </c:pt>
                <c:pt idx="36">
                  <c:v>1677.466857336607</c:v>
                </c:pt>
                <c:pt idx="37">
                  <c:v>1782.308535920145</c:v>
                </c:pt>
                <c:pt idx="38">
                  <c:v>1887.150214503683</c:v>
                </c:pt>
                <c:pt idx="39">
                  <c:v>1991.991893087221</c:v>
                </c:pt>
                <c:pt idx="40">
                  <c:v>2096.833571670758</c:v>
                </c:pt>
                <c:pt idx="41">
                  <c:v>2201.675250254297</c:v>
                </c:pt>
                <c:pt idx="42">
                  <c:v>2306.516928837835</c:v>
                </c:pt>
                <c:pt idx="43">
                  <c:v>2411.358607421373</c:v>
                </c:pt>
                <c:pt idx="44">
                  <c:v>2516.200286004911</c:v>
                </c:pt>
                <c:pt idx="45">
                  <c:v>2621.041964588448</c:v>
                </c:pt>
                <c:pt idx="46">
                  <c:v>2725.883643171986</c:v>
                </c:pt>
                <c:pt idx="47">
                  <c:v>2830.725321755524</c:v>
                </c:pt>
                <c:pt idx="48">
                  <c:v>2935.567000339062</c:v>
                </c:pt>
                <c:pt idx="49">
                  <c:v>3040.4086789226</c:v>
                </c:pt>
                <c:pt idx="50">
                  <c:v>3145.250357506138</c:v>
                </c:pt>
                <c:pt idx="51">
                  <c:v>3250.092036089676</c:v>
                </c:pt>
                <c:pt idx="52">
                  <c:v>3354.933714673214</c:v>
                </c:pt>
                <c:pt idx="53">
                  <c:v>3459.775393256752</c:v>
                </c:pt>
                <c:pt idx="54">
                  <c:v>3564.61707184029</c:v>
                </c:pt>
                <c:pt idx="55">
                  <c:v>3669.458750423828</c:v>
                </c:pt>
                <c:pt idx="56">
                  <c:v>3774.300429007365</c:v>
                </c:pt>
                <c:pt idx="57">
                  <c:v>3879.142107590904</c:v>
                </c:pt>
                <c:pt idx="58">
                  <c:v>3983.983786174442</c:v>
                </c:pt>
                <c:pt idx="59">
                  <c:v>4088.825464757979</c:v>
                </c:pt>
                <c:pt idx="60">
                  <c:v>4072.225532315586</c:v>
                </c:pt>
                <c:pt idx="61">
                  <c:v>3934.183988847261</c:v>
                </c:pt>
                <c:pt idx="62">
                  <c:v>3796.142445378936</c:v>
                </c:pt>
                <c:pt idx="63">
                  <c:v>3658.100901910611</c:v>
                </c:pt>
                <c:pt idx="64">
                  <c:v>3520.059358442286</c:v>
                </c:pt>
                <c:pt idx="65">
                  <c:v>3382.017814973961</c:v>
                </c:pt>
                <c:pt idx="66">
                  <c:v>3243.976271505636</c:v>
                </c:pt>
                <c:pt idx="67">
                  <c:v>3105.934728037311</c:v>
                </c:pt>
                <c:pt idx="68">
                  <c:v>2967.893184568987</c:v>
                </c:pt>
                <c:pt idx="69">
                  <c:v>2829.851641100662</c:v>
                </c:pt>
                <c:pt idx="70">
                  <c:v>2691.810097632336</c:v>
                </c:pt>
                <c:pt idx="71">
                  <c:v>2553.768554164012</c:v>
                </c:pt>
                <c:pt idx="72">
                  <c:v>2415.727010695687</c:v>
                </c:pt>
                <c:pt idx="73">
                  <c:v>2277.685467227362</c:v>
                </c:pt>
                <c:pt idx="74">
                  <c:v>2139.643923759037</c:v>
                </c:pt>
                <c:pt idx="75">
                  <c:v>2001.602380290712</c:v>
                </c:pt>
                <c:pt idx="76">
                  <c:v>1863.560836822387</c:v>
                </c:pt>
                <c:pt idx="77">
                  <c:v>1725.519293354062</c:v>
                </c:pt>
                <c:pt idx="78">
                  <c:v>1587.477749885737</c:v>
                </c:pt>
                <c:pt idx="79">
                  <c:v>1449.436206417412</c:v>
                </c:pt>
                <c:pt idx="80">
                  <c:v>1311.394662949087</c:v>
                </c:pt>
                <c:pt idx="81">
                  <c:v>1173.353119480762</c:v>
                </c:pt>
                <c:pt idx="82">
                  <c:v>1035.311576012437</c:v>
                </c:pt>
                <c:pt idx="83">
                  <c:v>897.2700325441123</c:v>
                </c:pt>
                <c:pt idx="84">
                  <c:v>759.2284890757873</c:v>
                </c:pt>
                <c:pt idx="85">
                  <c:v>621.1869456074618</c:v>
                </c:pt>
                <c:pt idx="86">
                  <c:v>483.1454021391373</c:v>
                </c:pt>
                <c:pt idx="87">
                  <c:v>345.1038586708123</c:v>
                </c:pt>
                <c:pt idx="88">
                  <c:v>207.0623152024873</c:v>
                </c:pt>
                <c:pt idx="89">
                  <c:v>69.02077173416274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2031.500524986835</c:v>
                </c:pt>
                <c:pt idx="1">
                  <c:v>2031.500524986835</c:v>
                </c:pt>
                <c:pt idx="2">
                  <c:v>2031.500524986835</c:v>
                </c:pt>
                <c:pt idx="3">
                  <c:v>2031.500524986835</c:v>
                </c:pt>
                <c:pt idx="4">
                  <c:v>2031.500524986835</c:v>
                </c:pt>
                <c:pt idx="5">
                  <c:v>2031.500524986835</c:v>
                </c:pt>
                <c:pt idx="6">
                  <c:v>2031.500524986835</c:v>
                </c:pt>
                <c:pt idx="7">
                  <c:v>2031.500524986835</c:v>
                </c:pt>
                <c:pt idx="8">
                  <c:v>2031.500524986835</c:v>
                </c:pt>
                <c:pt idx="9">
                  <c:v>2031.500524986835</c:v>
                </c:pt>
                <c:pt idx="10">
                  <c:v>2031.500524986835</c:v>
                </c:pt>
                <c:pt idx="11">
                  <c:v>2031.500524986835</c:v>
                </c:pt>
                <c:pt idx="12">
                  <c:v>2031.500524986835</c:v>
                </c:pt>
                <c:pt idx="13">
                  <c:v>2031.500524986835</c:v>
                </c:pt>
                <c:pt idx="14">
                  <c:v>2031.500524986835</c:v>
                </c:pt>
                <c:pt idx="15">
                  <c:v>2031.500524986835</c:v>
                </c:pt>
                <c:pt idx="16">
                  <c:v>2031.500524986835</c:v>
                </c:pt>
                <c:pt idx="17">
                  <c:v>2031.500524986835</c:v>
                </c:pt>
                <c:pt idx="18">
                  <c:v>2031.500524986835</c:v>
                </c:pt>
                <c:pt idx="19">
                  <c:v>2031.500524986835</c:v>
                </c:pt>
                <c:pt idx="20">
                  <c:v>2031.500524986835</c:v>
                </c:pt>
                <c:pt idx="21">
                  <c:v>2031.500524986835</c:v>
                </c:pt>
                <c:pt idx="22">
                  <c:v>2031.500524986835</c:v>
                </c:pt>
                <c:pt idx="23">
                  <c:v>2031.500524986835</c:v>
                </c:pt>
                <c:pt idx="24">
                  <c:v>2031.500524986835</c:v>
                </c:pt>
                <c:pt idx="25">
                  <c:v>2031.500524986835</c:v>
                </c:pt>
                <c:pt idx="26">
                  <c:v>2031.500524986835</c:v>
                </c:pt>
                <c:pt idx="27">
                  <c:v>2031.500524986835</c:v>
                </c:pt>
                <c:pt idx="28">
                  <c:v>2031.500524986835</c:v>
                </c:pt>
                <c:pt idx="29">
                  <c:v>2031.500524986835</c:v>
                </c:pt>
                <c:pt idx="30">
                  <c:v>2031.500524986835</c:v>
                </c:pt>
                <c:pt idx="31">
                  <c:v>2031.500524986835</c:v>
                </c:pt>
                <c:pt idx="32">
                  <c:v>2031.500524986835</c:v>
                </c:pt>
                <c:pt idx="33">
                  <c:v>2031.500524986835</c:v>
                </c:pt>
                <c:pt idx="34">
                  <c:v>2031.500524986835</c:v>
                </c:pt>
                <c:pt idx="35">
                  <c:v>2031.500524986835</c:v>
                </c:pt>
                <c:pt idx="36">
                  <c:v>2031.500524986835</c:v>
                </c:pt>
                <c:pt idx="37">
                  <c:v>2031.500524986835</c:v>
                </c:pt>
                <c:pt idx="38">
                  <c:v>2031.500524986835</c:v>
                </c:pt>
                <c:pt idx="39">
                  <c:v>2031.500524986835</c:v>
                </c:pt>
                <c:pt idx="40">
                  <c:v>2031.500524986835</c:v>
                </c:pt>
                <c:pt idx="41">
                  <c:v>2031.500524986835</c:v>
                </c:pt>
                <c:pt idx="42">
                  <c:v>2031.500524986835</c:v>
                </c:pt>
                <c:pt idx="43">
                  <c:v>2031.500524986835</c:v>
                </c:pt>
                <c:pt idx="44">
                  <c:v>2031.500524986835</c:v>
                </c:pt>
                <c:pt idx="45">
                  <c:v>2031.500524986835</c:v>
                </c:pt>
                <c:pt idx="46">
                  <c:v>2031.500524986835</c:v>
                </c:pt>
                <c:pt idx="47">
                  <c:v>2031.500524986835</c:v>
                </c:pt>
                <c:pt idx="48">
                  <c:v>2031.500524986835</c:v>
                </c:pt>
                <c:pt idx="49">
                  <c:v>2031.500524986835</c:v>
                </c:pt>
                <c:pt idx="50">
                  <c:v>2031.500524986835</c:v>
                </c:pt>
                <c:pt idx="51">
                  <c:v>2031.500524986835</c:v>
                </c:pt>
                <c:pt idx="52">
                  <c:v>2031.500524986835</c:v>
                </c:pt>
                <c:pt idx="53">
                  <c:v>2031.500524986835</c:v>
                </c:pt>
                <c:pt idx="54">
                  <c:v>2031.500524986835</c:v>
                </c:pt>
                <c:pt idx="55">
                  <c:v>2031.500524986835</c:v>
                </c:pt>
                <c:pt idx="56">
                  <c:v>2031.500524986835</c:v>
                </c:pt>
                <c:pt idx="57">
                  <c:v>2031.500524986835</c:v>
                </c:pt>
                <c:pt idx="58">
                  <c:v>2031.500524986835</c:v>
                </c:pt>
                <c:pt idx="59">
                  <c:v>2031.500524986835</c:v>
                </c:pt>
                <c:pt idx="60">
                  <c:v>2028.598381379711</c:v>
                </c:pt>
                <c:pt idx="61">
                  <c:v>2022.794094165463</c:v>
                </c:pt>
                <c:pt idx="62">
                  <c:v>2016.989806951215</c:v>
                </c:pt>
                <c:pt idx="63">
                  <c:v>2011.185519736967</c:v>
                </c:pt>
                <c:pt idx="64">
                  <c:v>2005.381232522719</c:v>
                </c:pt>
                <c:pt idx="65">
                  <c:v>1999.57694530847</c:v>
                </c:pt>
                <c:pt idx="66">
                  <c:v>1993.772658094222</c:v>
                </c:pt>
                <c:pt idx="67">
                  <c:v>1987.968370879974</c:v>
                </c:pt>
                <c:pt idx="68">
                  <c:v>1982.164083665726</c:v>
                </c:pt>
                <c:pt idx="69">
                  <c:v>1976.359796451478</c:v>
                </c:pt>
                <c:pt idx="70">
                  <c:v>1970.55550923723</c:v>
                </c:pt>
                <c:pt idx="71">
                  <c:v>1964.751222022982</c:v>
                </c:pt>
                <c:pt idx="72">
                  <c:v>1958.946934808734</c:v>
                </c:pt>
                <c:pt idx="73">
                  <c:v>1953.142647594486</c:v>
                </c:pt>
                <c:pt idx="74">
                  <c:v>1947.338360380237</c:v>
                </c:pt>
                <c:pt idx="75">
                  <c:v>1941.534073165989</c:v>
                </c:pt>
                <c:pt idx="76">
                  <c:v>1935.729785951741</c:v>
                </c:pt>
                <c:pt idx="77">
                  <c:v>1929.925498737493</c:v>
                </c:pt>
                <c:pt idx="78">
                  <c:v>1924.121211523245</c:v>
                </c:pt>
                <c:pt idx="79">
                  <c:v>1918.316924308997</c:v>
                </c:pt>
                <c:pt idx="80">
                  <c:v>1912.512637094749</c:v>
                </c:pt>
                <c:pt idx="81">
                  <c:v>1906.708349880501</c:v>
                </c:pt>
                <c:pt idx="82">
                  <c:v>1900.904062666253</c:v>
                </c:pt>
                <c:pt idx="83">
                  <c:v>1895.099775452004</c:v>
                </c:pt>
                <c:pt idx="84">
                  <c:v>1889.295488237756</c:v>
                </c:pt>
                <c:pt idx="85">
                  <c:v>1883.491201023508</c:v>
                </c:pt>
                <c:pt idx="86">
                  <c:v>1877.68691380926</c:v>
                </c:pt>
                <c:pt idx="87">
                  <c:v>1871.882626595012</c:v>
                </c:pt>
                <c:pt idx="88">
                  <c:v>1866.078339380764</c:v>
                </c:pt>
                <c:pt idx="89">
                  <c:v>1860.274052166516</c:v>
                </c:pt>
                <c:pt idx="90">
                  <c:v>1768.925627199421</c:v>
                </c:pt>
                <c:pt idx="91">
                  <c:v>1592.033064479479</c:v>
                </c:pt>
                <c:pt idx="92">
                  <c:v>1415.140501759537</c:v>
                </c:pt>
                <c:pt idx="93">
                  <c:v>1238.247939039594</c:v>
                </c:pt>
                <c:pt idx="94">
                  <c:v>1061.355376319652</c:v>
                </c:pt>
                <c:pt idx="95">
                  <c:v>884.4628135997104</c:v>
                </c:pt>
                <c:pt idx="96">
                  <c:v>707.5702508797683</c:v>
                </c:pt>
                <c:pt idx="97">
                  <c:v>530.6776881598261</c:v>
                </c:pt>
                <c:pt idx="98">
                  <c:v>353.7851254398843</c:v>
                </c:pt>
                <c:pt idx="99">
                  <c:v>176.8925627199419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31716.03062287244</c:v>
                </c:pt>
                <c:pt idx="1">
                  <c:v>31716.03062287244</c:v>
                </c:pt>
                <c:pt idx="2">
                  <c:v>31716.03062287244</c:v>
                </c:pt>
                <c:pt idx="3">
                  <c:v>31716.03062287244</c:v>
                </c:pt>
                <c:pt idx="4">
                  <c:v>31716.03062287244</c:v>
                </c:pt>
                <c:pt idx="5">
                  <c:v>31716.03062287244</c:v>
                </c:pt>
                <c:pt idx="6">
                  <c:v>31716.03062287244</c:v>
                </c:pt>
                <c:pt idx="7">
                  <c:v>31716.03062287244</c:v>
                </c:pt>
                <c:pt idx="8">
                  <c:v>31716.03062287244</c:v>
                </c:pt>
                <c:pt idx="9">
                  <c:v>31716.03062287244</c:v>
                </c:pt>
                <c:pt idx="10">
                  <c:v>31716.03062287244</c:v>
                </c:pt>
                <c:pt idx="11">
                  <c:v>31716.03062287244</c:v>
                </c:pt>
                <c:pt idx="12">
                  <c:v>31716.03062287244</c:v>
                </c:pt>
                <c:pt idx="13">
                  <c:v>31716.03062287244</c:v>
                </c:pt>
                <c:pt idx="14">
                  <c:v>31716.03062287244</c:v>
                </c:pt>
                <c:pt idx="15">
                  <c:v>31716.03062287244</c:v>
                </c:pt>
                <c:pt idx="16">
                  <c:v>31716.03062287244</c:v>
                </c:pt>
                <c:pt idx="17">
                  <c:v>31716.03062287244</c:v>
                </c:pt>
                <c:pt idx="18">
                  <c:v>31716.03062287244</c:v>
                </c:pt>
                <c:pt idx="19">
                  <c:v>31716.03062287244</c:v>
                </c:pt>
                <c:pt idx="20">
                  <c:v>31716.03062287244</c:v>
                </c:pt>
                <c:pt idx="21">
                  <c:v>31721.19781988834</c:v>
                </c:pt>
                <c:pt idx="22">
                  <c:v>31726.36501690424</c:v>
                </c:pt>
                <c:pt idx="23">
                  <c:v>31731.53221392015</c:v>
                </c:pt>
                <c:pt idx="24">
                  <c:v>31736.69941093605</c:v>
                </c:pt>
                <c:pt idx="25">
                  <c:v>31741.86660795195</c:v>
                </c:pt>
                <c:pt idx="26">
                  <c:v>31747.03380496785</c:v>
                </c:pt>
                <c:pt idx="27">
                  <c:v>31752.20100198376</c:v>
                </c:pt>
                <c:pt idx="28">
                  <c:v>31757.36819899966</c:v>
                </c:pt>
                <c:pt idx="29">
                  <c:v>31762.53539601556</c:v>
                </c:pt>
                <c:pt idx="30">
                  <c:v>31767.70259303147</c:v>
                </c:pt>
                <c:pt idx="31">
                  <c:v>31772.86979004737</c:v>
                </c:pt>
                <c:pt idx="32">
                  <c:v>31778.03698706327</c:v>
                </c:pt>
                <c:pt idx="33">
                  <c:v>31783.20418407918</c:v>
                </c:pt>
                <c:pt idx="34">
                  <c:v>31788.37138109508</c:v>
                </c:pt>
                <c:pt idx="35">
                  <c:v>31793.53857811098</c:v>
                </c:pt>
                <c:pt idx="36">
                  <c:v>31798.70577512688</c:v>
                </c:pt>
                <c:pt idx="37">
                  <c:v>31803.87297214278</c:v>
                </c:pt>
                <c:pt idx="38">
                  <c:v>31809.04016915869</c:v>
                </c:pt>
                <c:pt idx="39">
                  <c:v>31814.20736617459</c:v>
                </c:pt>
                <c:pt idx="40">
                  <c:v>31819.37456319049</c:v>
                </c:pt>
                <c:pt idx="41">
                  <c:v>31824.5417602064</c:v>
                </c:pt>
                <c:pt idx="42">
                  <c:v>31829.7089572223</c:v>
                </c:pt>
                <c:pt idx="43">
                  <c:v>31834.8761542382</c:v>
                </c:pt>
                <c:pt idx="44">
                  <c:v>31840.04335125411</c:v>
                </c:pt>
                <c:pt idx="45">
                  <c:v>31845.21054827001</c:v>
                </c:pt>
                <c:pt idx="46">
                  <c:v>31850.37774528591</c:v>
                </c:pt>
                <c:pt idx="47">
                  <c:v>31855.54494230181</c:v>
                </c:pt>
                <c:pt idx="48">
                  <c:v>31860.71213931771</c:v>
                </c:pt>
                <c:pt idx="49">
                  <c:v>31865.87933633362</c:v>
                </c:pt>
                <c:pt idx="50">
                  <c:v>31871.04653334952</c:v>
                </c:pt>
                <c:pt idx="51">
                  <c:v>31876.21373036542</c:v>
                </c:pt>
                <c:pt idx="52">
                  <c:v>31881.38092738133</c:v>
                </c:pt>
                <c:pt idx="53">
                  <c:v>31886.54812439723</c:v>
                </c:pt>
                <c:pt idx="54">
                  <c:v>31891.71532141313</c:v>
                </c:pt>
                <c:pt idx="55">
                  <c:v>31896.88251842904</c:v>
                </c:pt>
                <c:pt idx="56">
                  <c:v>31902.04971544494</c:v>
                </c:pt>
                <c:pt idx="57">
                  <c:v>31907.21691246084</c:v>
                </c:pt>
                <c:pt idx="58">
                  <c:v>31912.38410947674</c:v>
                </c:pt>
                <c:pt idx="59">
                  <c:v>31917.55130649265</c:v>
                </c:pt>
                <c:pt idx="60">
                  <c:v>31949.65184932079</c:v>
                </c:pt>
                <c:pt idx="61">
                  <c:v>32008.68573796117</c:v>
                </c:pt>
                <c:pt idx="62">
                  <c:v>32067.71962660156</c:v>
                </c:pt>
                <c:pt idx="63">
                  <c:v>32126.75351524194</c:v>
                </c:pt>
                <c:pt idx="64">
                  <c:v>32185.78740388232</c:v>
                </c:pt>
                <c:pt idx="65">
                  <c:v>32244.82129252271</c:v>
                </c:pt>
                <c:pt idx="66">
                  <c:v>32303.85518116309</c:v>
                </c:pt>
                <c:pt idx="67">
                  <c:v>32362.88906980347</c:v>
                </c:pt>
                <c:pt idx="68">
                  <c:v>32421.92295844385</c:v>
                </c:pt>
                <c:pt idx="69">
                  <c:v>32480.95684708424</c:v>
                </c:pt>
                <c:pt idx="70">
                  <c:v>32539.99073572461</c:v>
                </c:pt>
                <c:pt idx="71">
                  <c:v>32599.024624365</c:v>
                </c:pt>
                <c:pt idx="72">
                  <c:v>32658.05851300538</c:v>
                </c:pt>
                <c:pt idx="73">
                  <c:v>32717.09240164577</c:v>
                </c:pt>
                <c:pt idx="74">
                  <c:v>32776.12629028615</c:v>
                </c:pt>
                <c:pt idx="75">
                  <c:v>32835.16017892653</c:v>
                </c:pt>
                <c:pt idx="76">
                  <c:v>32894.19406756692</c:v>
                </c:pt>
                <c:pt idx="77">
                  <c:v>32953.2279562073</c:v>
                </c:pt>
                <c:pt idx="78">
                  <c:v>33012.26184484769</c:v>
                </c:pt>
                <c:pt idx="79">
                  <c:v>33071.29573348806</c:v>
                </c:pt>
                <c:pt idx="80">
                  <c:v>33130.32962212845</c:v>
                </c:pt>
                <c:pt idx="81">
                  <c:v>33189.36351076883</c:v>
                </c:pt>
                <c:pt idx="82">
                  <c:v>33248.39739940922</c:v>
                </c:pt>
                <c:pt idx="83">
                  <c:v>33307.4312880496</c:v>
                </c:pt>
                <c:pt idx="84">
                  <c:v>33366.46517668998</c:v>
                </c:pt>
                <c:pt idx="85">
                  <c:v>33425.49906533036</c:v>
                </c:pt>
                <c:pt idx="86">
                  <c:v>33484.53295397075</c:v>
                </c:pt>
                <c:pt idx="87">
                  <c:v>33543.56684261113</c:v>
                </c:pt>
                <c:pt idx="88">
                  <c:v>33602.60073125151</c:v>
                </c:pt>
                <c:pt idx="89">
                  <c:v>33661.6346198919</c:v>
                </c:pt>
                <c:pt idx="90">
                  <c:v>32086.81101353532</c:v>
                </c:pt>
                <c:pt idx="91">
                  <c:v>28878.12991218179</c:v>
                </c:pt>
                <c:pt idx="92">
                  <c:v>25669.44881082825</c:v>
                </c:pt>
                <c:pt idx="93">
                  <c:v>22460.76770947472</c:v>
                </c:pt>
                <c:pt idx="94">
                  <c:v>19252.0866081212</c:v>
                </c:pt>
                <c:pt idx="95">
                  <c:v>16043.40550676766</c:v>
                </c:pt>
                <c:pt idx="96">
                  <c:v>12834.72440541413</c:v>
                </c:pt>
                <c:pt idx="97">
                  <c:v>9626.043304060597</c:v>
                </c:pt>
                <c:pt idx="98">
                  <c:v>6417.362202707066</c:v>
                </c:pt>
                <c:pt idx="99">
                  <c:v>3208.681101353533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5811640"/>
        <c:axId val="-201569021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33489.86731665794</c:v>
                </c:pt>
                <c:pt idx="1">
                  <c:v>33489.86731665794</c:v>
                </c:pt>
                <c:pt idx="2">
                  <c:v>33489.86731665794</c:v>
                </c:pt>
                <c:pt idx="3">
                  <c:v>33489.86731665794</c:v>
                </c:pt>
                <c:pt idx="4">
                  <c:v>33489.86731665794</c:v>
                </c:pt>
                <c:pt idx="5">
                  <c:v>33489.86731665794</c:v>
                </c:pt>
                <c:pt idx="6">
                  <c:v>33489.86731665794</c:v>
                </c:pt>
                <c:pt idx="7">
                  <c:v>33489.86731665794</c:v>
                </c:pt>
                <c:pt idx="8">
                  <c:v>33489.86731665794</c:v>
                </c:pt>
                <c:pt idx="9">
                  <c:v>33489.86731665794</c:v>
                </c:pt>
                <c:pt idx="10">
                  <c:v>33489.86731665794</c:v>
                </c:pt>
                <c:pt idx="11">
                  <c:v>33489.86731665794</c:v>
                </c:pt>
                <c:pt idx="12">
                  <c:v>33489.86731665794</c:v>
                </c:pt>
                <c:pt idx="13">
                  <c:v>33489.86731665794</c:v>
                </c:pt>
                <c:pt idx="14">
                  <c:v>33489.86731665794</c:v>
                </c:pt>
                <c:pt idx="15">
                  <c:v>33489.86731665794</c:v>
                </c:pt>
                <c:pt idx="16">
                  <c:v>33489.86731665794</c:v>
                </c:pt>
                <c:pt idx="17">
                  <c:v>33489.86731665794</c:v>
                </c:pt>
                <c:pt idx="18">
                  <c:v>33489.86731665794</c:v>
                </c:pt>
                <c:pt idx="19">
                  <c:v>33489.86731665794</c:v>
                </c:pt>
                <c:pt idx="20">
                  <c:v>33489.86731665794</c:v>
                </c:pt>
                <c:pt idx="21">
                  <c:v>33489.86731665794</c:v>
                </c:pt>
                <c:pt idx="22">
                  <c:v>33489.86731665794</c:v>
                </c:pt>
                <c:pt idx="23">
                  <c:v>33489.86731665794</c:v>
                </c:pt>
                <c:pt idx="24">
                  <c:v>33489.86731665794</c:v>
                </c:pt>
                <c:pt idx="25">
                  <c:v>33489.86731665794</c:v>
                </c:pt>
                <c:pt idx="26">
                  <c:v>33489.86731665794</c:v>
                </c:pt>
                <c:pt idx="27">
                  <c:v>33489.86731665794</c:v>
                </c:pt>
                <c:pt idx="28">
                  <c:v>33489.86731665794</c:v>
                </c:pt>
                <c:pt idx="29">
                  <c:v>33489.86731665794</c:v>
                </c:pt>
                <c:pt idx="30">
                  <c:v>33489.86731665794</c:v>
                </c:pt>
                <c:pt idx="31">
                  <c:v>33489.86731665794</c:v>
                </c:pt>
                <c:pt idx="32">
                  <c:v>33489.86731665794</c:v>
                </c:pt>
                <c:pt idx="33">
                  <c:v>33489.86731665794</c:v>
                </c:pt>
                <c:pt idx="34">
                  <c:v>33489.86731665794</c:v>
                </c:pt>
                <c:pt idx="35">
                  <c:v>33489.86731665794</c:v>
                </c:pt>
                <c:pt idx="36">
                  <c:v>33489.86731665794</c:v>
                </c:pt>
                <c:pt idx="37">
                  <c:v>33489.86731665794</c:v>
                </c:pt>
                <c:pt idx="38">
                  <c:v>33489.86731665794</c:v>
                </c:pt>
                <c:pt idx="39">
                  <c:v>33489.86731665794</c:v>
                </c:pt>
                <c:pt idx="40">
                  <c:v>33489.86731665793</c:v>
                </c:pt>
                <c:pt idx="41">
                  <c:v>33489.86731665793</c:v>
                </c:pt>
                <c:pt idx="42">
                  <c:v>33489.86731665793</c:v>
                </c:pt>
                <c:pt idx="43">
                  <c:v>33489.86731665793</c:v>
                </c:pt>
                <c:pt idx="44">
                  <c:v>33489.86731665793</c:v>
                </c:pt>
                <c:pt idx="45">
                  <c:v>33489.86731665793</c:v>
                </c:pt>
                <c:pt idx="46">
                  <c:v>33489.86731665793</c:v>
                </c:pt>
                <c:pt idx="47">
                  <c:v>33489.86731665793</c:v>
                </c:pt>
                <c:pt idx="48">
                  <c:v>33489.86731665793</c:v>
                </c:pt>
                <c:pt idx="49">
                  <c:v>33489.86731665793</c:v>
                </c:pt>
                <c:pt idx="50">
                  <c:v>33489.86731665793</c:v>
                </c:pt>
                <c:pt idx="51">
                  <c:v>33489.86731665793</c:v>
                </c:pt>
                <c:pt idx="52">
                  <c:v>33489.86731665793</c:v>
                </c:pt>
                <c:pt idx="53">
                  <c:v>33489.86731665793</c:v>
                </c:pt>
                <c:pt idx="54">
                  <c:v>33489.86731665793</c:v>
                </c:pt>
                <c:pt idx="55">
                  <c:v>33489.86731665793</c:v>
                </c:pt>
                <c:pt idx="56">
                  <c:v>33489.86731665793</c:v>
                </c:pt>
                <c:pt idx="57">
                  <c:v>33489.86731665793</c:v>
                </c:pt>
                <c:pt idx="58">
                  <c:v>33489.86731665793</c:v>
                </c:pt>
                <c:pt idx="59">
                  <c:v>33489.86731665793</c:v>
                </c:pt>
                <c:pt idx="60">
                  <c:v>33489.86731665793</c:v>
                </c:pt>
                <c:pt idx="61">
                  <c:v>33489.86731665793</c:v>
                </c:pt>
                <c:pt idx="62">
                  <c:v>33489.86731665793</c:v>
                </c:pt>
                <c:pt idx="63">
                  <c:v>33489.86731665793</c:v>
                </c:pt>
                <c:pt idx="64">
                  <c:v>33489.86731665793</c:v>
                </c:pt>
                <c:pt idx="65">
                  <c:v>33489.86731665793</c:v>
                </c:pt>
                <c:pt idx="66">
                  <c:v>33489.86731665793</c:v>
                </c:pt>
                <c:pt idx="67">
                  <c:v>33489.86731665793</c:v>
                </c:pt>
                <c:pt idx="68">
                  <c:v>33489.86731665793</c:v>
                </c:pt>
                <c:pt idx="69">
                  <c:v>33489.86731665793</c:v>
                </c:pt>
                <c:pt idx="70">
                  <c:v>33489.86731665793</c:v>
                </c:pt>
                <c:pt idx="71">
                  <c:v>33489.86731665793</c:v>
                </c:pt>
                <c:pt idx="72">
                  <c:v>33489.86731665793</c:v>
                </c:pt>
                <c:pt idx="73">
                  <c:v>33489.86731665793</c:v>
                </c:pt>
                <c:pt idx="74">
                  <c:v>33489.86731665793</c:v>
                </c:pt>
                <c:pt idx="75">
                  <c:v>33489.86731665793</c:v>
                </c:pt>
                <c:pt idx="76">
                  <c:v>33489.86731665793</c:v>
                </c:pt>
                <c:pt idx="77">
                  <c:v>33489.86731665793</c:v>
                </c:pt>
                <c:pt idx="78">
                  <c:v>33489.86731665793</c:v>
                </c:pt>
                <c:pt idx="79">
                  <c:v>33489.86731665794</c:v>
                </c:pt>
                <c:pt idx="80">
                  <c:v>33489.86731665794</c:v>
                </c:pt>
                <c:pt idx="81">
                  <c:v>33489.86731665794</c:v>
                </c:pt>
                <c:pt idx="82">
                  <c:v>33489.86731665794</c:v>
                </c:pt>
                <c:pt idx="83">
                  <c:v>33489.86731665794</c:v>
                </c:pt>
                <c:pt idx="84">
                  <c:v>33489.86731665794</c:v>
                </c:pt>
                <c:pt idx="85">
                  <c:v>33489.86731665794</c:v>
                </c:pt>
                <c:pt idx="86">
                  <c:v>33489.86731665794</c:v>
                </c:pt>
                <c:pt idx="87">
                  <c:v>33489.86731665794</c:v>
                </c:pt>
                <c:pt idx="88">
                  <c:v>33489.86731665794</c:v>
                </c:pt>
                <c:pt idx="89">
                  <c:v>33489.86731665794</c:v>
                </c:pt>
                <c:pt idx="90">
                  <c:v>33489.86731665794</c:v>
                </c:pt>
                <c:pt idx="91">
                  <c:v>33489.86731665794</c:v>
                </c:pt>
                <c:pt idx="92">
                  <c:v>33489.86731665794</c:v>
                </c:pt>
                <c:pt idx="93">
                  <c:v>33489.86731665794</c:v>
                </c:pt>
                <c:pt idx="94">
                  <c:v>33489.86731665794</c:v>
                </c:pt>
                <c:pt idx="95">
                  <c:v>33489.86731665794</c:v>
                </c:pt>
                <c:pt idx="96">
                  <c:v>33489.86731665794</c:v>
                </c:pt>
                <c:pt idx="97">
                  <c:v>33489.86731665794</c:v>
                </c:pt>
                <c:pt idx="98">
                  <c:v>33489.86731665794</c:v>
                </c:pt>
                <c:pt idx="99">
                  <c:v>33489.86731665794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5811640"/>
        <c:axId val="-2015690216"/>
      </c:lineChart>
      <c:catAx>
        <c:axId val="-201581164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569021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1569021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581164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22.58601847304507</c:v>
                </c:pt>
                <c:pt idx="1">
                  <c:v>-11.85310291204557</c:v>
                </c:pt>
                <c:pt idx="2">
                  <c:v>-286.7417834194463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5.429301212361786</c:v>
                </c:pt>
                <c:pt idx="1">
                  <c:v>-0.563434871299286</c:v>
                </c:pt>
                <c:pt idx="2">
                  <c:v>-20.92758093397346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-7.19536947605165E-16</c:v>
                </c:pt>
                <c:pt idx="1">
                  <c:v>2.35431430703954</c:v>
                </c:pt>
                <c:pt idx="2">
                  <c:v>-19.5683267078611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-5.75629558084132E-15</c:v>
                </c:pt>
                <c:pt idx="1">
                  <c:v>-5.804287214248105</c:v>
                </c:pt>
                <c:pt idx="2">
                  <c:v>-176.8925627199421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5.16719701590285</c:v>
                </c:pt>
                <c:pt idx="1">
                  <c:v>59.03388864038291</c:v>
                </c:pt>
                <c:pt idx="2">
                  <c:v>-3208.681101353532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5556760"/>
        <c:axId val="-2015602888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23.22192065230357</c:v>
                </c:pt>
                <c:pt idx="1">
                  <c:v>22.76832912434981</c:v>
                </c:pt>
                <c:pt idx="2">
                  <c:v>-227.5675343124451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134.7964438931202</c:v>
                </c:pt>
                <c:pt idx="1">
                  <c:v>238.7555267130723</c:v>
                </c:pt>
                <c:pt idx="2">
                  <c:v>-2076.659954217367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-20.21946658396804</c:v>
                </c:pt>
                <c:pt idx="1">
                  <c:v>-53.24459533778248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2488.128391657645</c:v>
                </c:pt>
                <c:pt idx="2">
                  <c:v>-7108.938261878986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104.8416785835379</c:v>
                </c:pt>
                <c:pt idx="1">
                  <c:v>-138.041543468325</c:v>
                </c:pt>
                <c:pt idx="2">
                  <c:v>0.0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6147192"/>
        <c:axId val="-2015693368"/>
      </c:scatterChart>
      <c:valAx>
        <c:axId val="-2015556760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5602888"/>
        <c:crosses val="autoZero"/>
        <c:crossBetween val="midCat"/>
      </c:valAx>
      <c:valAx>
        <c:axId val="-201560288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5556760"/>
        <c:crosses val="autoZero"/>
        <c:crossBetween val="midCat"/>
      </c:valAx>
      <c:valAx>
        <c:axId val="-201614719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15693368"/>
        <c:crosses val="autoZero"/>
        <c:crossBetween val="midCat"/>
      </c:valAx>
      <c:valAx>
        <c:axId val="-2015693368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6147192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2474.234083580273</c:v>
                </c:pt>
                <c:pt idx="1">
                  <c:v>2474.234083580273</c:v>
                </c:pt>
                <c:pt idx="2">
                  <c:v>2474.234083580273</c:v>
                </c:pt>
                <c:pt idx="3">
                  <c:v>2474.234083580273</c:v>
                </c:pt>
                <c:pt idx="4">
                  <c:v>2474.234083580273</c:v>
                </c:pt>
                <c:pt idx="5">
                  <c:v>2474.234083580273</c:v>
                </c:pt>
                <c:pt idx="6">
                  <c:v>2474.234083580273</c:v>
                </c:pt>
                <c:pt idx="7">
                  <c:v>2474.234083580273</c:v>
                </c:pt>
                <c:pt idx="8">
                  <c:v>2474.234083580273</c:v>
                </c:pt>
                <c:pt idx="9">
                  <c:v>2474.234083580273</c:v>
                </c:pt>
                <c:pt idx="10">
                  <c:v>2474.234083580273</c:v>
                </c:pt>
                <c:pt idx="11">
                  <c:v>2474.234083580273</c:v>
                </c:pt>
                <c:pt idx="12">
                  <c:v>2474.234083580273</c:v>
                </c:pt>
                <c:pt idx="13">
                  <c:v>2474.234083580273</c:v>
                </c:pt>
                <c:pt idx="14">
                  <c:v>2474.234083580273</c:v>
                </c:pt>
                <c:pt idx="15">
                  <c:v>2474.234083580273</c:v>
                </c:pt>
                <c:pt idx="16">
                  <c:v>2474.234083580273</c:v>
                </c:pt>
                <c:pt idx="17">
                  <c:v>2474.234083580273</c:v>
                </c:pt>
                <c:pt idx="18">
                  <c:v>2474.234083580273</c:v>
                </c:pt>
                <c:pt idx="19">
                  <c:v>2474.234083580273</c:v>
                </c:pt>
                <c:pt idx="20">
                  <c:v>2474.234083580273</c:v>
                </c:pt>
                <c:pt idx="21">
                  <c:v>2496.820102053318</c:v>
                </c:pt>
                <c:pt idx="22">
                  <c:v>2519.406120526363</c:v>
                </c:pt>
                <c:pt idx="23">
                  <c:v>2541.992138999408</c:v>
                </c:pt>
                <c:pt idx="24">
                  <c:v>2564.578157472453</c:v>
                </c:pt>
                <c:pt idx="25">
                  <c:v>2587.164175945498</c:v>
                </c:pt>
                <c:pt idx="26">
                  <c:v>2609.750194418543</c:v>
                </c:pt>
                <c:pt idx="27">
                  <c:v>2632.336212891588</c:v>
                </c:pt>
                <c:pt idx="28">
                  <c:v>2654.922231364633</c:v>
                </c:pt>
                <c:pt idx="29">
                  <c:v>2677.508249837679</c:v>
                </c:pt>
                <c:pt idx="30">
                  <c:v>2700.094268310724</c:v>
                </c:pt>
                <c:pt idx="31">
                  <c:v>2722.680286783769</c:v>
                </c:pt>
                <c:pt idx="32">
                  <c:v>2745.266305256814</c:v>
                </c:pt>
                <c:pt idx="33">
                  <c:v>2767.852323729859</c:v>
                </c:pt>
                <c:pt idx="34">
                  <c:v>2790.438342202904</c:v>
                </c:pt>
                <c:pt idx="35">
                  <c:v>2813.02436067595</c:v>
                </c:pt>
                <c:pt idx="36">
                  <c:v>2835.610379148994</c:v>
                </c:pt>
                <c:pt idx="37">
                  <c:v>2858.19639762204</c:v>
                </c:pt>
                <c:pt idx="38">
                  <c:v>2880.782416095084</c:v>
                </c:pt>
                <c:pt idx="39">
                  <c:v>2903.368434568129</c:v>
                </c:pt>
                <c:pt idx="40">
                  <c:v>2925.954453041174</c:v>
                </c:pt>
                <c:pt idx="41">
                  <c:v>2948.540471514219</c:v>
                </c:pt>
                <c:pt idx="42">
                  <c:v>2971.126489987264</c:v>
                </c:pt>
                <c:pt idx="43">
                  <c:v>2993.712508460309</c:v>
                </c:pt>
                <c:pt idx="44">
                  <c:v>3016.298526933355</c:v>
                </c:pt>
                <c:pt idx="45">
                  <c:v>3038.8845454064</c:v>
                </c:pt>
                <c:pt idx="46">
                  <c:v>3061.470563879444</c:v>
                </c:pt>
                <c:pt idx="47">
                  <c:v>3084.05658235249</c:v>
                </c:pt>
                <c:pt idx="48">
                  <c:v>3106.642600825535</c:v>
                </c:pt>
                <c:pt idx="49">
                  <c:v>3129.22861929858</c:v>
                </c:pt>
                <c:pt idx="50">
                  <c:v>3151.814637771625</c:v>
                </c:pt>
                <c:pt idx="51">
                  <c:v>3174.40065624467</c:v>
                </c:pt>
                <c:pt idx="52">
                  <c:v>3196.986674717715</c:v>
                </c:pt>
                <c:pt idx="53">
                  <c:v>3219.57269319076</c:v>
                </c:pt>
                <c:pt idx="54">
                  <c:v>3242.158711663806</c:v>
                </c:pt>
                <c:pt idx="55">
                  <c:v>3264.74473013685</c:v>
                </c:pt>
                <c:pt idx="56">
                  <c:v>3287.330748609896</c:v>
                </c:pt>
                <c:pt idx="57">
                  <c:v>3309.916767082941</c:v>
                </c:pt>
                <c:pt idx="58">
                  <c:v>3332.502785555986</c:v>
                </c:pt>
                <c:pt idx="59">
                  <c:v>3355.088804029031</c:v>
                </c:pt>
                <c:pt idx="60">
                  <c:v>3360.45526180953</c:v>
                </c:pt>
                <c:pt idx="61">
                  <c:v>3348.602158897485</c:v>
                </c:pt>
                <c:pt idx="62">
                  <c:v>3336.74905598544</c:v>
                </c:pt>
                <c:pt idx="63">
                  <c:v>3324.895953073393</c:v>
                </c:pt>
                <c:pt idx="64">
                  <c:v>3313.042850161348</c:v>
                </c:pt>
                <c:pt idx="65">
                  <c:v>3301.189747249303</c:v>
                </c:pt>
                <c:pt idx="66">
                  <c:v>3289.336644337257</c:v>
                </c:pt>
                <c:pt idx="67">
                  <c:v>3277.483541425212</c:v>
                </c:pt>
                <c:pt idx="68">
                  <c:v>3265.630438513166</c:v>
                </c:pt>
                <c:pt idx="69">
                  <c:v>3253.77733560112</c:v>
                </c:pt>
                <c:pt idx="70">
                  <c:v>3241.924232689075</c:v>
                </c:pt>
                <c:pt idx="71">
                  <c:v>3230.07112977703</c:v>
                </c:pt>
                <c:pt idx="72">
                  <c:v>3218.218026864984</c:v>
                </c:pt>
                <c:pt idx="73">
                  <c:v>3206.364923952938</c:v>
                </c:pt>
                <c:pt idx="74">
                  <c:v>3194.511821040893</c:v>
                </c:pt>
                <c:pt idx="75">
                  <c:v>3182.658718128847</c:v>
                </c:pt>
                <c:pt idx="76">
                  <c:v>3170.805615216801</c:v>
                </c:pt>
                <c:pt idx="77">
                  <c:v>3158.952512304756</c:v>
                </c:pt>
                <c:pt idx="78">
                  <c:v>3147.09940939271</c:v>
                </c:pt>
                <c:pt idx="79">
                  <c:v>3135.246306480665</c:v>
                </c:pt>
                <c:pt idx="80">
                  <c:v>3123.39320356862</c:v>
                </c:pt>
                <c:pt idx="81">
                  <c:v>3111.540100656573</c:v>
                </c:pt>
                <c:pt idx="82">
                  <c:v>3099.686997744528</c:v>
                </c:pt>
                <c:pt idx="83">
                  <c:v>3087.833894832482</c:v>
                </c:pt>
                <c:pt idx="84">
                  <c:v>3075.980791920437</c:v>
                </c:pt>
                <c:pt idx="85">
                  <c:v>3064.127689008391</c:v>
                </c:pt>
                <c:pt idx="86">
                  <c:v>3052.274586096346</c:v>
                </c:pt>
                <c:pt idx="87">
                  <c:v>3040.4214831843</c:v>
                </c:pt>
                <c:pt idx="88">
                  <c:v>3028.568380272255</c:v>
                </c:pt>
                <c:pt idx="89">
                  <c:v>3016.71527736021</c:v>
                </c:pt>
                <c:pt idx="90">
                  <c:v>2867.417834194463</c:v>
                </c:pt>
                <c:pt idx="91">
                  <c:v>2580.676050775017</c:v>
                </c:pt>
                <c:pt idx="92">
                  <c:v>2293.93426735557</c:v>
                </c:pt>
                <c:pt idx="93">
                  <c:v>2007.192483936124</c:v>
                </c:pt>
                <c:pt idx="94">
                  <c:v>1720.450700516678</c:v>
                </c:pt>
                <c:pt idx="95">
                  <c:v>1433.708917097232</c:v>
                </c:pt>
                <c:pt idx="96">
                  <c:v>1146.967133677785</c:v>
                </c:pt>
                <c:pt idx="97">
                  <c:v>860.225350258339</c:v>
                </c:pt>
                <c:pt idx="98">
                  <c:v>573.4835668388923</c:v>
                </c:pt>
                <c:pt idx="99">
                  <c:v>286.7417834194461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6827.38524805741</c:v>
                </c:pt>
                <c:pt idx="1">
                  <c:v>6487.12524805741</c:v>
                </c:pt>
                <c:pt idx="2">
                  <c:v>6146.86524805741</c:v>
                </c:pt>
                <c:pt idx="3">
                  <c:v>5806.60524805741</c:v>
                </c:pt>
                <c:pt idx="4">
                  <c:v>5466.34524805741</c:v>
                </c:pt>
                <c:pt idx="5">
                  <c:v>5126.08524805741</c:v>
                </c:pt>
                <c:pt idx="6">
                  <c:v>4785.82524805741</c:v>
                </c:pt>
                <c:pt idx="7">
                  <c:v>4445.56524805741</c:v>
                </c:pt>
                <c:pt idx="8">
                  <c:v>4105.30524805741</c:v>
                </c:pt>
                <c:pt idx="9">
                  <c:v>3765.04524805741</c:v>
                </c:pt>
                <c:pt idx="10">
                  <c:v>3424.785248057409</c:v>
                </c:pt>
                <c:pt idx="11">
                  <c:v>3084.525248057409</c:v>
                </c:pt>
                <c:pt idx="12">
                  <c:v>2744.265248057409</c:v>
                </c:pt>
                <c:pt idx="13">
                  <c:v>2404.00524805741</c:v>
                </c:pt>
                <c:pt idx="14">
                  <c:v>2063.745248057409</c:v>
                </c:pt>
                <c:pt idx="15">
                  <c:v>1723.485248057409</c:v>
                </c:pt>
                <c:pt idx="16">
                  <c:v>1383.225248057409</c:v>
                </c:pt>
                <c:pt idx="17">
                  <c:v>1042.965248057409</c:v>
                </c:pt>
                <c:pt idx="18">
                  <c:v>702.7052480574093</c:v>
                </c:pt>
                <c:pt idx="19">
                  <c:v>362.4452480574093</c:v>
                </c:pt>
                <c:pt idx="20">
                  <c:v>22.18524805740937</c:v>
                </c:pt>
                <c:pt idx="21">
                  <c:v>27.61454926977116</c:v>
                </c:pt>
                <c:pt idx="22">
                  <c:v>33.04385048213295</c:v>
                </c:pt>
                <c:pt idx="23">
                  <c:v>38.47315169449473</c:v>
                </c:pt>
                <c:pt idx="24">
                  <c:v>43.90245290685652</c:v>
                </c:pt>
                <c:pt idx="25">
                  <c:v>49.3317541192183</c:v>
                </c:pt>
                <c:pt idx="26">
                  <c:v>54.7610553315801</c:v>
                </c:pt>
                <c:pt idx="27">
                  <c:v>60.19035654394187</c:v>
                </c:pt>
                <c:pt idx="28">
                  <c:v>65.61965775630367</c:v>
                </c:pt>
                <c:pt idx="29">
                  <c:v>71.04895896866544</c:v>
                </c:pt>
                <c:pt idx="30">
                  <c:v>76.47826018102723</c:v>
                </c:pt>
                <c:pt idx="31">
                  <c:v>81.90756139338901</c:v>
                </c:pt>
                <c:pt idx="32">
                  <c:v>87.33686260575081</c:v>
                </c:pt>
                <c:pt idx="33">
                  <c:v>92.76616381811258</c:v>
                </c:pt>
                <c:pt idx="34">
                  <c:v>98.19546503047438</c:v>
                </c:pt>
                <c:pt idx="35">
                  <c:v>103.6247662428362</c:v>
                </c:pt>
                <c:pt idx="36">
                  <c:v>109.054067455198</c:v>
                </c:pt>
                <c:pt idx="37">
                  <c:v>114.4833686675597</c:v>
                </c:pt>
                <c:pt idx="38">
                  <c:v>119.9126698799215</c:v>
                </c:pt>
                <c:pt idx="39">
                  <c:v>125.3419710922833</c:v>
                </c:pt>
                <c:pt idx="40">
                  <c:v>130.7712723046451</c:v>
                </c:pt>
                <c:pt idx="41">
                  <c:v>136.2005735170069</c:v>
                </c:pt>
                <c:pt idx="42">
                  <c:v>141.6298747293687</c:v>
                </c:pt>
                <c:pt idx="43">
                  <c:v>147.0591759417305</c:v>
                </c:pt>
                <c:pt idx="44">
                  <c:v>152.4884771540923</c:v>
                </c:pt>
                <c:pt idx="45">
                  <c:v>157.9177783664541</c:v>
                </c:pt>
                <c:pt idx="46">
                  <c:v>163.3470795788158</c:v>
                </c:pt>
                <c:pt idx="47">
                  <c:v>168.7763807911776</c:v>
                </c:pt>
                <c:pt idx="48">
                  <c:v>174.2056820035394</c:v>
                </c:pt>
                <c:pt idx="49">
                  <c:v>179.6349832159012</c:v>
                </c:pt>
                <c:pt idx="50">
                  <c:v>185.064284428263</c:v>
                </c:pt>
                <c:pt idx="51">
                  <c:v>190.4935856406248</c:v>
                </c:pt>
                <c:pt idx="52">
                  <c:v>195.9228868529865</c:v>
                </c:pt>
                <c:pt idx="53">
                  <c:v>201.3521880653483</c:v>
                </c:pt>
                <c:pt idx="54">
                  <c:v>206.7814892777101</c:v>
                </c:pt>
                <c:pt idx="55">
                  <c:v>212.2107904900719</c:v>
                </c:pt>
                <c:pt idx="56">
                  <c:v>217.6400917024337</c:v>
                </c:pt>
                <c:pt idx="57">
                  <c:v>223.0693929147955</c:v>
                </c:pt>
                <c:pt idx="58">
                  <c:v>228.4986941271573</c:v>
                </c:pt>
                <c:pt idx="59">
                  <c:v>233.927995339519</c:v>
                </c:pt>
                <c:pt idx="60">
                  <c:v>236.3609285100503</c:v>
                </c:pt>
                <c:pt idx="61">
                  <c:v>235.797493638751</c:v>
                </c:pt>
                <c:pt idx="62">
                  <c:v>235.2340587674517</c:v>
                </c:pt>
                <c:pt idx="63">
                  <c:v>234.6706238961524</c:v>
                </c:pt>
                <c:pt idx="64">
                  <c:v>234.1071890248531</c:v>
                </c:pt>
                <c:pt idx="65">
                  <c:v>233.5437541535539</c:v>
                </c:pt>
                <c:pt idx="66">
                  <c:v>232.9803192822546</c:v>
                </c:pt>
                <c:pt idx="67">
                  <c:v>232.4168844109553</c:v>
                </c:pt>
                <c:pt idx="68">
                  <c:v>231.853449539656</c:v>
                </c:pt>
                <c:pt idx="69">
                  <c:v>231.2900146683567</c:v>
                </c:pt>
                <c:pt idx="70">
                  <c:v>230.7265797970574</c:v>
                </c:pt>
                <c:pt idx="71">
                  <c:v>230.1631449257582</c:v>
                </c:pt>
                <c:pt idx="72">
                  <c:v>229.5997100544589</c:v>
                </c:pt>
                <c:pt idx="73">
                  <c:v>229.0362751831596</c:v>
                </c:pt>
                <c:pt idx="74">
                  <c:v>228.4728403118603</c:v>
                </c:pt>
                <c:pt idx="75">
                  <c:v>227.909405440561</c:v>
                </c:pt>
                <c:pt idx="76">
                  <c:v>227.3459705692617</c:v>
                </c:pt>
                <c:pt idx="77">
                  <c:v>226.7825356979624</c:v>
                </c:pt>
                <c:pt idx="78">
                  <c:v>226.2191008266632</c:v>
                </c:pt>
                <c:pt idx="79">
                  <c:v>225.6556659553639</c:v>
                </c:pt>
                <c:pt idx="80">
                  <c:v>225.0922310840646</c:v>
                </c:pt>
                <c:pt idx="81">
                  <c:v>224.5287962127653</c:v>
                </c:pt>
                <c:pt idx="82">
                  <c:v>223.965361341466</c:v>
                </c:pt>
                <c:pt idx="83">
                  <c:v>223.4019264701667</c:v>
                </c:pt>
                <c:pt idx="84">
                  <c:v>222.8384915988674</c:v>
                </c:pt>
                <c:pt idx="85">
                  <c:v>222.2750567275681</c:v>
                </c:pt>
                <c:pt idx="86">
                  <c:v>221.7116218562689</c:v>
                </c:pt>
                <c:pt idx="87">
                  <c:v>221.1481869849696</c:v>
                </c:pt>
                <c:pt idx="88">
                  <c:v>220.5847521136703</c:v>
                </c:pt>
                <c:pt idx="89">
                  <c:v>220.021317242371</c:v>
                </c:pt>
                <c:pt idx="90">
                  <c:v>209.2758093397346</c:v>
                </c:pt>
                <c:pt idx="91">
                  <c:v>188.3482284057612</c:v>
                </c:pt>
                <c:pt idx="92">
                  <c:v>167.4206474717877</c:v>
                </c:pt>
                <c:pt idx="93">
                  <c:v>146.4930665378143</c:v>
                </c:pt>
                <c:pt idx="94">
                  <c:v>125.5654856038408</c:v>
                </c:pt>
                <c:pt idx="95">
                  <c:v>104.6379046698673</c:v>
                </c:pt>
                <c:pt idx="96">
                  <c:v>83.71032373589386</c:v>
                </c:pt>
                <c:pt idx="97">
                  <c:v>62.7827428019204</c:v>
                </c:pt>
                <c:pt idx="98">
                  <c:v>41.85516186794695</c:v>
                </c:pt>
                <c:pt idx="99">
                  <c:v>20.92758093397347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789.1433707841885</c:v>
                </c:pt>
                <c:pt idx="1">
                  <c:v>789.1433707841885</c:v>
                </c:pt>
                <c:pt idx="2">
                  <c:v>789.1433707841885</c:v>
                </c:pt>
                <c:pt idx="3">
                  <c:v>789.1433707841885</c:v>
                </c:pt>
                <c:pt idx="4">
                  <c:v>789.1433707841885</c:v>
                </c:pt>
                <c:pt idx="5">
                  <c:v>789.1433707841885</c:v>
                </c:pt>
                <c:pt idx="6">
                  <c:v>789.1433707841885</c:v>
                </c:pt>
                <c:pt idx="7">
                  <c:v>789.1433707841885</c:v>
                </c:pt>
                <c:pt idx="8">
                  <c:v>789.1433707841885</c:v>
                </c:pt>
                <c:pt idx="9">
                  <c:v>789.1433707841885</c:v>
                </c:pt>
                <c:pt idx="10">
                  <c:v>789.1433707841885</c:v>
                </c:pt>
                <c:pt idx="11">
                  <c:v>789.1433707841885</c:v>
                </c:pt>
                <c:pt idx="12">
                  <c:v>789.1433707841885</c:v>
                </c:pt>
                <c:pt idx="13">
                  <c:v>789.1433707841885</c:v>
                </c:pt>
                <c:pt idx="14">
                  <c:v>789.1433707841885</c:v>
                </c:pt>
                <c:pt idx="15">
                  <c:v>789.1433707841885</c:v>
                </c:pt>
                <c:pt idx="16">
                  <c:v>789.1433707841885</c:v>
                </c:pt>
                <c:pt idx="17">
                  <c:v>789.1433707841885</c:v>
                </c:pt>
                <c:pt idx="18">
                  <c:v>789.1433707841885</c:v>
                </c:pt>
                <c:pt idx="19">
                  <c:v>789.1433707841885</c:v>
                </c:pt>
                <c:pt idx="20">
                  <c:v>789.1433707841885</c:v>
                </c:pt>
                <c:pt idx="21">
                  <c:v>812.365291436492</c:v>
                </c:pt>
                <c:pt idx="22">
                  <c:v>835.5872120887957</c:v>
                </c:pt>
                <c:pt idx="23">
                  <c:v>858.8091327410992</c:v>
                </c:pt>
                <c:pt idx="24">
                  <c:v>882.0310533934028</c:v>
                </c:pt>
                <c:pt idx="25">
                  <c:v>905.2529740457064</c:v>
                </c:pt>
                <c:pt idx="26">
                  <c:v>928.47489469801</c:v>
                </c:pt>
                <c:pt idx="27">
                  <c:v>951.6968153503134</c:v>
                </c:pt>
                <c:pt idx="28">
                  <c:v>974.918736002617</c:v>
                </c:pt>
                <c:pt idx="29">
                  <c:v>998.1406566549207</c:v>
                </c:pt>
                <c:pt idx="30">
                  <c:v>1021.362577307224</c:v>
                </c:pt>
                <c:pt idx="31">
                  <c:v>1044.584497959528</c:v>
                </c:pt>
                <c:pt idx="32">
                  <c:v>1067.806418611831</c:v>
                </c:pt>
                <c:pt idx="33">
                  <c:v>1091.028339264135</c:v>
                </c:pt>
                <c:pt idx="34">
                  <c:v>1114.250259916439</c:v>
                </c:pt>
                <c:pt idx="35">
                  <c:v>1137.472180568742</c:v>
                </c:pt>
                <c:pt idx="36">
                  <c:v>1160.694101221046</c:v>
                </c:pt>
                <c:pt idx="37">
                  <c:v>1183.916021873349</c:v>
                </c:pt>
                <c:pt idx="38">
                  <c:v>1207.137942525653</c:v>
                </c:pt>
                <c:pt idx="39">
                  <c:v>1230.359863177956</c:v>
                </c:pt>
                <c:pt idx="40">
                  <c:v>1253.58178383026</c:v>
                </c:pt>
                <c:pt idx="41">
                  <c:v>1276.803704482563</c:v>
                </c:pt>
                <c:pt idx="42">
                  <c:v>1300.025625134867</c:v>
                </c:pt>
                <c:pt idx="43">
                  <c:v>1323.247545787171</c:v>
                </c:pt>
                <c:pt idx="44">
                  <c:v>1346.469466439474</c:v>
                </c:pt>
                <c:pt idx="45">
                  <c:v>1369.691387091778</c:v>
                </c:pt>
                <c:pt idx="46">
                  <c:v>1392.913307744082</c:v>
                </c:pt>
                <c:pt idx="47">
                  <c:v>1416.135228396385</c:v>
                </c:pt>
                <c:pt idx="48">
                  <c:v>1439.357149048689</c:v>
                </c:pt>
                <c:pt idx="49">
                  <c:v>1462.579069700992</c:v>
                </c:pt>
                <c:pt idx="50">
                  <c:v>1485.800990353296</c:v>
                </c:pt>
                <c:pt idx="51">
                  <c:v>1509.022911005599</c:v>
                </c:pt>
                <c:pt idx="52">
                  <c:v>1532.244831657903</c:v>
                </c:pt>
                <c:pt idx="53">
                  <c:v>1555.466752310206</c:v>
                </c:pt>
                <c:pt idx="54">
                  <c:v>1578.68867296251</c:v>
                </c:pt>
                <c:pt idx="55">
                  <c:v>1601.910593614813</c:v>
                </c:pt>
                <c:pt idx="56">
                  <c:v>1625.132514267117</c:v>
                </c:pt>
                <c:pt idx="57">
                  <c:v>1648.354434919421</c:v>
                </c:pt>
                <c:pt idx="58">
                  <c:v>1671.576355571724</c:v>
                </c:pt>
                <c:pt idx="59">
                  <c:v>1694.798276224028</c:v>
                </c:pt>
                <c:pt idx="60">
                  <c:v>1717.793401112355</c:v>
                </c:pt>
                <c:pt idx="61">
                  <c:v>1740.561730236704</c:v>
                </c:pt>
                <c:pt idx="62">
                  <c:v>1763.330059361054</c:v>
                </c:pt>
                <c:pt idx="63">
                  <c:v>1786.098388485404</c:v>
                </c:pt>
                <c:pt idx="64">
                  <c:v>1808.866717609754</c:v>
                </c:pt>
                <c:pt idx="65">
                  <c:v>1831.635046734104</c:v>
                </c:pt>
                <c:pt idx="66">
                  <c:v>1854.403375858454</c:v>
                </c:pt>
                <c:pt idx="67">
                  <c:v>1877.171704982803</c:v>
                </c:pt>
                <c:pt idx="68">
                  <c:v>1899.940034107153</c:v>
                </c:pt>
                <c:pt idx="69">
                  <c:v>1922.708363231503</c:v>
                </c:pt>
                <c:pt idx="70">
                  <c:v>1945.476692355853</c:v>
                </c:pt>
                <c:pt idx="71">
                  <c:v>1968.245021480202</c:v>
                </c:pt>
                <c:pt idx="72">
                  <c:v>1991.013350604552</c:v>
                </c:pt>
                <c:pt idx="73">
                  <c:v>2013.781679728902</c:v>
                </c:pt>
                <c:pt idx="74">
                  <c:v>2036.550008853252</c:v>
                </c:pt>
                <c:pt idx="75">
                  <c:v>2059.318337977602</c:v>
                </c:pt>
                <c:pt idx="76">
                  <c:v>2082.086667101952</c:v>
                </c:pt>
                <c:pt idx="77">
                  <c:v>2104.854996226301</c:v>
                </c:pt>
                <c:pt idx="78">
                  <c:v>2127.623325350651</c:v>
                </c:pt>
                <c:pt idx="79">
                  <c:v>2150.391654475001</c:v>
                </c:pt>
                <c:pt idx="80">
                  <c:v>2173.159983599351</c:v>
                </c:pt>
                <c:pt idx="81">
                  <c:v>2195.9283127237</c:v>
                </c:pt>
                <c:pt idx="82">
                  <c:v>2218.696641848051</c:v>
                </c:pt>
                <c:pt idx="83">
                  <c:v>2241.4649709724</c:v>
                </c:pt>
                <c:pt idx="84">
                  <c:v>2264.23330009675</c:v>
                </c:pt>
                <c:pt idx="85">
                  <c:v>2287.0016292211</c:v>
                </c:pt>
                <c:pt idx="86">
                  <c:v>2309.76995834545</c:v>
                </c:pt>
                <c:pt idx="87">
                  <c:v>2332.538287469799</c:v>
                </c:pt>
                <c:pt idx="88">
                  <c:v>2355.30661659415</c:v>
                </c:pt>
                <c:pt idx="89">
                  <c:v>2378.074945718499</c:v>
                </c:pt>
                <c:pt idx="90">
                  <c:v>2275.675343124452</c:v>
                </c:pt>
                <c:pt idx="91">
                  <c:v>2048.107808812006</c:v>
                </c:pt>
                <c:pt idx="92">
                  <c:v>1820.540274499561</c:v>
                </c:pt>
                <c:pt idx="93">
                  <c:v>1592.972740187116</c:v>
                </c:pt>
                <c:pt idx="94">
                  <c:v>1365.405205874671</c:v>
                </c:pt>
                <c:pt idx="95">
                  <c:v>1137.837671562226</c:v>
                </c:pt>
                <c:pt idx="96">
                  <c:v>910.2701372497806</c:v>
                </c:pt>
                <c:pt idx="97">
                  <c:v>682.7026029373355</c:v>
                </c:pt>
                <c:pt idx="98">
                  <c:v>455.1350686248902</c:v>
                </c:pt>
                <c:pt idx="99">
                  <c:v>227.5675343124453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9317.804184111935</c:v>
                </c:pt>
                <c:pt idx="1">
                  <c:v>9317.804184111935</c:v>
                </c:pt>
                <c:pt idx="2">
                  <c:v>9317.804184111935</c:v>
                </c:pt>
                <c:pt idx="3">
                  <c:v>9317.804184111935</c:v>
                </c:pt>
                <c:pt idx="4">
                  <c:v>9317.804184111935</c:v>
                </c:pt>
                <c:pt idx="5">
                  <c:v>9317.804184111935</c:v>
                </c:pt>
                <c:pt idx="6">
                  <c:v>9317.804184111935</c:v>
                </c:pt>
                <c:pt idx="7">
                  <c:v>9317.804184111935</c:v>
                </c:pt>
                <c:pt idx="8">
                  <c:v>9317.804184111935</c:v>
                </c:pt>
                <c:pt idx="9">
                  <c:v>9317.804184111935</c:v>
                </c:pt>
                <c:pt idx="10">
                  <c:v>9317.804184111935</c:v>
                </c:pt>
                <c:pt idx="11">
                  <c:v>9317.804184111935</c:v>
                </c:pt>
                <c:pt idx="12">
                  <c:v>9317.804184111935</c:v>
                </c:pt>
                <c:pt idx="13">
                  <c:v>9317.804184111935</c:v>
                </c:pt>
                <c:pt idx="14">
                  <c:v>9317.804184111935</c:v>
                </c:pt>
                <c:pt idx="15">
                  <c:v>9317.804184111935</c:v>
                </c:pt>
                <c:pt idx="16">
                  <c:v>9317.804184111935</c:v>
                </c:pt>
                <c:pt idx="17">
                  <c:v>9317.804184111935</c:v>
                </c:pt>
                <c:pt idx="18">
                  <c:v>9317.804184111935</c:v>
                </c:pt>
                <c:pt idx="19">
                  <c:v>9317.804184111935</c:v>
                </c:pt>
                <c:pt idx="20">
                  <c:v>9317.804184111935</c:v>
                </c:pt>
                <c:pt idx="21">
                  <c:v>9452.600628005055</c:v>
                </c:pt>
                <c:pt idx="22">
                  <c:v>9587.397071898176</c:v>
                </c:pt>
                <c:pt idx="23">
                  <c:v>9722.193515791295</c:v>
                </c:pt>
                <c:pt idx="24">
                  <c:v>9856.989959684417</c:v>
                </c:pt>
                <c:pt idx="25">
                  <c:v>9991.786403577536</c:v>
                </c:pt>
                <c:pt idx="26">
                  <c:v>10126.58284747066</c:v>
                </c:pt>
                <c:pt idx="27">
                  <c:v>10261.37929136378</c:v>
                </c:pt>
                <c:pt idx="28">
                  <c:v>10396.1757352569</c:v>
                </c:pt>
                <c:pt idx="29">
                  <c:v>10530.97217915002</c:v>
                </c:pt>
                <c:pt idx="30">
                  <c:v>10665.76862304314</c:v>
                </c:pt>
                <c:pt idx="31">
                  <c:v>10800.56506693626</c:v>
                </c:pt>
                <c:pt idx="32">
                  <c:v>10935.36151082938</c:v>
                </c:pt>
                <c:pt idx="33">
                  <c:v>11070.1579547225</c:v>
                </c:pt>
                <c:pt idx="34">
                  <c:v>11204.95439861562</c:v>
                </c:pt>
                <c:pt idx="35">
                  <c:v>11339.75084250874</c:v>
                </c:pt>
                <c:pt idx="36">
                  <c:v>11474.54728640186</c:v>
                </c:pt>
                <c:pt idx="37">
                  <c:v>11609.34373029498</c:v>
                </c:pt>
                <c:pt idx="38">
                  <c:v>11744.1401741881</c:v>
                </c:pt>
                <c:pt idx="39">
                  <c:v>11878.93661808122</c:v>
                </c:pt>
                <c:pt idx="40">
                  <c:v>12013.73306197434</c:v>
                </c:pt>
                <c:pt idx="41">
                  <c:v>12148.52950586746</c:v>
                </c:pt>
                <c:pt idx="42">
                  <c:v>12283.32594976058</c:v>
                </c:pt>
                <c:pt idx="43">
                  <c:v>12418.1223936537</c:v>
                </c:pt>
                <c:pt idx="44">
                  <c:v>12552.91883754682</c:v>
                </c:pt>
                <c:pt idx="45">
                  <c:v>12687.71528143994</c:v>
                </c:pt>
                <c:pt idx="46">
                  <c:v>12822.51172533306</c:v>
                </c:pt>
                <c:pt idx="47">
                  <c:v>12957.30816922618</c:v>
                </c:pt>
                <c:pt idx="48">
                  <c:v>13092.1046131193</c:v>
                </c:pt>
                <c:pt idx="49">
                  <c:v>13226.90105701242</c:v>
                </c:pt>
                <c:pt idx="50">
                  <c:v>13361.69750090554</c:v>
                </c:pt>
                <c:pt idx="51">
                  <c:v>13496.49394479866</c:v>
                </c:pt>
                <c:pt idx="52">
                  <c:v>13631.29038869178</c:v>
                </c:pt>
                <c:pt idx="53">
                  <c:v>13766.0868325849</c:v>
                </c:pt>
                <c:pt idx="54">
                  <c:v>13900.88327647802</c:v>
                </c:pt>
                <c:pt idx="55">
                  <c:v>14035.67972037114</c:v>
                </c:pt>
                <c:pt idx="56">
                  <c:v>14170.47616426426</c:v>
                </c:pt>
                <c:pt idx="57">
                  <c:v>14305.27260815738</c:v>
                </c:pt>
                <c:pt idx="58">
                  <c:v>14440.0690520505</c:v>
                </c:pt>
                <c:pt idx="59">
                  <c:v>14574.86549594362</c:v>
                </c:pt>
                <c:pt idx="60">
                  <c:v>14761.64148124672</c:v>
                </c:pt>
                <c:pt idx="61">
                  <c:v>15000.39700795979</c:v>
                </c:pt>
                <c:pt idx="62">
                  <c:v>15239.15253467286</c:v>
                </c:pt>
                <c:pt idx="63">
                  <c:v>15477.90806138594</c:v>
                </c:pt>
                <c:pt idx="64">
                  <c:v>15716.66358809901</c:v>
                </c:pt>
                <c:pt idx="65">
                  <c:v>15955.41911481208</c:v>
                </c:pt>
                <c:pt idx="66">
                  <c:v>16194.17464152515</c:v>
                </c:pt>
                <c:pt idx="67">
                  <c:v>16432.93016823822</c:v>
                </c:pt>
                <c:pt idx="68">
                  <c:v>16671.6856949513</c:v>
                </c:pt>
                <c:pt idx="69">
                  <c:v>16910.44122166437</c:v>
                </c:pt>
                <c:pt idx="70">
                  <c:v>17149.19674837744</c:v>
                </c:pt>
                <c:pt idx="71">
                  <c:v>17387.95227509051</c:v>
                </c:pt>
                <c:pt idx="72">
                  <c:v>17626.70780180359</c:v>
                </c:pt>
                <c:pt idx="73">
                  <c:v>17865.46332851666</c:v>
                </c:pt>
                <c:pt idx="74">
                  <c:v>18104.21885522973</c:v>
                </c:pt>
                <c:pt idx="75">
                  <c:v>18342.9743819428</c:v>
                </c:pt>
                <c:pt idx="76">
                  <c:v>18581.72990865587</c:v>
                </c:pt>
                <c:pt idx="77">
                  <c:v>18820.48543536895</c:v>
                </c:pt>
                <c:pt idx="78">
                  <c:v>19059.24096208202</c:v>
                </c:pt>
                <c:pt idx="79">
                  <c:v>19297.9964887951</c:v>
                </c:pt>
                <c:pt idx="80">
                  <c:v>19536.75201550817</c:v>
                </c:pt>
                <c:pt idx="81">
                  <c:v>19775.50754222124</c:v>
                </c:pt>
                <c:pt idx="82">
                  <c:v>20014.26306893431</c:v>
                </c:pt>
                <c:pt idx="83">
                  <c:v>20253.01859564738</c:v>
                </c:pt>
                <c:pt idx="84">
                  <c:v>20491.77412236045</c:v>
                </c:pt>
                <c:pt idx="85">
                  <c:v>20730.52964907353</c:v>
                </c:pt>
                <c:pt idx="86">
                  <c:v>20969.2851757866</c:v>
                </c:pt>
                <c:pt idx="87">
                  <c:v>21208.04070249967</c:v>
                </c:pt>
                <c:pt idx="88">
                  <c:v>21446.79622921274</c:v>
                </c:pt>
                <c:pt idx="89">
                  <c:v>21685.55175592582</c:v>
                </c:pt>
                <c:pt idx="90">
                  <c:v>20766.59954217367</c:v>
                </c:pt>
                <c:pt idx="91">
                  <c:v>18689.9395879563</c:v>
                </c:pt>
                <c:pt idx="92">
                  <c:v>16613.27963373894</c:v>
                </c:pt>
                <c:pt idx="93">
                  <c:v>14536.61967952157</c:v>
                </c:pt>
                <c:pt idx="94">
                  <c:v>12459.9597253042</c:v>
                </c:pt>
                <c:pt idx="95">
                  <c:v>10383.29977108683</c:v>
                </c:pt>
                <c:pt idx="96">
                  <c:v>8306.639816869468</c:v>
                </c:pt>
                <c:pt idx="97">
                  <c:v>6229.979862652102</c:v>
                </c:pt>
                <c:pt idx="98">
                  <c:v>4153.319908434736</c:v>
                </c:pt>
                <c:pt idx="99">
                  <c:v>2076.659954217368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134.8380012213554</c:v>
                </c:pt>
                <c:pt idx="1">
                  <c:v>134.8380012213554</c:v>
                </c:pt>
                <c:pt idx="2">
                  <c:v>134.8380012213554</c:v>
                </c:pt>
                <c:pt idx="3">
                  <c:v>134.8380012213554</c:v>
                </c:pt>
                <c:pt idx="4">
                  <c:v>134.8380012213554</c:v>
                </c:pt>
                <c:pt idx="5">
                  <c:v>134.8380012213554</c:v>
                </c:pt>
                <c:pt idx="6">
                  <c:v>134.8380012213554</c:v>
                </c:pt>
                <c:pt idx="7">
                  <c:v>134.8380012213554</c:v>
                </c:pt>
                <c:pt idx="8">
                  <c:v>134.8380012213554</c:v>
                </c:pt>
                <c:pt idx="9">
                  <c:v>134.8380012213554</c:v>
                </c:pt>
                <c:pt idx="10">
                  <c:v>134.8380012213554</c:v>
                </c:pt>
                <c:pt idx="11">
                  <c:v>134.8380012213554</c:v>
                </c:pt>
                <c:pt idx="12">
                  <c:v>134.8380012213554</c:v>
                </c:pt>
                <c:pt idx="13">
                  <c:v>134.8380012213554</c:v>
                </c:pt>
                <c:pt idx="14">
                  <c:v>134.8380012213554</c:v>
                </c:pt>
                <c:pt idx="15">
                  <c:v>134.8380012213554</c:v>
                </c:pt>
                <c:pt idx="16">
                  <c:v>134.8380012213554</c:v>
                </c:pt>
                <c:pt idx="17">
                  <c:v>134.8380012213554</c:v>
                </c:pt>
                <c:pt idx="18">
                  <c:v>134.8380012213554</c:v>
                </c:pt>
                <c:pt idx="19">
                  <c:v>134.8380012213554</c:v>
                </c:pt>
                <c:pt idx="20">
                  <c:v>134.8380012213554</c:v>
                </c:pt>
                <c:pt idx="21">
                  <c:v>134.8380012213554</c:v>
                </c:pt>
                <c:pt idx="22">
                  <c:v>134.8380012213554</c:v>
                </c:pt>
                <c:pt idx="23">
                  <c:v>134.8380012213554</c:v>
                </c:pt>
                <c:pt idx="24">
                  <c:v>134.8380012213554</c:v>
                </c:pt>
                <c:pt idx="25">
                  <c:v>134.8380012213554</c:v>
                </c:pt>
                <c:pt idx="26">
                  <c:v>134.8380012213554</c:v>
                </c:pt>
                <c:pt idx="27">
                  <c:v>134.8380012213554</c:v>
                </c:pt>
                <c:pt idx="28">
                  <c:v>134.8380012213554</c:v>
                </c:pt>
                <c:pt idx="29">
                  <c:v>134.8380012213554</c:v>
                </c:pt>
                <c:pt idx="30">
                  <c:v>134.8380012213554</c:v>
                </c:pt>
                <c:pt idx="31">
                  <c:v>134.8380012213554</c:v>
                </c:pt>
                <c:pt idx="32">
                  <c:v>134.8380012213554</c:v>
                </c:pt>
                <c:pt idx="33">
                  <c:v>134.8380012213554</c:v>
                </c:pt>
                <c:pt idx="34">
                  <c:v>134.8380012213554</c:v>
                </c:pt>
                <c:pt idx="35">
                  <c:v>134.8380012213554</c:v>
                </c:pt>
                <c:pt idx="36">
                  <c:v>134.8380012213554</c:v>
                </c:pt>
                <c:pt idx="37">
                  <c:v>134.8380012213554</c:v>
                </c:pt>
                <c:pt idx="38">
                  <c:v>134.8380012213554</c:v>
                </c:pt>
                <c:pt idx="39">
                  <c:v>134.8380012213554</c:v>
                </c:pt>
                <c:pt idx="40">
                  <c:v>134.8380012213553</c:v>
                </c:pt>
                <c:pt idx="41">
                  <c:v>134.8380012213553</c:v>
                </c:pt>
                <c:pt idx="42">
                  <c:v>134.8380012213553</c:v>
                </c:pt>
                <c:pt idx="43">
                  <c:v>134.8380012213553</c:v>
                </c:pt>
                <c:pt idx="44">
                  <c:v>134.8380012213553</c:v>
                </c:pt>
                <c:pt idx="45">
                  <c:v>134.8380012213553</c:v>
                </c:pt>
                <c:pt idx="46">
                  <c:v>134.8380012213553</c:v>
                </c:pt>
                <c:pt idx="47">
                  <c:v>134.8380012213553</c:v>
                </c:pt>
                <c:pt idx="48">
                  <c:v>134.8380012213553</c:v>
                </c:pt>
                <c:pt idx="49">
                  <c:v>134.8380012213553</c:v>
                </c:pt>
                <c:pt idx="50">
                  <c:v>134.8380012213553</c:v>
                </c:pt>
                <c:pt idx="51">
                  <c:v>134.8380012213553</c:v>
                </c:pt>
                <c:pt idx="52">
                  <c:v>134.8380012213553</c:v>
                </c:pt>
                <c:pt idx="53">
                  <c:v>134.8380012213553</c:v>
                </c:pt>
                <c:pt idx="54">
                  <c:v>134.8380012213553</c:v>
                </c:pt>
                <c:pt idx="55">
                  <c:v>134.8380012213553</c:v>
                </c:pt>
                <c:pt idx="56">
                  <c:v>134.8380012213553</c:v>
                </c:pt>
                <c:pt idx="57">
                  <c:v>134.8380012213553</c:v>
                </c:pt>
                <c:pt idx="58">
                  <c:v>134.8380012213553</c:v>
                </c:pt>
                <c:pt idx="59">
                  <c:v>134.8380012213553</c:v>
                </c:pt>
                <c:pt idx="60">
                  <c:v>136.0151583748751</c:v>
                </c:pt>
                <c:pt idx="61">
                  <c:v>138.3694726819147</c:v>
                </c:pt>
                <c:pt idx="62">
                  <c:v>140.7237869889542</c:v>
                </c:pt>
                <c:pt idx="63">
                  <c:v>143.0781012959937</c:v>
                </c:pt>
                <c:pt idx="64">
                  <c:v>145.4324156030333</c:v>
                </c:pt>
                <c:pt idx="65">
                  <c:v>147.7867299100728</c:v>
                </c:pt>
                <c:pt idx="66">
                  <c:v>150.1410442171124</c:v>
                </c:pt>
                <c:pt idx="67">
                  <c:v>152.4953585241519</c:v>
                </c:pt>
                <c:pt idx="68">
                  <c:v>154.8496728311914</c:v>
                </c:pt>
                <c:pt idx="69">
                  <c:v>157.203987138231</c:v>
                </c:pt>
                <c:pt idx="70">
                  <c:v>159.5583014452705</c:v>
                </c:pt>
                <c:pt idx="71">
                  <c:v>161.91261575231</c:v>
                </c:pt>
                <c:pt idx="72">
                  <c:v>164.2669300593496</c:v>
                </c:pt>
                <c:pt idx="73">
                  <c:v>166.6212443663891</c:v>
                </c:pt>
                <c:pt idx="74">
                  <c:v>168.9755586734287</c:v>
                </c:pt>
                <c:pt idx="75">
                  <c:v>171.3298729804682</c:v>
                </c:pt>
                <c:pt idx="76">
                  <c:v>173.6841872875077</c:v>
                </c:pt>
                <c:pt idx="77">
                  <c:v>176.0385015945473</c:v>
                </c:pt>
                <c:pt idx="78">
                  <c:v>178.3928159015868</c:v>
                </c:pt>
                <c:pt idx="79">
                  <c:v>180.7471302086264</c:v>
                </c:pt>
                <c:pt idx="80">
                  <c:v>183.1014445156659</c:v>
                </c:pt>
                <c:pt idx="81">
                  <c:v>185.4557588227054</c:v>
                </c:pt>
                <c:pt idx="82">
                  <c:v>187.810073129745</c:v>
                </c:pt>
                <c:pt idx="83">
                  <c:v>190.1643874367845</c:v>
                </c:pt>
                <c:pt idx="84">
                  <c:v>192.5187017438241</c:v>
                </c:pt>
                <c:pt idx="85">
                  <c:v>194.8730160508636</c:v>
                </c:pt>
                <c:pt idx="86">
                  <c:v>197.2273303579031</c:v>
                </c:pt>
                <c:pt idx="87">
                  <c:v>199.5816446649427</c:v>
                </c:pt>
                <c:pt idx="88">
                  <c:v>201.9359589719822</c:v>
                </c:pt>
                <c:pt idx="89">
                  <c:v>204.2902732790218</c:v>
                </c:pt>
                <c:pt idx="90">
                  <c:v>195.683267078611</c:v>
                </c:pt>
                <c:pt idx="91">
                  <c:v>176.1149403707499</c:v>
                </c:pt>
                <c:pt idx="92">
                  <c:v>156.5466136628888</c:v>
                </c:pt>
                <c:pt idx="93">
                  <c:v>136.9782869550277</c:v>
                </c:pt>
                <c:pt idx="94">
                  <c:v>117.4099602471666</c:v>
                </c:pt>
                <c:pt idx="95">
                  <c:v>97.8416335393055</c:v>
                </c:pt>
                <c:pt idx="96">
                  <c:v>78.2733068314444</c:v>
                </c:pt>
                <c:pt idx="97">
                  <c:v>58.70498012358331</c:v>
                </c:pt>
                <c:pt idx="98">
                  <c:v>39.13665341572221</c:v>
                </c:pt>
                <c:pt idx="99">
                  <c:v>19.5683267078611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2396.006790200212</c:v>
                </c:pt>
                <c:pt idx="1">
                  <c:v>2396.006790200212</c:v>
                </c:pt>
                <c:pt idx="2">
                  <c:v>2396.006790200212</c:v>
                </c:pt>
                <c:pt idx="3">
                  <c:v>2396.006790200212</c:v>
                </c:pt>
                <c:pt idx="4">
                  <c:v>2396.006790200212</c:v>
                </c:pt>
                <c:pt idx="5">
                  <c:v>2396.006790200212</c:v>
                </c:pt>
                <c:pt idx="6">
                  <c:v>2396.006790200212</c:v>
                </c:pt>
                <c:pt idx="7">
                  <c:v>2396.006790200212</c:v>
                </c:pt>
                <c:pt idx="8">
                  <c:v>2396.006790200212</c:v>
                </c:pt>
                <c:pt idx="9">
                  <c:v>2396.006790200212</c:v>
                </c:pt>
                <c:pt idx="10">
                  <c:v>2396.006790200212</c:v>
                </c:pt>
                <c:pt idx="11">
                  <c:v>2396.006790200212</c:v>
                </c:pt>
                <c:pt idx="12">
                  <c:v>2396.006790200212</c:v>
                </c:pt>
                <c:pt idx="13">
                  <c:v>2396.006790200212</c:v>
                </c:pt>
                <c:pt idx="14">
                  <c:v>2396.006790200212</c:v>
                </c:pt>
                <c:pt idx="15">
                  <c:v>2396.006790200212</c:v>
                </c:pt>
                <c:pt idx="16">
                  <c:v>2396.006790200212</c:v>
                </c:pt>
                <c:pt idx="17">
                  <c:v>2396.006790200212</c:v>
                </c:pt>
                <c:pt idx="18">
                  <c:v>2396.006790200212</c:v>
                </c:pt>
                <c:pt idx="19">
                  <c:v>2396.006790200212</c:v>
                </c:pt>
                <c:pt idx="20">
                  <c:v>2396.006790200212</c:v>
                </c:pt>
                <c:pt idx="21">
                  <c:v>2375.787323616244</c:v>
                </c:pt>
                <c:pt idx="22">
                  <c:v>2355.567857032276</c:v>
                </c:pt>
                <c:pt idx="23">
                  <c:v>2335.348390448308</c:v>
                </c:pt>
                <c:pt idx="24">
                  <c:v>2315.12892386434</c:v>
                </c:pt>
                <c:pt idx="25">
                  <c:v>2294.909457280372</c:v>
                </c:pt>
                <c:pt idx="26">
                  <c:v>2274.689990696404</c:v>
                </c:pt>
                <c:pt idx="27">
                  <c:v>2254.470524112436</c:v>
                </c:pt>
                <c:pt idx="28">
                  <c:v>2234.251057528468</c:v>
                </c:pt>
                <c:pt idx="29">
                  <c:v>2214.0315909445</c:v>
                </c:pt>
                <c:pt idx="30">
                  <c:v>2193.812124360531</c:v>
                </c:pt>
                <c:pt idx="31">
                  <c:v>2173.592657776563</c:v>
                </c:pt>
                <c:pt idx="32">
                  <c:v>2153.373191192595</c:v>
                </c:pt>
                <c:pt idx="33">
                  <c:v>2133.153724608627</c:v>
                </c:pt>
                <c:pt idx="34">
                  <c:v>2112.934258024659</c:v>
                </c:pt>
                <c:pt idx="35">
                  <c:v>2092.714791440691</c:v>
                </c:pt>
                <c:pt idx="36">
                  <c:v>2072.495324856723</c:v>
                </c:pt>
                <c:pt idx="37">
                  <c:v>2052.275858272756</c:v>
                </c:pt>
                <c:pt idx="38">
                  <c:v>2032.056391688787</c:v>
                </c:pt>
                <c:pt idx="39">
                  <c:v>2011.836925104819</c:v>
                </c:pt>
                <c:pt idx="40">
                  <c:v>1991.617458520851</c:v>
                </c:pt>
                <c:pt idx="41">
                  <c:v>1971.397991936883</c:v>
                </c:pt>
                <c:pt idx="42">
                  <c:v>1951.178525352915</c:v>
                </c:pt>
                <c:pt idx="43">
                  <c:v>1930.959058768947</c:v>
                </c:pt>
                <c:pt idx="44">
                  <c:v>1910.73959218498</c:v>
                </c:pt>
                <c:pt idx="45">
                  <c:v>1890.520125601011</c:v>
                </c:pt>
                <c:pt idx="46">
                  <c:v>1870.300659017043</c:v>
                </c:pt>
                <c:pt idx="47">
                  <c:v>1850.081192433075</c:v>
                </c:pt>
                <c:pt idx="48">
                  <c:v>1829.861725849107</c:v>
                </c:pt>
                <c:pt idx="49">
                  <c:v>1809.642259265139</c:v>
                </c:pt>
                <c:pt idx="50">
                  <c:v>1789.422792681171</c:v>
                </c:pt>
                <c:pt idx="51">
                  <c:v>1769.203326097203</c:v>
                </c:pt>
                <c:pt idx="52">
                  <c:v>1748.983859513235</c:v>
                </c:pt>
                <c:pt idx="53">
                  <c:v>1728.764392929267</c:v>
                </c:pt>
                <c:pt idx="54">
                  <c:v>1708.544926345299</c:v>
                </c:pt>
                <c:pt idx="55">
                  <c:v>1688.325459761331</c:v>
                </c:pt>
                <c:pt idx="56">
                  <c:v>1668.105993177363</c:v>
                </c:pt>
                <c:pt idx="57">
                  <c:v>1647.886526593395</c:v>
                </c:pt>
                <c:pt idx="58">
                  <c:v>1627.667060009427</c:v>
                </c:pt>
                <c:pt idx="59">
                  <c:v>1607.447593425459</c:v>
                </c:pt>
                <c:pt idx="60">
                  <c:v>1570.715562464583</c:v>
                </c:pt>
                <c:pt idx="61">
                  <c:v>1517.470967126801</c:v>
                </c:pt>
                <c:pt idx="62">
                  <c:v>1464.226371789018</c:v>
                </c:pt>
                <c:pt idx="63">
                  <c:v>1410.981776451236</c:v>
                </c:pt>
                <c:pt idx="64">
                  <c:v>1357.737181113454</c:v>
                </c:pt>
                <c:pt idx="65">
                  <c:v>1304.492585775671</c:v>
                </c:pt>
                <c:pt idx="66">
                  <c:v>1251.247990437888</c:v>
                </c:pt>
                <c:pt idx="67">
                  <c:v>1198.003395100106</c:v>
                </c:pt>
                <c:pt idx="68">
                  <c:v>1144.758799762323</c:v>
                </c:pt>
                <c:pt idx="69">
                  <c:v>1091.514204424541</c:v>
                </c:pt>
                <c:pt idx="70">
                  <c:v>1038.269609086758</c:v>
                </c:pt>
                <c:pt idx="71">
                  <c:v>985.025013748976</c:v>
                </c:pt>
                <c:pt idx="72">
                  <c:v>931.7804184111935</c:v>
                </c:pt>
                <c:pt idx="73">
                  <c:v>878.5358230734111</c:v>
                </c:pt>
                <c:pt idx="74">
                  <c:v>825.2912277356286</c:v>
                </c:pt>
                <c:pt idx="75">
                  <c:v>772.0466323978461</c:v>
                </c:pt>
                <c:pt idx="76">
                  <c:v>718.8020370600635</c:v>
                </c:pt>
                <c:pt idx="77">
                  <c:v>665.5574417222811</c:v>
                </c:pt>
                <c:pt idx="78">
                  <c:v>612.3128463844986</c:v>
                </c:pt>
                <c:pt idx="79">
                  <c:v>559.0682510467161</c:v>
                </c:pt>
                <c:pt idx="80">
                  <c:v>505.8236557089335</c:v>
                </c:pt>
                <c:pt idx="81">
                  <c:v>452.5790603711511</c:v>
                </c:pt>
                <c:pt idx="82">
                  <c:v>399.3344650333685</c:v>
                </c:pt>
                <c:pt idx="83">
                  <c:v>346.0898696955862</c:v>
                </c:pt>
                <c:pt idx="84">
                  <c:v>292.8452743578036</c:v>
                </c:pt>
                <c:pt idx="85">
                  <c:v>239.6006790200213</c:v>
                </c:pt>
                <c:pt idx="86">
                  <c:v>186.3560836822387</c:v>
                </c:pt>
                <c:pt idx="87">
                  <c:v>133.1114883444563</c:v>
                </c:pt>
                <c:pt idx="88">
                  <c:v>79.86689300667376</c:v>
                </c:pt>
                <c:pt idx="89">
                  <c:v>26.62229766889118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1244.064195828822</c:v>
                </c:pt>
                <c:pt idx="61">
                  <c:v>3732.192587486467</c:v>
                </c:pt>
                <c:pt idx="62">
                  <c:v>6220.320979144112</c:v>
                </c:pt>
                <c:pt idx="63">
                  <c:v>8708.449370801758</c:v>
                </c:pt>
                <c:pt idx="64">
                  <c:v>11196.5777624594</c:v>
                </c:pt>
                <c:pt idx="65">
                  <c:v>13684.70615411705</c:v>
                </c:pt>
                <c:pt idx="66">
                  <c:v>16172.8345457747</c:v>
                </c:pt>
                <c:pt idx="67">
                  <c:v>18660.96293743234</c:v>
                </c:pt>
                <c:pt idx="68">
                  <c:v>21149.09132908998</c:v>
                </c:pt>
                <c:pt idx="69">
                  <c:v>23637.21972074763</c:v>
                </c:pt>
                <c:pt idx="70">
                  <c:v>26125.34811240527</c:v>
                </c:pt>
                <c:pt idx="71">
                  <c:v>28613.47650406292</c:v>
                </c:pt>
                <c:pt idx="72">
                  <c:v>31101.60489572056</c:v>
                </c:pt>
                <c:pt idx="73">
                  <c:v>33589.73328737821</c:v>
                </c:pt>
                <c:pt idx="74">
                  <c:v>36077.86167903585</c:v>
                </c:pt>
                <c:pt idx="75">
                  <c:v>38565.99007069349</c:v>
                </c:pt>
                <c:pt idx="76">
                  <c:v>41054.11846235114</c:v>
                </c:pt>
                <c:pt idx="77">
                  <c:v>43542.24685400878</c:v>
                </c:pt>
                <c:pt idx="78">
                  <c:v>46030.37524566643</c:v>
                </c:pt>
                <c:pt idx="79">
                  <c:v>48518.50363732407</c:v>
                </c:pt>
                <c:pt idx="80">
                  <c:v>51006.63202898172</c:v>
                </c:pt>
                <c:pt idx="81">
                  <c:v>53494.76042063937</c:v>
                </c:pt>
                <c:pt idx="82">
                  <c:v>55982.888812297</c:v>
                </c:pt>
                <c:pt idx="83">
                  <c:v>58471.01720395465</c:v>
                </c:pt>
                <c:pt idx="84">
                  <c:v>60959.1455956123</c:v>
                </c:pt>
                <c:pt idx="85">
                  <c:v>63447.27398726995</c:v>
                </c:pt>
                <c:pt idx="86">
                  <c:v>65935.4023789276</c:v>
                </c:pt>
                <c:pt idx="87">
                  <c:v>68423.53077058523</c:v>
                </c:pt>
                <c:pt idx="88">
                  <c:v>70911.65916224288</c:v>
                </c:pt>
                <c:pt idx="89">
                  <c:v>73399.78755390052</c:v>
                </c:pt>
                <c:pt idx="90">
                  <c:v>71089.38261878985</c:v>
                </c:pt>
                <c:pt idx="91">
                  <c:v>63980.44435691087</c:v>
                </c:pt>
                <c:pt idx="92">
                  <c:v>56871.50609503189</c:v>
                </c:pt>
                <c:pt idx="93">
                  <c:v>49762.5678331529</c:v>
                </c:pt>
                <c:pt idx="94">
                  <c:v>42653.62957127392</c:v>
                </c:pt>
                <c:pt idx="95">
                  <c:v>35544.69130939492</c:v>
                </c:pt>
                <c:pt idx="96">
                  <c:v>28435.75304751594</c:v>
                </c:pt>
                <c:pt idx="97">
                  <c:v>21326.81478563695</c:v>
                </c:pt>
                <c:pt idx="98">
                  <c:v>14217.87652375797</c:v>
                </c:pt>
                <c:pt idx="99">
                  <c:v>7108.938261878982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104.8416785835379</c:v>
                </c:pt>
                <c:pt idx="22">
                  <c:v>209.6833571670759</c:v>
                </c:pt>
                <c:pt idx="23">
                  <c:v>314.5250357506138</c:v>
                </c:pt>
                <c:pt idx="24">
                  <c:v>419.3667143341518</c:v>
                </c:pt>
                <c:pt idx="25">
                  <c:v>524.2083929176897</c:v>
                </c:pt>
                <c:pt idx="26">
                  <c:v>629.0500715012276</c:v>
                </c:pt>
                <c:pt idx="27">
                  <c:v>733.8917500847656</c:v>
                </c:pt>
                <c:pt idx="28">
                  <c:v>838.7334286683035</c:v>
                </c:pt>
                <c:pt idx="29">
                  <c:v>943.5751072518414</c:v>
                </c:pt>
                <c:pt idx="30">
                  <c:v>1048.416785835379</c:v>
                </c:pt>
                <c:pt idx="31">
                  <c:v>1153.258464418917</c:v>
                </c:pt>
                <c:pt idx="32">
                  <c:v>1258.100143002455</c:v>
                </c:pt>
                <c:pt idx="33">
                  <c:v>1362.941821585993</c:v>
                </c:pt>
                <c:pt idx="34">
                  <c:v>1467.783500169531</c:v>
                </c:pt>
                <c:pt idx="35">
                  <c:v>1572.62517875307</c:v>
                </c:pt>
                <c:pt idx="36">
                  <c:v>1677.466857336607</c:v>
                </c:pt>
                <c:pt idx="37">
                  <c:v>1782.308535920145</c:v>
                </c:pt>
                <c:pt idx="38">
                  <c:v>1887.150214503683</c:v>
                </c:pt>
                <c:pt idx="39">
                  <c:v>1991.991893087221</c:v>
                </c:pt>
                <c:pt idx="40">
                  <c:v>2096.833571670758</c:v>
                </c:pt>
                <c:pt idx="41">
                  <c:v>2201.675250254297</c:v>
                </c:pt>
                <c:pt idx="42">
                  <c:v>2306.516928837835</c:v>
                </c:pt>
                <c:pt idx="43">
                  <c:v>2411.358607421373</c:v>
                </c:pt>
                <c:pt idx="44">
                  <c:v>2516.200286004911</c:v>
                </c:pt>
                <c:pt idx="45">
                  <c:v>2621.041964588448</c:v>
                </c:pt>
                <c:pt idx="46">
                  <c:v>2725.883643171986</c:v>
                </c:pt>
                <c:pt idx="47">
                  <c:v>2830.725321755524</c:v>
                </c:pt>
                <c:pt idx="48">
                  <c:v>2935.567000339062</c:v>
                </c:pt>
                <c:pt idx="49">
                  <c:v>3040.4086789226</c:v>
                </c:pt>
                <c:pt idx="50">
                  <c:v>3145.250357506138</c:v>
                </c:pt>
                <c:pt idx="51">
                  <c:v>3250.092036089676</c:v>
                </c:pt>
                <c:pt idx="52">
                  <c:v>3354.933714673214</c:v>
                </c:pt>
                <c:pt idx="53">
                  <c:v>3459.775393256752</c:v>
                </c:pt>
                <c:pt idx="54">
                  <c:v>3564.61707184029</c:v>
                </c:pt>
                <c:pt idx="55">
                  <c:v>3669.458750423828</c:v>
                </c:pt>
                <c:pt idx="56">
                  <c:v>3774.300429007366</c:v>
                </c:pt>
                <c:pt idx="57">
                  <c:v>3879.142107590904</c:v>
                </c:pt>
                <c:pt idx="58">
                  <c:v>3983.983786174442</c:v>
                </c:pt>
                <c:pt idx="59">
                  <c:v>4088.82546475798</c:v>
                </c:pt>
                <c:pt idx="60">
                  <c:v>4072.225532315586</c:v>
                </c:pt>
                <c:pt idx="61">
                  <c:v>3934.183988847261</c:v>
                </c:pt>
                <c:pt idx="62">
                  <c:v>3796.142445378936</c:v>
                </c:pt>
                <c:pt idx="63">
                  <c:v>3658.100901910611</c:v>
                </c:pt>
                <c:pt idx="64">
                  <c:v>3520.059358442286</c:v>
                </c:pt>
                <c:pt idx="65">
                  <c:v>3382.017814973961</c:v>
                </c:pt>
                <c:pt idx="66">
                  <c:v>3243.976271505636</c:v>
                </c:pt>
                <c:pt idx="67">
                  <c:v>3105.934728037311</c:v>
                </c:pt>
                <c:pt idx="68">
                  <c:v>2967.893184568987</c:v>
                </c:pt>
                <c:pt idx="69">
                  <c:v>2829.851641100661</c:v>
                </c:pt>
                <c:pt idx="70">
                  <c:v>2691.810097632336</c:v>
                </c:pt>
                <c:pt idx="71">
                  <c:v>2553.768554164012</c:v>
                </c:pt>
                <c:pt idx="72">
                  <c:v>2415.727010695687</c:v>
                </c:pt>
                <c:pt idx="73">
                  <c:v>2277.685467227362</c:v>
                </c:pt>
                <c:pt idx="74">
                  <c:v>2139.643923759037</c:v>
                </c:pt>
                <c:pt idx="75">
                  <c:v>2001.602380290712</c:v>
                </c:pt>
                <c:pt idx="76">
                  <c:v>1863.560836822387</c:v>
                </c:pt>
                <c:pt idx="77">
                  <c:v>1725.519293354062</c:v>
                </c:pt>
                <c:pt idx="78">
                  <c:v>1587.477749885737</c:v>
                </c:pt>
                <c:pt idx="79">
                  <c:v>1449.436206417412</c:v>
                </c:pt>
                <c:pt idx="80">
                  <c:v>1311.394662949087</c:v>
                </c:pt>
                <c:pt idx="81">
                  <c:v>1173.353119480762</c:v>
                </c:pt>
                <c:pt idx="82">
                  <c:v>1035.311576012437</c:v>
                </c:pt>
                <c:pt idx="83">
                  <c:v>897.270032544112</c:v>
                </c:pt>
                <c:pt idx="84">
                  <c:v>759.2284890757873</c:v>
                </c:pt>
                <c:pt idx="85">
                  <c:v>621.1869456074623</c:v>
                </c:pt>
                <c:pt idx="86">
                  <c:v>483.1454021391373</c:v>
                </c:pt>
                <c:pt idx="87">
                  <c:v>345.1038586708123</c:v>
                </c:pt>
                <c:pt idx="88">
                  <c:v>207.0623152024873</c:v>
                </c:pt>
                <c:pt idx="89">
                  <c:v>69.02077173416228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2031.500524986835</c:v>
                </c:pt>
                <c:pt idx="1">
                  <c:v>2031.500524986835</c:v>
                </c:pt>
                <c:pt idx="2">
                  <c:v>2031.500524986835</c:v>
                </c:pt>
                <c:pt idx="3">
                  <c:v>2031.500524986835</c:v>
                </c:pt>
                <c:pt idx="4">
                  <c:v>2031.500524986835</c:v>
                </c:pt>
                <c:pt idx="5">
                  <c:v>2031.500524986835</c:v>
                </c:pt>
                <c:pt idx="6">
                  <c:v>2031.500524986835</c:v>
                </c:pt>
                <c:pt idx="7">
                  <c:v>2031.500524986835</c:v>
                </c:pt>
                <c:pt idx="8">
                  <c:v>2031.500524986835</c:v>
                </c:pt>
                <c:pt idx="9">
                  <c:v>2031.500524986835</c:v>
                </c:pt>
                <c:pt idx="10">
                  <c:v>2031.500524986835</c:v>
                </c:pt>
                <c:pt idx="11">
                  <c:v>2031.500524986835</c:v>
                </c:pt>
                <c:pt idx="12">
                  <c:v>2031.500524986835</c:v>
                </c:pt>
                <c:pt idx="13">
                  <c:v>2031.500524986835</c:v>
                </c:pt>
                <c:pt idx="14">
                  <c:v>2031.500524986835</c:v>
                </c:pt>
                <c:pt idx="15">
                  <c:v>2031.500524986835</c:v>
                </c:pt>
                <c:pt idx="16">
                  <c:v>2031.500524986835</c:v>
                </c:pt>
                <c:pt idx="17">
                  <c:v>2031.500524986835</c:v>
                </c:pt>
                <c:pt idx="18">
                  <c:v>2031.500524986835</c:v>
                </c:pt>
                <c:pt idx="19">
                  <c:v>2031.500524986835</c:v>
                </c:pt>
                <c:pt idx="20">
                  <c:v>2031.500524986835</c:v>
                </c:pt>
                <c:pt idx="21">
                  <c:v>2031.500524986835</c:v>
                </c:pt>
                <c:pt idx="22">
                  <c:v>2031.500524986835</c:v>
                </c:pt>
                <c:pt idx="23">
                  <c:v>2031.500524986835</c:v>
                </c:pt>
                <c:pt idx="24">
                  <c:v>2031.500524986835</c:v>
                </c:pt>
                <c:pt idx="25">
                  <c:v>2031.500524986835</c:v>
                </c:pt>
                <c:pt idx="26">
                  <c:v>2031.500524986835</c:v>
                </c:pt>
                <c:pt idx="27">
                  <c:v>2031.500524986835</c:v>
                </c:pt>
                <c:pt idx="28">
                  <c:v>2031.500524986835</c:v>
                </c:pt>
                <c:pt idx="29">
                  <c:v>2031.500524986835</c:v>
                </c:pt>
                <c:pt idx="30">
                  <c:v>2031.500524986835</c:v>
                </c:pt>
                <c:pt idx="31">
                  <c:v>2031.500524986835</c:v>
                </c:pt>
                <c:pt idx="32">
                  <c:v>2031.500524986835</c:v>
                </c:pt>
                <c:pt idx="33">
                  <c:v>2031.500524986835</c:v>
                </c:pt>
                <c:pt idx="34">
                  <c:v>2031.500524986835</c:v>
                </c:pt>
                <c:pt idx="35">
                  <c:v>2031.500524986835</c:v>
                </c:pt>
                <c:pt idx="36">
                  <c:v>2031.500524986835</c:v>
                </c:pt>
                <c:pt idx="37">
                  <c:v>2031.500524986835</c:v>
                </c:pt>
                <c:pt idx="38">
                  <c:v>2031.500524986835</c:v>
                </c:pt>
                <c:pt idx="39">
                  <c:v>2031.500524986835</c:v>
                </c:pt>
                <c:pt idx="40">
                  <c:v>2031.500524986835</c:v>
                </c:pt>
                <c:pt idx="41">
                  <c:v>2031.500524986835</c:v>
                </c:pt>
                <c:pt idx="42">
                  <c:v>2031.500524986835</c:v>
                </c:pt>
                <c:pt idx="43">
                  <c:v>2031.500524986835</c:v>
                </c:pt>
                <c:pt idx="44">
                  <c:v>2031.500524986835</c:v>
                </c:pt>
                <c:pt idx="45">
                  <c:v>2031.500524986835</c:v>
                </c:pt>
                <c:pt idx="46">
                  <c:v>2031.500524986835</c:v>
                </c:pt>
                <c:pt idx="47">
                  <c:v>2031.500524986835</c:v>
                </c:pt>
                <c:pt idx="48">
                  <c:v>2031.500524986835</c:v>
                </c:pt>
                <c:pt idx="49">
                  <c:v>2031.500524986835</c:v>
                </c:pt>
                <c:pt idx="50">
                  <c:v>2031.500524986835</c:v>
                </c:pt>
                <c:pt idx="51">
                  <c:v>2031.500524986835</c:v>
                </c:pt>
                <c:pt idx="52">
                  <c:v>2031.500524986835</c:v>
                </c:pt>
                <c:pt idx="53">
                  <c:v>2031.500524986835</c:v>
                </c:pt>
                <c:pt idx="54">
                  <c:v>2031.500524986835</c:v>
                </c:pt>
                <c:pt idx="55">
                  <c:v>2031.500524986835</c:v>
                </c:pt>
                <c:pt idx="56">
                  <c:v>2031.500524986835</c:v>
                </c:pt>
                <c:pt idx="57">
                  <c:v>2031.500524986835</c:v>
                </c:pt>
                <c:pt idx="58">
                  <c:v>2031.500524986835</c:v>
                </c:pt>
                <c:pt idx="59">
                  <c:v>2031.500524986835</c:v>
                </c:pt>
                <c:pt idx="60">
                  <c:v>2028.598381379711</c:v>
                </c:pt>
                <c:pt idx="61">
                  <c:v>2022.794094165463</c:v>
                </c:pt>
                <c:pt idx="62">
                  <c:v>2016.989806951215</c:v>
                </c:pt>
                <c:pt idx="63">
                  <c:v>2011.185519736967</c:v>
                </c:pt>
                <c:pt idx="64">
                  <c:v>2005.381232522719</c:v>
                </c:pt>
                <c:pt idx="65">
                  <c:v>1999.57694530847</c:v>
                </c:pt>
                <c:pt idx="66">
                  <c:v>1993.772658094222</c:v>
                </c:pt>
                <c:pt idx="67">
                  <c:v>1987.968370879974</c:v>
                </c:pt>
                <c:pt idx="68">
                  <c:v>1982.164083665726</c:v>
                </c:pt>
                <c:pt idx="69">
                  <c:v>1976.359796451478</c:v>
                </c:pt>
                <c:pt idx="70">
                  <c:v>1970.55550923723</c:v>
                </c:pt>
                <c:pt idx="71">
                  <c:v>1964.751222022982</c:v>
                </c:pt>
                <c:pt idx="72">
                  <c:v>1958.946934808734</c:v>
                </c:pt>
                <c:pt idx="73">
                  <c:v>1953.142647594486</c:v>
                </c:pt>
                <c:pt idx="74">
                  <c:v>1947.338360380237</c:v>
                </c:pt>
                <c:pt idx="75">
                  <c:v>1941.534073165989</c:v>
                </c:pt>
                <c:pt idx="76">
                  <c:v>1935.729785951741</c:v>
                </c:pt>
                <c:pt idx="77">
                  <c:v>1929.925498737493</c:v>
                </c:pt>
                <c:pt idx="78">
                  <c:v>1924.121211523245</c:v>
                </c:pt>
                <c:pt idx="79">
                  <c:v>1918.316924308997</c:v>
                </c:pt>
                <c:pt idx="80">
                  <c:v>1912.512637094749</c:v>
                </c:pt>
                <c:pt idx="81">
                  <c:v>1906.708349880501</c:v>
                </c:pt>
                <c:pt idx="82">
                  <c:v>1900.904062666253</c:v>
                </c:pt>
                <c:pt idx="83">
                  <c:v>1895.099775452004</c:v>
                </c:pt>
                <c:pt idx="84">
                  <c:v>1889.295488237756</c:v>
                </c:pt>
                <c:pt idx="85">
                  <c:v>1883.491201023508</c:v>
                </c:pt>
                <c:pt idx="86">
                  <c:v>1877.68691380926</c:v>
                </c:pt>
                <c:pt idx="87">
                  <c:v>1871.882626595012</c:v>
                </c:pt>
                <c:pt idx="88">
                  <c:v>1866.078339380764</c:v>
                </c:pt>
                <c:pt idx="89">
                  <c:v>1860.274052166516</c:v>
                </c:pt>
                <c:pt idx="90">
                  <c:v>1768.925627199421</c:v>
                </c:pt>
                <c:pt idx="91">
                  <c:v>1592.033064479479</c:v>
                </c:pt>
                <c:pt idx="92">
                  <c:v>1415.140501759537</c:v>
                </c:pt>
                <c:pt idx="93">
                  <c:v>1238.247939039595</c:v>
                </c:pt>
                <c:pt idx="94">
                  <c:v>1061.355376319652</c:v>
                </c:pt>
                <c:pt idx="95">
                  <c:v>884.4628135997104</c:v>
                </c:pt>
                <c:pt idx="96">
                  <c:v>707.5702508797683</c:v>
                </c:pt>
                <c:pt idx="97">
                  <c:v>530.6776881598261</c:v>
                </c:pt>
                <c:pt idx="98">
                  <c:v>353.7851254398843</c:v>
                </c:pt>
                <c:pt idx="99">
                  <c:v>176.8925627199421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31716.03062287244</c:v>
                </c:pt>
                <c:pt idx="1">
                  <c:v>31716.03062287244</c:v>
                </c:pt>
                <c:pt idx="2">
                  <c:v>31716.03062287244</c:v>
                </c:pt>
                <c:pt idx="3">
                  <c:v>31716.03062287244</c:v>
                </c:pt>
                <c:pt idx="4">
                  <c:v>31716.03062287244</c:v>
                </c:pt>
                <c:pt idx="5">
                  <c:v>31716.03062287244</c:v>
                </c:pt>
                <c:pt idx="6">
                  <c:v>31716.03062287244</c:v>
                </c:pt>
                <c:pt idx="7">
                  <c:v>31716.03062287244</c:v>
                </c:pt>
                <c:pt idx="8">
                  <c:v>31716.03062287244</c:v>
                </c:pt>
                <c:pt idx="9">
                  <c:v>31716.03062287244</c:v>
                </c:pt>
                <c:pt idx="10">
                  <c:v>31716.03062287244</c:v>
                </c:pt>
                <c:pt idx="11">
                  <c:v>31716.03062287244</c:v>
                </c:pt>
                <c:pt idx="12">
                  <c:v>31716.03062287244</c:v>
                </c:pt>
                <c:pt idx="13">
                  <c:v>31716.03062287244</c:v>
                </c:pt>
                <c:pt idx="14">
                  <c:v>31716.03062287244</c:v>
                </c:pt>
                <c:pt idx="15">
                  <c:v>31716.03062287244</c:v>
                </c:pt>
                <c:pt idx="16">
                  <c:v>31716.03062287244</c:v>
                </c:pt>
                <c:pt idx="17">
                  <c:v>31716.03062287244</c:v>
                </c:pt>
                <c:pt idx="18">
                  <c:v>31716.03062287244</c:v>
                </c:pt>
                <c:pt idx="19">
                  <c:v>31716.03062287244</c:v>
                </c:pt>
                <c:pt idx="20">
                  <c:v>31716.03062287244</c:v>
                </c:pt>
                <c:pt idx="21">
                  <c:v>31721.19781988834</c:v>
                </c:pt>
                <c:pt idx="22">
                  <c:v>31726.36501690424</c:v>
                </c:pt>
                <c:pt idx="23">
                  <c:v>31731.53221392015</c:v>
                </c:pt>
                <c:pt idx="24">
                  <c:v>31736.69941093605</c:v>
                </c:pt>
                <c:pt idx="25">
                  <c:v>31741.86660795195</c:v>
                </c:pt>
                <c:pt idx="26">
                  <c:v>31747.03380496785</c:v>
                </c:pt>
                <c:pt idx="27">
                  <c:v>31752.20100198376</c:v>
                </c:pt>
                <c:pt idx="28">
                  <c:v>31757.36819899966</c:v>
                </c:pt>
                <c:pt idx="29">
                  <c:v>31762.53539601556</c:v>
                </c:pt>
                <c:pt idx="30">
                  <c:v>31767.70259303147</c:v>
                </c:pt>
                <c:pt idx="31">
                  <c:v>31772.86979004737</c:v>
                </c:pt>
                <c:pt idx="32">
                  <c:v>31778.03698706327</c:v>
                </c:pt>
                <c:pt idx="33">
                  <c:v>31783.20418407918</c:v>
                </c:pt>
                <c:pt idx="34">
                  <c:v>31788.37138109508</c:v>
                </c:pt>
                <c:pt idx="35">
                  <c:v>31793.53857811098</c:v>
                </c:pt>
                <c:pt idx="36">
                  <c:v>31798.70577512688</c:v>
                </c:pt>
                <c:pt idx="37">
                  <c:v>31803.87297214278</c:v>
                </c:pt>
                <c:pt idx="38">
                  <c:v>31809.04016915869</c:v>
                </c:pt>
                <c:pt idx="39">
                  <c:v>31814.20736617459</c:v>
                </c:pt>
                <c:pt idx="40">
                  <c:v>31819.37456319049</c:v>
                </c:pt>
                <c:pt idx="41">
                  <c:v>31824.5417602064</c:v>
                </c:pt>
                <c:pt idx="42">
                  <c:v>31829.7089572223</c:v>
                </c:pt>
                <c:pt idx="43">
                  <c:v>31834.8761542382</c:v>
                </c:pt>
                <c:pt idx="44">
                  <c:v>31840.04335125411</c:v>
                </c:pt>
                <c:pt idx="45">
                  <c:v>31845.21054827001</c:v>
                </c:pt>
                <c:pt idx="46">
                  <c:v>31850.37774528591</c:v>
                </c:pt>
                <c:pt idx="47">
                  <c:v>31855.54494230181</c:v>
                </c:pt>
                <c:pt idx="48">
                  <c:v>31860.71213931771</c:v>
                </c:pt>
                <c:pt idx="49">
                  <c:v>31865.87933633362</c:v>
                </c:pt>
                <c:pt idx="50">
                  <c:v>31871.04653334952</c:v>
                </c:pt>
                <c:pt idx="51">
                  <c:v>31876.21373036542</c:v>
                </c:pt>
                <c:pt idx="52">
                  <c:v>31881.38092738133</c:v>
                </c:pt>
                <c:pt idx="53">
                  <c:v>31886.54812439723</c:v>
                </c:pt>
                <c:pt idx="54">
                  <c:v>31891.71532141313</c:v>
                </c:pt>
                <c:pt idx="55">
                  <c:v>31896.88251842904</c:v>
                </c:pt>
                <c:pt idx="56">
                  <c:v>31902.04971544494</c:v>
                </c:pt>
                <c:pt idx="57">
                  <c:v>31907.21691246084</c:v>
                </c:pt>
                <c:pt idx="58">
                  <c:v>31912.38410947674</c:v>
                </c:pt>
                <c:pt idx="59">
                  <c:v>31917.55130649265</c:v>
                </c:pt>
                <c:pt idx="60">
                  <c:v>31949.65184932079</c:v>
                </c:pt>
                <c:pt idx="61">
                  <c:v>32008.68573796117</c:v>
                </c:pt>
                <c:pt idx="62">
                  <c:v>32067.71962660156</c:v>
                </c:pt>
                <c:pt idx="63">
                  <c:v>32126.75351524194</c:v>
                </c:pt>
                <c:pt idx="64">
                  <c:v>32185.78740388232</c:v>
                </c:pt>
                <c:pt idx="65">
                  <c:v>32244.82129252271</c:v>
                </c:pt>
                <c:pt idx="66">
                  <c:v>32303.85518116309</c:v>
                </c:pt>
                <c:pt idx="67">
                  <c:v>32362.88906980347</c:v>
                </c:pt>
                <c:pt idx="68">
                  <c:v>32421.92295844385</c:v>
                </c:pt>
                <c:pt idx="69">
                  <c:v>32480.95684708424</c:v>
                </c:pt>
                <c:pt idx="70">
                  <c:v>32539.99073572461</c:v>
                </c:pt>
                <c:pt idx="71">
                  <c:v>32599.024624365</c:v>
                </c:pt>
                <c:pt idx="72">
                  <c:v>32658.05851300538</c:v>
                </c:pt>
                <c:pt idx="73">
                  <c:v>32717.09240164577</c:v>
                </c:pt>
                <c:pt idx="74">
                  <c:v>32776.12629028615</c:v>
                </c:pt>
                <c:pt idx="75">
                  <c:v>32835.16017892653</c:v>
                </c:pt>
                <c:pt idx="76">
                  <c:v>32894.19406756692</c:v>
                </c:pt>
                <c:pt idx="77">
                  <c:v>32953.2279562073</c:v>
                </c:pt>
                <c:pt idx="78">
                  <c:v>33012.26184484769</c:v>
                </c:pt>
                <c:pt idx="79">
                  <c:v>33071.29573348806</c:v>
                </c:pt>
                <c:pt idx="80">
                  <c:v>33130.32962212845</c:v>
                </c:pt>
                <c:pt idx="81">
                  <c:v>33189.36351076883</c:v>
                </c:pt>
                <c:pt idx="82">
                  <c:v>33248.39739940922</c:v>
                </c:pt>
                <c:pt idx="83">
                  <c:v>33307.4312880496</c:v>
                </c:pt>
                <c:pt idx="84">
                  <c:v>33366.46517668998</c:v>
                </c:pt>
                <c:pt idx="85">
                  <c:v>33425.49906533036</c:v>
                </c:pt>
                <c:pt idx="86">
                  <c:v>33484.53295397075</c:v>
                </c:pt>
                <c:pt idx="87">
                  <c:v>33543.56684261113</c:v>
                </c:pt>
                <c:pt idx="88">
                  <c:v>33602.60073125151</c:v>
                </c:pt>
                <c:pt idx="89">
                  <c:v>33661.6346198919</c:v>
                </c:pt>
                <c:pt idx="90">
                  <c:v>32086.81101353532</c:v>
                </c:pt>
                <c:pt idx="91">
                  <c:v>28878.12991218179</c:v>
                </c:pt>
                <c:pt idx="92">
                  <c:v>25669.44881082825</c:v>
                </c:pt>
                <c:pt idx="93">
                  <c:v>22460.76770947473</c:v>
                </c:pt>
                <c:pt idx="94">
                  <c:v>19252.0866081212</c:v>
                </c:pt>
                <c:pt idx="95">
                  <c:v>16043.40550676766</c:v>
                </c:pt>
                <c:pt idx="96">
                  <c:v>12834.72440541413</c:v>
                </c:pt>
                <c:pt idx="97">
                  <c:v>9626.043304060597</c:v>
                </c:pt>
                <c:pt idx="98">
                  <c:v>6417.362202707063</c:v>
                </c:pt>
                <c:pt idx="99">
                  <c:v>3208.681101353533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2324808"/>
        <c:axId val="-2059489320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33489.86731665794</c:v>
                </c:pt>
                <c:pt idx="1">
                  <c:v>33489.86731665794</c:v>
                </c:pt>
                <c:pt idx="2">
                  <c:v>33489.86731665794</c:v>
                </c:pt>
                <c:pt idx="3">
                  <c:v>33489.86731665794</c:v>
                </c:pt>
                <c:pt idx="4">
                  <c:v>33489.86731665794</c:v>
                </c:pt>
                <c:pt idx="5">
                  <c:v>33489.86731665794</c:v>
                </c:pt>
                <c:pt idx="6">
                  <c:v>33489.86731665794</c:v>
                </c:pt>
                <c:pt idx="7">
                  <c:v>33489.86731665794</c:v>
                </c:pt>
                <c:pt idx="8">
                  <c:v>33489.86731665794</c:v>
                </c:pt>
                <c:pt idx="9">
                  <c:v>33489.86731665794</c:v>
                </c:pt>
                <c:pt idx="10">
                  <c:v>33489.86731665794</c:v>
                </c:pt>
                <c:pt idx="11">
                  <c:v>33489.86731665794</c:v>
                </c:pt>
                <c:pt idx="12">
                  <c:v>33489.86731665794</c:v>
                </c:pt>
                <c:pt idx="13">
                  <c:v>33489.86731665794</c:v>
                </c:pt>
                <c:pt idx="14">
                  <c:v>33489.86731665794</c:v>
                </c:pt>
                <c:pt idx="15">
                  <c:v>33489.86731665794</c:v>
                </c:pt>
                <c:pt idx="16">
                  <c:v>33489.86731665794</c:v>
                </c:pt>
                <c:pt idx="17">
                  <c:v>33489.86731665794</c:v>
                </c:pt>
                <c:pt idx="18">
                  <c:v>33489.86731665794</c:v>
                </c:pt>
                <c:pt idx="19">
                  <c:v>33489.86731665794</c:v>
                </c:pt>
                <c:pt idx="20">
                  <c:v>33489.86731665794</c:v>
                </c:pt>
                <c:pt idx="21">
                  <c:v>33489.86731665794</c:v>
                </c:pt>
                <c:pt idx="22">
                  <c:v>33489.86731665794</c:v>
                </c:pt>
                <c:pt idx="23">
                  <c:v>33489.86731665794</c:v>
                </c:pt>
                <c:pt idx="24">
                  <c:v>33489.86731665794</c:v>
                </c:pt>
                <c:pt idx="25">
                  <c:v>33489.86731665794</c:v>
                </c:pt>
                <c:pt idx="26">
                  <c:v>33489.86731665794</c:v>
                </c:pt>
                <c:pt idx="27">
                  <c:v>33489.86731665794</c:v>
                </c:pt>
                <c:pt idx="28">
                  <c:v>33489.86731665794</c:v>
                </c:pt>
                <c:pt idx="29">
                  <c:v>33489.86731665794</c:v>
                </c:pt>
                <c:pt idx="30">
                  <c:v>33489.86731665794</c:v>
                </c:pt>
                <c:pt idx="31">
                  <c:v>33489.86731665794</c:v>
                </c:pt>
                <c:pt idx="32">
                  <c:v>33489.86731665794</c:v>
                </c:pt>
                <c:pt idx="33">
                  <c:v>33489.86731665794</c:v>
                </c:pt>
                <c:pt idx="34">
                  <c:v>33489.86731665794</c:v>
                </c:pt>
                <c:pt idx="35">
                  <c:v>33489.86731665794</c:v>
                </c:pt>
                <c:pt idx="36">
                  <c:v>33489.86731665794</c:v>
                </c:pt>
                <c:pt idx="37">
                  <c:v>33489.86731665794</c:v>
                </c:pt>
                <c:pt idx="38">
                  <c:v>33489.86731665794</c:v>
                </c:pt>
                <c:pt idx="39">
                  <c:v>33489.86731665794</c:v>
                </c:pt>
                <c:pt idx="40">
                  <c:v>33489.86731665793</c:v>
                </c:pt>
                <c:pt idx="41">
                  <c:v>33489.86731665793</c:v>
                </c:pt>
                <c:pt idx="42">
                  <c:v>33489.86731665793</c:v>
                </c:pt>
                <c:pt idx="43">
                  <c:v>33489.86731665793</c:v>
                </c:pt>
                <c:pt idx="44">
                  <c:v>33489.86731665793</c:v>
                </c:pt>
                <c:pt idx="45">
                  <c:v>33489.86731665793</c:v>
                </c:pt>
                <c:pt idx="46">
                  <c:v>33489.86731665793</c:v>
                </c:pt>
                <c:pt idx="47">
                  <c:v>33489.86731665793</c:v>
                </c:pt>
                <c:pt idx="48">
                  <c:v>33489.86731665793</c:v>
                </c:pt>
                <c:pt idx="49">
                  <c:v>33489.86731665793</c:v>
                </c:pt>
                <c:pt idx="50">
                  <c:v>33489.86731665793</c:v>
                </c:pt>
                <c:pt idx="51">
                  <c:v>33489.86731665793</c:v>
                </c:pt>
                <c:pt idx="52">
                  <c:v>33489.86731665793</c:v>
                </c:pt>
                <c:pt idx="53">
                  <c:v>33489.86731665793</c:v>
                </c:pt>
                <c:pt idx="54">
                  <c:v>33489.86731665793</c:v>
                </c:pt>
                <c:pt idx="55">
                  <c:v>33489.86731665793</c:v>
                </c:pt>
                <c:pt idx="56">
                  <c:v>33489.86731665793</c:v>
                </c:pt>
                <c:pt idx="57">
                  <c:v>33489.86731665793</c:v>
                </c:pt>
                <c:pt idx="58">
                  <c:v>33489.86731665793</c:v>
                </c:pt>
                <c:pt idx="59">
                  <c:v>33489.86731665793</c:v>
                </c:pt>
                <c:pt idx="60">
                  <c:v>33489.86731665793</c:v>
                </c:pt>
                <c:pt idx="61">
                  <c:v>33489.86731665793</c:v>
                </c:pt>
                <c:pt idx="62">
                  <c:v>33489.86731665793</c:v>
                </c:pt>
                <c:pt idx="63">
                  <c:v>33489.86731665793</c:v>
                </c:pt>
                <c:pt idx="64">
                  <c:v>33489.86731665793</c:v>
                </c:pt>
                <c:pt idx="65">
                  <c:v>33489.86731665793</c:v>
                </c:pt>
                <c:pt idx="66">
                  <c:v>33489.86731665793</c:v>
                </c:pt>
                <c:pt idx="67">
                  <c:v>33489.86731665793</c:v>
                </c:pt>
                <c:pt idx="68">
                  <c:v>33489.86731665793</c:v>
                </c:pt>
                <c:pt idx="69">
                  <c:v>33489.86731665793</c:v>
                </c:pt>
                <c:pt idx="70">
                  <c:v>33489.86731665793</c:v>
                </c:pt>
                <c:pt idx="71">
                  <c:v>33489.86731665793</c:v>
                </c:pt>
                <c:pt idx="72">
                  <c:v>33489.86731665793</c:v>
                </c:pt>
                <c:pt idx="73">
                  <c:v>33489.86731665793</c:v>
                </c:pt>
                <c:pt idx="74">
                  <c:v>33489.86731665793</c:v>
                </c:pt>
                <c:pt idx="75">
                  <c:v>33489.86731665793</c:v>
                </c:pt>
                <c:pt idx="76">
                  <c:v>33489.86731665793</c:v>
                </c:pt>
                <c:pt idx="77">
                  <c:v>33489.86731665793</c:v>
                </c:pt>
                <c:pt idx="78">
                  <c:v>33489.86731665793</c:v>
                </c:pt>
                <c:pt idx="79">
                  <c:v>33489.86731665794</c:v>
                </c:pt>
                <c:pt idx="80">
                  <c:v>33489.86731665794</c:v>
                </c:pt>
                <c:pt idx="81">
                  <c:v>33489.86731665794</c:v>
                </c:pt>
                <c:pt idx="82">
                  <c:v>33489.86731665794</c:v>
                </c:pt>
                <c:pt idx="83">
                  <c:v>33489.86731665794</c:v>
                </c:pt>
                <c:pt idx="84">
                  <c:v>33489.86731665794</c:v>
                </c:pt>
                <c:pt idx="85">
                  <c:v>33489.86731665794</c:v>
                </c:pt>
                <c:pt idx="86">
                  <c:v>33489.86731665794</c:v>
                </c:pt>
                <c:pt idx="87">
                  <c:v>33489.86731665794</c:v>
                </c:pt>
                <c:pt idx="88">
                  <c:v>33489.86731665794</c:v>
                </c:pt>
                <c:pt idx="89">
                  <c:v>33489.86731665794</c:v>
                </c:pt>
                <c:pt idx="90">
                  <c:v>33489.86731665794</c:v>
                </c:pt>
                <c:pt idx="91">
                  <c:v>33489.86731665794</c:v>
                </c:pt>
                <c:pt idx="92">
                  <c:v>33489.86731665794</c:v>
                </c:pt>
                <c:pt idx="93">
                  <c:v>33489.86731665794</c:v>
                </c:pt>
                <c:pt idx="94">
                  <c:v>33489.86731665794</c:v>
                </c:pt>
                <c:pt idx="95">
                  <c:v>33489.86731665794</c:v>
                </c:pt>
                <c:pt idx="96">
                  <c:v>33489.86731665794</c:v>
                </c:pt>
                <c:pt idx="97">
                  <c:v>33489.86731665794</c:v>
                </c:pt>
                <c:pt idx="98">
                  <c:v>33489.86731665794</c:v>
                </c:pt>
                <c:pt idx="99">
                  <c:v>33489.86731665794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55686.94282581465</c:v>
                </c:pt>
                <c:pt idx="1">
                  <c:v>55346.68282581464</c:v>
                </c:pt>
                <c:pt idx="2">
                  <c:v>55006.42282581465</c:v>
                </c:pt>
                <c:pt idx="3">
                  <c:v>54666.16282581464</c:v>
                </c:pt>
                <c:pt idx="4">
                  <c:v>54325.90282581464</c:v>
                </c:pt>
                <c:pt idx="5">
                  <c:v>53985.64282581465</c:v>
                </c:pt>
                <c:pt idx="6">
                  <c:v>53645.38282581465</c:v>
                </c:pt>
                <c:pt idx="7">
                  <c:v>53305.12282581464</c:v>
                </c:pt>
                <c:pt idx="8">
                  <c:v>52964.86282581465</c:v>
                </c:pt>
                <c:pt idx="9">
                  <c:v>52624.60282581464</c:v>
                </c:pt>
                <c:pt idx="10">
                  <c:v>52284.34282581465</c:v>
                </c:pt>
                <c:pt idx="11">
                  <c:v>51944.08282581464</c:v>
                </c:pt>
                <c:pt idx="12">
                  <c:v>51603.82282581464</c:v>
                </c:pt>
                <c:pt idx="13">
                  <c:v>51263.56282581465</c:v>
                </c:pt>
                <c:pt idx="14">
                  <c:v>50923.30282581464</c:v>
                </c:pt>
                <c:pt idx="15">
                  <c:v>50583.04282581464</c:v>
                </c:pt>
                <c:pt idx="16">
                  <c:v>50242.78282581465</c:v>
                </c:pt>
                <c:pt idx="17">
                  <c:v>49902.52282581465</c:v>
                </c:pt>
                <c:pt idx="18">
                  <c:v>49562.26282581464</c:v>
                </c:pt>
                <c:pt idx="19">
                  <c:v>49222.00282581465</c:v>
                </c:pt>
                <c:pt idx="20">
                  <c:v>48881.74282581464</c:v>
                </c:pt>
                <c:pt idx="21">
                  <c:v>49157.56591906094</c:v>
                </c:pt>
                <c:pt idx="22">
                  <c:v>49433.38901230725</c:v>
                </c:pt>
                <c:pt idx="23">
                  <c:v>49709.21210555355</c:v>
                </c:pt>
                <c:pt idx="24">
                  <c:v>49985.03519879986</c:v>
                </c:pt>
                <c:pt idx="25">
                  <c:v>50260.85829204616</c:v>
                </c:pt>
                <c:pt idx="26">
                  <c:v>50536.68138529247</c:v>
                </c:pt>
                <c:pt idx="27">
                  <c:v>50812.50447853877</c:v>
                </c:pt>
                <c:pt idx="28">
                  <c:v>51088.32757178507</c:v>
                </c:pt>
                <c:pt idx="29">
                  <c:v>51364.15066503137</c:v>
                </c:pt>
                <c:pt idx="30">
                  <c:v>51639.97375827768</c:v>
                </c:pt>
                <c:pt idx="31">
                  <c:v>51915.79685152398</c:v>
                </c:pt>
                <c:pt idx="32">
                  <c:v>52191.61994477028</c:v>
                </c:pt>
                <c:pt idx="33">
                  <c:v>52467.44303801658</c:v>
                </c:pt>
                <c:pt idx="34">
                  <c:v>52743.26613126289</c:v>
                </c:pt>
                <c:pt idx="35">
                  <c:v>53019.0892245092</c:v>
                </c:pt>
                <c:pt idx="36">
                  <c:v>53294.9123177555</c:v>
                </c:pt>
                <c:pt idx="37">
                  <c:v>53570.73541100181</c:v>
                </c:pt>
                <c:pt idx="38">
                  <c:v>53846.5585042481</c:v>
                </c:pt>
                <c:pt idx="39">
                  <c:v>54122.3815974944</c:v>
                </c:pt>
                <c:pt idx="40">
                  <c:v>54398.20469074071</c:v>
                </c:pt>
                <c:pt idx="41">
                  <c:v>54674.02778398702</c:v>
                </c:pt>
                <c:pt idx="42">
                  <c:v>54949.85087723331</c:v>
                </c:pt>
                <c:pt idx="43">
                  <c:v>55225.67397047962</c:v>
                </c:pt>
                <c:pt idx="44">
                  <c:v>55501.49706372592</c:v>
                </c:pt>
                <c:pt idx="45">
                  <c:v>55777.32015697223</c:v>
                </c:pt>
                <c:pt idx="46">
                  <c:v>56053.14325021853</c:v>
                </c:pt>
                <c:pt idx="47">
                  <c:v>56328.96634346484</c:v>
                </c:pt>
                <c:pt idx="48">
                  <c:v>56604.78943671114</c:v>
                </c:pt>
                <c:pt idx="49">
                  <c:v>56880.61252995745</c:v>
                </c:pt>
                <c:pt idx="50">
                  <c:v>57156.43562320374</c:v>
                </c:pt>
                <c:pt idx="51">
                  <c:v>57432.25871645004</c:v>
                </c:pt>
                <c:pt idx="52">
                  <c:v>57708.08180969635</c:v>
                </c:pt>
                <c:pt idx="53">
                  <c:v>57983.90490294266</c:v>
                </c:pt>
                <c:pt idx="54">
                  <c:v>58259.72799618896</c:v>
                </c:pt>
                <c:pt idx="55">
                  <c:v>58535.55108943526</c:v>
                </c:pt>
                <c:pt idx="56">
                  <c:v>58811.37418268157</c:v>
                </c:pt>
                <c:pt idx="57">
                  <c:v>59087.19727592787</c:v>
                </c:pt>
                <c:pt idx="58">
                  <c:v>59363.02036917417</c:v>
                </c:pt>
                <c:pt idx="59">
                  <c:v>59638.84346242047</c:v>
                </c:pt>
                <c:pt idx="60">
                  <c:v>61077.52175236302</c:v>
                </c:pt>
                <c:pt idx="61">
                  <c:v>63679.05523900181</c:v>
                </c:pt>
                <c:pt idx="62">
                  <c:v>66280.5887256406</c:v>
                </c:pt>
                <c:pt idx="63">
                  <c:v>68882.12221227938</c:v>
                </c:pt>
                <c:pt idx="64">
                  <c:v>71483.65569891818</c:v>
                </c:pt>
                <c:pt idx="65">
                  <c:v>74085.18918555697</c:v>
                </c:pt>
                <c:pt idx="66">
                  <c:v>76686.72267219576</c:v>
                </c:pt>
                <c:pt idx="67">
                  <c:v>79288.25615883454</c:v>
                </c:pt>
                <c:pt idx="68">
                  <c:v>81889.78964547334</c:v>
                </c:pt>
                <c:pt idx="69">
                  <c:v>84491.32313211213</c:v>
                </c:pt>
                <c:pt idx="70">
                  <c:v>87092.8566187509</c:v>
                </c:pt>
                <c:pt idx="71">
                  <c:v>89694.3901053897</c:v>
                </c:pt>
                <c:pt idx="72">
                  <c:v>92295.92359202848</c:v>
                </c:pt>
                <c:pt idx="73">
                  <c:v>94897.45707866728</c:v>
                </c:pt>
                <c:pt idx="74">
                  <c:v>97498.99056530607</c:v>
                </c:pt>
                <c:pt idx="75">
                  <c:v>100100.5240519449</c:v>
                </c:pt>
                <c:pt idx="76">
                  <c:v>102702.0575385837</c:v>
                </c:pt>
                <c:pt idx="77">
                  <c:v>105303.5910252224</c:v>
                </c:pt>
                <c:pt idx="78">
                  <c:v>107905.1245118612</c:v>
                </c:pt>
                <c:pt idx="79">
                  <c:v>110506.6579985</c:v>
                </c:pt>
                <c:pt idx="80">
                  <c:v>113108.1914851388</c:v>
                </c:pt>
                <c:pt idx="81">
                  <c:v>115709.7249717776</c:v>
                </c:pt>
                <c:pt idx="82">
                  <c:v>118311.2584584164</c:v>
                </c:pt>
                <c:pt idx="83">
                  <c:v>120912.7919450552</c:v>
                </c:pt>
                <c:pt idx="84">
                  <c:v>123514.325431694</c:v>
                </c:pt>
                <c:pt idx="85">
                  <c:v>126115.8589183328</c:v>
                </c:pt>
                <c:pt idx="86">
                  <c:v>128717.3924049715</c:v>
                </c:pt>
                <c:pt idx="87">
                  <c:v>131318.9258916103</c:v>
                </c:pt>
                <c:pt idx="88">
                  <c:v>133920.4593782491</c:v>
                </c:pt>
                <c:pt idx="89">
                  <c:v>136521.9928648879</c:v>
                </c:pt>
                <c:pt idx="90">
                  <c:v>131259.7710554355</c:v>
                </c:pt>
                <c:pt idx="91">
                  <c:v>118133.793949892</c:v>
                </c:pt>
                <c:pt idx="92">
                  <c:v>105007.8168443484</c:v>
                </c:pt>
                <c:pt idx="93">
                  <c:v>91881.83973880487</c:v>
                </c:pt>
                <c:pt idx="94">
                  <c:v>78755.86263326132</c:v>
                </c:pt>
                <c:pt idx="95">
                  <c:v>65629.88552771776</c:v>
                </c:pt>
                <c:pt idx="96">
                  <c:v>52503.90842217422</c:v>
                </c:pt>
                <c:pt idx="97">
                  <c:v>39377.93131663066</c:v>
                </c:pt>
                <c:pt idx="98">
                  <c:v>26251.95421108711</c:v>
                </c:pt>
                <c:pt idx="99">
                  <c:v>13125.97710554355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324808"/>
        <c:axId val="-2059489320"/>
      </c:lineChart>
      <c:catAx>
        <c:axId val="-2042324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948932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5948932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2324808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1761080"/>
        <c:axId val="-2014520536"/>
      </c:barChart>
      <c:catAx>
        <c:axId val="-2041761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4520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4520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17610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0.0375404234122042</c:v>
                </c:pt>
                <c:pt idx="1">
                  <c:v>0.00750808468244084</c:v>
                </c:pt>
                <c:pt idx="2">
                  <c:v>0.00750808468244084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0.0202651482721046</c:v>
                </c:pt>
                <c:pt idx="1">
                  <c:v>0.00405302965442092</c:v>
                </c:pt>
                <c:pt idx="2">
                  <c:v>0.00405302965442092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0.0333333333333333</c:v>
                </c:pt>
                <c:pt idx="1">
                  <c:v>0.00666666666666667</c:v>
                </c:pt>
                <c:pt idx="2">
                  <c:v>0.00666666666666667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0.106462294520548</c:v>
                </c:pt>
                <c:pt idx="1">
                  <c:v>0.0319386883561644</c:v>
                </c:pt>
                <c:pt idx="2">
                  <c:v>0.0319386883561644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0.0276176292029888</c:v>
                </c:pt>
                <c:pt idx="1">
                  <c:v>0.00552352584059776</c:v>
                </c:pt>
                <c:pt idx="2">
                  <c:v>0.00552352584059776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0.00374752490660025</c:v>
                </c:pt>
                <c:pt idx="1">
                  <c:v>0.00074950498132005</c:v>
                </c:pt>
                <c:pt idx="2">
                  <c:v>0.00074950498132005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0.00366605697384807</c:v>
                </c:pt>
                <c:pt idx="1">
                  <c:v>0.000733211394769614</c:v>
                </c:pt>
                <c:pt idx="2">
                  <c:v>0.000733211394769614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0.00132977895392279</c:v>
                </c:pt>
                <c:pt idx="1">
                  <c:v>0.000265955790784558</c:v>
                </c:pt>
                <c:pt idx="2">
                  <c:v>0.000299270729837266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0.00508359900373599</c:v>
                </c:pt>
                <c:pt idx="1">
                  <c:v>0.0010167198007472</c:v>
                </c:pt>
                <c:pt idx="2">
                  <c:v>0.0010167198007472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0.00987702366127023</c:v>
                </c:pt>
                <c:pt idx="1">
                  <c:v>0.00987702366127023</c:v>
                </c:pt>
                <c:pt idx="2">
                  <c:v>0.0116297872457597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0.148809523809524</c:v>
                </c:pt>
                <c:pt idx="1">
                  <c:v>0.148809523809524</c:v>
                </c:pt>
                <c:pt idx="2">
                  <c:v>0.148809523809524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0.168863472291407</c:v>
                </c:pt>
                <c:pt idx="1">
                  <c:v>0.168863472291407</c:v>
                </c:pt>
                <c:pt idx="2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0.586379458468244</c:v>
                </c:pt>
                <c:pt idx="1">
                  <c:v>0.266365615201263</c:v>
                </c:pt>
                <c:pt idx="2">
                  <c:v>0.556435212895755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4684904"/>
        <c:axId val="-2014681608"/>
      </c:barChart>
      <c:catAx>
        <c:axId val="-2014684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4681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4681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46849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0.0114873695641345</c:v>
                </c:pt>
                <c:pt idx="1">
                  <c:v>0.0114873695641345</c:v>
                </c:pt>
                <c:pt idx="2">
                  <c:v>0.0222990115068493</c:v>
                </c:pt>
                <c:pt idx="3">
                  <c:v>0.0222990115068493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0.0324242372353674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0.0266666666666667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0.177437157534247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0.0110470516811955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0.00059960398505604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0.0031440104607721</c:v>
                </c:pt>
                <c:pt idx="3">
                  <c:v>0.00154854246575342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0.00218555417185554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0.0150943785803238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0.00179392387920299</c:v>
                </c:pt>
                <c:pt idx="1">
                  <c:v>0.00179392387920299</c:v>
                </c:pt>
                <c:pt idx="2">
                  <c:v>0.00179392387920299</c:v>
                </c:pt>
                <c:pt idx="3">
                  <c:v>0.00179392387920299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0.00156444582814446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0.001196069173599</c:v>
                </c:pt>
                <c:pt idx="1">
                  <c:v>0.000717804179327522</c:v>
                </c:pt>
                <c:pt idx="2">
                  <c:v>0.000956936676463262</c:v>
                </c:pt>
                <c:pt idx="3">
                  <c:v>0.001196069173599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0.339015800569045</c:v>
                </c:pt>
                <c:pt idx="1">
                  <c:v>0.547345103442816</c:v>
                </c:pt>
                <c:pt idx="2">
                  <c:v>0.545740005912116</c:v>
                </c:pt>
                <c:pt idx="3">
                  <c:v>0.680990124306248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7741272"/>
        <c:axId val="-2139653272"/>
      </c:barChart>
      <c:catAx>
        <c:axId val="-201774127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965327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39653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7412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0.00510549758405977</c:v>
                </c:pt>
                <c:pt idx="1">
                  <c:v>0.00510549758405977</c:v>
                </c:pt>
                <c:pt idx="2">
                  <c:v>0.00991067178082192</c:v>
                </c:pt>
                <c:pt idx="3">
                  <c:v>0.00991067178082191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0.0162121186176837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0.0266666666666667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0.127754753424658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0.022094103362391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0.0029980199252802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0.00196500653798256</c:v>
                </c:pt>
                <c:pt idx="3">
                  <c:v>0.00096783904109589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0.441934661285424</c:v>
                </c:pt>
                <c:pt idx="1">
                  <c:v>0.621448204664419</c:v>
                </c:pt>
                <c:pt idx="2">
                  <c:v>0.614678023929675</c:v>
                </c:pt>
                <c:pt idx="3">
                  <c:v>0.599463072808878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4180856"/>
        <c:axId val="-2098487736"/>
      </c:barChart>
      <c:catAx>
        <c:axId val="208418085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848773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98487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41808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0.0175045631453478</c:v>
                </c:pt>
                <c:pt idx="1">
                  <c:v>0.0175045631453478</c:v>
                </c:pt>
                <c:pt idx="2">
                  <c:v>0.0339794461056751</c:v>
                </c:pt>
                <c:pt idx="3">
                  <c:v>0.0339794461056751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0.0370562711261341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0.0266666666666667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0.121671193737769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0.010100161537093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0.00331789354507065</c:v>
                </c:pt>
                <c:pt idx="3">
                  <c:v>0.00163418637294525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0.000999110478562533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0.0431267959437822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0.000809782756861426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0.00265009875277464</c:v>
                </c:pt>
                <c:pt idx="1">
                  <c:v>0.00159041968672127</c:v>
                </c:pt>
                <c:pt idx="2">
                  <c:v>0.00212025921974795</c:v>
                </c:pt>
                <c:pt idx="3">
                  <c:v>0.00265009875277464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0.21748177418726</c:v>
                </c:pt>
                <c:pt idx="1">
                  <c:v>0.21748177418726</c:v>
                </c:pt>
                <c:pt idx="2">
                  <c:v>0.21748177418726</c:v>
                </c:pt>
                <c:pt idx="3">
                  <c:v>0.21748177418726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0.397029002023428</c:v>
                </c:pt>
                <c:pt idx="1">
                  <c:v>0.51439901756579</c:v>
                </c:pt>
                <c:pt idx="2">
                  <c:v>0.537203197471148</c:v>
                </c:pt>
                <c:pt idx="3">
                  <c:v>0.500491011227251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44953512"/>
        <c:axId val="2135071320"/>
      </c:barChart>
      <c:catAx>
        <c:axId val="204495351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507132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35071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4953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5987768"/>
        <c:axId val="2083620456"/>
      </c:barChart>
      <c:catAx>
        <c:axId val="-201598776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362045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83620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59877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0.210664294742755</c:v>
                </c:pt>
                <c:pt idx="1">
                  <c:v>0.124291933898226</c:v>
                </c:pt>
                <c:pt idx="2">
                  <c:v>0.124291933898226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0.0210664294742755</c:v>
                </c:pt>
                <c:pt idx="1">
                  <c:v>0.0124291933898226</c:v>
                </c:pt>
                <c:pt idx="2">
                  <c:v>0.0124291933898226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0.00234071438603062</c:v>
                </c:pt>
                <c:pt idx="1">
                  <c:v>0.000655400028088572</c:v>
                </c:pt>
                <c:pt idx="2">
                  <c:v>0.00163850007022143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0.000702214315809185</c:v>
                </c:pt>
                <c:pt idx="1">
                  <c:v>0.000196620008426572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0.000702214315809185</c:v>
                </c:pt>
                <c:pt idx="1">
                  <c:v>0.000196620008426572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0.0252797153691307</c:v>
                </c:pt>
                <c:pt idx="1">
                  <c:v>0.0140302420298675</c:v>
                </c:pt>
                <c:pt idx="2">
                  <c:v>0.0140302420298675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0.0655400028088572</c:v>
                </c:pt>
                <c:pt idx="1">
                  <c:v>0.0618697626515612</c:v>
                </c:pt>
                <c:pt idx="2">
                  <c:v>0.0618697626515612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0.505172978793128</c:v>
                </c:pt>
                <c:pt idx="1">
                  <c:v>0.596104114975891</c:v>
                </c:pt>
                <c:pt idx="2">
                  <c:v>0.596104114975891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0.168531435794204</c:v>
                </c:pt>
                <c:pt idx="1">
                  <c:v>0.198867094237161</c:v>
                </c:pt>
                <c:pt idx="2">
                  <c:v>0.198867094237161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6078328"/>
        <c:axId val="-2035522328"/>
      </c:barChart>
      <c:catAx>
        <c:axId val="-2036078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5522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5522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60783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tgl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tgl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ZATGL</v>
          </cell>
          <cell r="D1">
            <v>59105</v>
          </cell>
        </row>
        <row r="2">
          <cell r="A2" t="str">
            <v>Thukela and Lebombo sparsely populated</v>
          </cell>
        </row>
        <row r="9">
          <cell r="CK9">
            <v>0.4</v>
          </cell>
        </row>
        <row r="10">
          <cell r="CK10">
            <v>0.39</v>
          </cell>
        </row>
        <row r="11">
          <cell r="CK11">
            <v>0.21</v>
          </cell>
        </row>
        <row r="12">
          <cell r="CK12"/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15486.543496873714</v>
          </cell>
          <cell r="E1031">
            <v>15486.543496873714</v>
          </cell>
          <cell r="H1031">
            <v>13550.7255597645</v>
          </cell>
          <cell r="J1031">
            <v>0</v>
          </cell>
        </row>
        <row r="1032">
          <cell r="C1032">
            <v>15578.666666666668</v>
          </cell>
          <cell r="E1032">
            <v>15578.666666666668</v>
          </cell>
          <cell r="H1032">
            <v>13631.333333333334</v>
          </cell>
          <cell r="J1032">
            <v>0</v>
          </cell>
        </row>
        <row r="1033">
          <cell r="C1033">
            <v>27744</v>
          </cell>
          <cell r="E1033">
            <v>27744</v>
          </cell>
          <cell r="H1033">
            <v>24276</v>
          </cell>
          <cell r="J1033">
            <v>0</v>
          </cell>
        </row>
        <row r="1034">
          <cell r="C1034">
            <v>1200</v>
          </cell>
          <cell r="E1034">
            <v>1650</v>
          </cell>
          <cell r="H1034">
            <v>6590</v>
          </cell>
          <cell r="J1034">
            <v>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0.65272799689315064</v>
          </cell>
          <cell r="E1038">
            <v>0.65272799689315064</v>
          </cell>
          <cell r="H1038">
            <v>0.65272799689315064</v>
          </cell>
          <cell r="J1038">
            <v>0.65272799689315064</v>
          </cell>
        </row>
        <row r="1039">
          <cell r="C1039">
            <v>8</v>
          </cell>
          <cell r="E1039">
            <v>8</v>
          </cell>
          <cell r="H1039">
            <v>7</v>
          </cell>
          <cell r="J1039">
            <v>0</v>
          </cell>
        </row>
        <row r="1040">
          <cell r="C1040">
            <v>4.8428173497811375</v>
          </cell>
          <cell r="E1040">
            <v>4.8428173497811375</v>
          </cell>
          <cell r="H1040">
            <v>4.8428173497811375</v>
          </cell>
          <cell r="J1040">
            <v>4.8428173497811375</v>
          </cell>
        </row>
        <row r="1044">
          <cell r="A1044" t="str">
            <v>Cows' milk - season 1</v>
          </cell>
          <cell r="C1044">
            <v>3.7540423412204232E-2</v>
          </cell>
          <cell r="D1044">
            <v>0</v>
          </cell>
          <cell r="E1044">
            <v>8.4465952677459516E-2</v>
          </cell>
          <cell r="F1044">
            <v>0</v>
          </cell>
          <cell r="H1044">
            <v>0.12871002312755736</v>
          </cell>
          <cell r="I1044">
            <v>0</v>
          </cell>
          <cell r="J1044">
            <v>0</v>
          </cell>
          <cell r="K1044">
            <v>0</v>
          </cell>
        </row>
        <row r="1045">
          <cell r="A1045" t="str">
            <v>Own meat</v>
          </cell>
          <cell r="C1045">
            <v>2.026514827210461E-2</v>
          </cell>
          <cell r="D1045">
            <v>0</v>
          </cell>
          <cell r="E1045">
            <v>4.053029654420922E-2</v>
          </cell>
          <cell r="F1045">
            <v>0</v>
          </cell>
          <cell r="H1045">
            <v>4.6320338907667673E-2</v>
          </cell>
          <cell r="I1045">
            <v>0</v>
          </cell>
          <cell r="J1045">
            <v>0</v>
          </cell>
          <cell r="K1045">
            <v>0</v>
          </cell>
        </row>
        <row r="1046">
          <cell r="A1046" t="str">
            <v>Green cons - Season 1: no of months</v>
          </cell>
          <cell r="C1046">
            <v>3.3333333333333333E-2</v>
          </cell>
          <cell r="D1046">
            <v>0</v>
          </cell>
          <cell r="E1046">
            <v>3.3333333333333333E-2</v>
          </cell>
          <cell r="F1046">
            <v>0</v>
          </cell>
          <cell r="H1046">
            <v>3.3333333333333333E-2</v>
          </cell>
          <cell r="I1046">
            <v>0</v>
          </cell>
          <cell r="J1046">
            <v>0</v>
          </cell>
          <cell r="K1046">
            <v>0</v>
          </cell>
        </row>
        <row r="1047">
          <cell r="A1047" t="str">
            <v>Maize: kg produced</v>
          </cell>
          <cell r="C1047">
            <v>0.10646229452054794</v>
          </cell>
          <cell r="D1047">
            <v>0</v>
          </cell>
          <cell r="E1047">
            <v>0.14786429794520545</v>
          </cell>
          <cell r="F1047">
            <v>0</v>
          </cell>
          <cell r="H1047">
            <v>0.10139266144814088</v>
          </cell>
          <cell r="I1047">
            <v>0</v>
          </cell>
          <cell r="J1047">
            <v>0</v>
          </cell>
          <cell r="K1047">
            <v>0</v>
          </cell>
        </row>
        <row r="1048">
          <cell r="A1048" t="str">
            <v>Beans: kg produced</v>
          </cell>
          <cell r="C1048">
            <v>2.761762920298879E-2</v>
          </cell>
          <cell r="D1048">
            <v>0</v>
          </cell>
          <cell r="E1048">
            <v>2.2094103362391038E-2</v>
          </cell>
          <cell r="F1048">
            <v>-8.2852887608966426E-3</v>
          </cell>
          <cell r="H1048">
            <v>1.2625201921366307E-2</v>
          </cell>
          <cell r="I1048">
            <v>0</v>
          </cell>
          <cell r="J1048">
            <v>0</v>
          </cell>
          <cell r="K1048">
            <v>0</v>
          </cell>
        </row>
        <row r="1049">
          <cell r="A1049" t="str">
            <v>Potatoes: no. local meas</v>
          </cell>
          <cell r="C1049">
            <v>3.7475249066002492E-3</v>
          </cell>
          <cell r="D1049">
            <v>0</v>
          </cell>
          <cell r="E1049">
            <v>7.4950498132004975E-4</v>
          </cell>
          <cell r="F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</row>
        <row r="1050">
          <cell r="A1050" t="str">
            <v>Cabbage: no. local meas</v>
          </cell>
          <cell r="C1050">
            <v>3.6660569738480695E-3</v>
          </cell>
          <cell r="D1050">
            <v>0</v>
          </cell>
          <cell r="E1050">
            <v>5.8656911581569104E-3</v>
          </cell>
          <cell r="F1050">
            <v>0</v>
          </cell>
          <cell r="H1050">
            <v>6.0053504714463616E-3</v>
          </cell>
          <cell r="I1050">
            <v>6.9829656644725124E-4</v>
          </cell>
          <cell r="J1050">
            <v>0</v>
          </cell>
          <cell r="K1050">
            <v>0</v>
          </cell>
        </row>
        <row r="1051">
          <cell r="A1051" t="str">
            <v>beetroot: no. local meas</v>
          </cell>
          <cell r="C1051">
            <v>0</v>
          </cell>
          <cell r="D1051">
            <v>0</v>
          </cell>
          <cell r="E1051">
            <v>2.2766189290161893E-3</v>
          </cell>
          <cell r="F1051">
            <v>4.5532378580323768E-4</v>
          </cell>
          <cell r="H1051">
            <v>1.2488880982031668E-3</v>
          </cell>
          <cell r="I1051">
            <v>0</v>
          </cell>
          <cell r="J1051">
            <v>0</v>
          </cell>
          <cell r="K1051">
            <v>0</v>
          </cell>
        </row>
        <row r="1052">
          <cell r="A1052" t="str">
            <v>Groundnuts (dry): no. local meas</v>
          </cell>
          <cell r="C1052">
            <v>0</v>
          </cell>
          <cell r="D1052">
            <v>0</v>
          </cell>
          <cell r="E1052">
            <v>1.8867973225404733E-2</v>
          </cell>
          <cell r="F1052">
            <v>0</v>
          </cell>
          <cell r="H1052">
            <v>5.390849492972781E-2</v>
          </cell>
          <cell r="I1052">
            <v>0</v>
          </cell>
          <cell r="J1052">
            <v>0</v>
          </cell>
          <cell r="K1052">
            <v>0</v>
          </cell>
        </row>
        <row r="1053">
          <cell r="A1053" t="str">
            <v>Cow peas</v>
          </cell>
          <cell r="C1053">
            <v>0</v>
          </cell>
          <cell r="D1053">
            <v>0</v>
          </cell>
          <cell r="E1053">
            <v>8.9696193960149429E-3</v>
          </cell>
          <cell r="F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</row>
        <row r="1054">
          <cell r="A1054" t="str">
            <v>Other crop: Spinach</v>
          </cell>
          <cell r="C1054">
            <v>1.3297789539227895E-3</v>
          </cell>
          <cell r="D1054">
            <v>2.3466687422166871E-4</v>
          </cell>
          <cell r="E1054">
            <v>1.4862235367372352E-3</v>
          </cell>
          <cell r="F1054">
            <v>4.6933374844333763E-4</v>
          </cell>
          <cell r="H1054">
            <v>8.9396904465397615E-4</v>
          </cell>
          <cell r="I1054">
            <v>4.4698452232698796E-4</v>
          </cell>
          <cell r="J1054">
            <v>0</v>
          </cell>
          <cell r="K1054">
            <v>0</v>
          </cell>
        </row>
        <row r="1055">
          <cell r="A1055" t="str">
            <v>Other crop: pumpkin</v>
          </cell>
          <cell r="C1055">
            <v>5.0835990037359901E-3</v>
          </cell>
          <cell r="D1055">
            <v>0</v>
          </cell>
          <cell r="E1055">
            <v>5.0835990037359901E-3</v>
          </cell>
          <cell r="F1055">
            <v>0</v>
          </cell>
          <cell r="H1055">
            <v>1.1135502579612169E-2</v>
          </cell>
          <cell r="I1055">
            <v>4.8415228607009454E-4</v>
          </cell>
          <cell r="J1055">
            <v>0</v>
          </cell>
          <cell r="K1055">
            <v>0</v>
          </cell>
        </row>
        <row r="1056">
          <cell r="A1056" t="str">
            <v>FISHING -- see worksheet Data 3</v>
          </cell>
          <cell r="C1056">
            <v>9.8770236612702369E-3</v>
          </cell>
          <cell r="D1056">
            <v>2.4692559153175597E-3</v>
          </cell>
          <cell r="E1056">
            <v>9.8770236612702369E-3</v>
          </cell>
          <cell r="F1056">
            <v>2.4692559153175597E-3</v>
          </cell>
          <cell r="H1056">
            <v>1.5050702721935601E-2</v>
          </cell>
          <cell r="I1056">
            <v>3.762675680483895E-3</v>
          </cell>
          <cell r="J1056">
            <v>0</v>
          </cell>
          <cell r="K1056">
            <v>0</v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0.14880952380952381</v>
          </cell>
          <cell r="D1064">
            <v>0</v>
          </cell>
          <cell r="E1064">
            <v>0.14880952380952381</v>
          </cell>
          <cell r="F1064">
            <v>0</v>
          </cell>
          <cell r="H1064">
            <v>0.13605442176870747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3.314115504358655E-2</v>
          </cell>
          <cell r="D1065">
            <v>-3.314115504358655E-2</v>
          </cell>
          <cell r="E1065">
            <v>3.314115504358655E-2</v>
          </cell>
          <cell r="F1065">
            <v>-3.314115504358655E-2</v>
          </cell>
          <cell r="H1065">
            <v>9.4969144280377157E-2</v>
          </cell>
          <cell r="I1065">
            <v>-9.4969144280377157E-2</v>
          </cell>
          <cell r="J1065">
            <v>0</v>
          </cell>
          <cell r="K1065">
            <v>0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0.16886347229140719</v>
          </cell>
          <cell r="D1067">
            <v>5.5773301650589871E-2</v>
          </cell>
          <cell r="E1067">
            <v>0.25301495874844337</v>
          </cell>
          <cell r="F1067">
            <v>-2.837818480644623E-2</v>
          </cell>
          <cell r="H1067">
            <v>0.21490775128980608</v>
          </cell>
          <cell r="I1067">
            <v>9.7290226521910012E-3</v>
          </cell>
          <cell r="J1067">
            <v>0</v>
          </cell>
          <cell r="K1067">
            <v>0</v>
          </cell>
        </row>
        <row r="1068">
          <cell r="A1068" t="str">
            <v>Purchase - staple</v>
          </cell>
          <cell r="C1068">
            <v>0.58637945846824402</v>
          </cell>
          <cell r="E1068">
            <v>0.52739667515566635</v>
          </cell>
          <cell r="H1068">
            <v>0.60906730012453303</v>
          </cell>
          <cell r="J1068">
            <v>0</v>
          </cell>
        </row>
        <row r="1072">
          <cell r="A1072" t="str">
            <v>Cattle sales - local: no. sold</v>
          </cell>
          <cell r="C1072">
            <v>6000</v>
          </cell>
          <cell r="D1072">
            <v>-3000</v>
          </cell>
          <cell r="E1072">
            <v>9000</v>
          </cell>
          <cell r="F1072">
            <v>0</v>
          </cell>
          <cell r="H1072">
            <v>12000</v>
          </cell>
          <cell r="I1072">
            <v>0</v>
          </cell>
          <cell r="J1072">
            <v>0</v>
          </cell>
          <cell r="K1072">
            <v>0</v>
          </cell>
        </row>
        <row r="1073">
          <cell r="A1073" t="str">
            <v>Goat sales - local: no. sold</v>
          </cell>
          <cell r="C1073">
            <v>300</v>
          </cell>
          <cell r="D1073">
            <v>0</v>
          </cell>
          <cell r="E1073">
            <v>900</v>
          </cell>
          <cell r="F1073">
            <v>0</v>
          </cell>
          <cell r="H1073">
            <v>900</v>
          </cell>
          <cell r="I1073">
            <v>600</v>
          </cell>
          <cell r="J1073">
            <v>0</v>
          </cell>
          <cell r="K1073">
            <v>0</v>
          </cell>
        </row>
        <row r="1074">
          <cell r="A1074" t="str">
            <v>Beans: kg produced</v>
          </cell>
          <cell r="C1074">
            <v>0</v>
          </cell>
          <cell r="D1074">
            <v>0</v>
          </cell>
          <cell r="E1074">
            <v>100</v>
          </cell>
          <cell r="F1074">
            <v>150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Cabbage: no. local meas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25</v>
          </cell>
          <cell r="I1075">
            <v>-25</v>
          </cell>
          <cell r="J1075">
            <v>0</v>
          </cell>
          <cell r="K1075">
            <v>0</v>
          </cell>
        </row>
        <row r="1076">
          <cell r="A1076" t="str">
            <v>beetroot: no. local meas</v>
          </cell>
          <cell r="C1076">
            <v>0</v>
          </cell>
          <cell r="D1076">
            <v>0</v>
          </cell>
          <cell r="E1076">
            <v>30</v>
          </cell>
          <cell r="F1076">
            <v>-30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</row>
        <row r="1077">
          <cell r="A1077" t="str">
            <v>Other crop: Spinach</v>
          </cell>
          <cell r="C1077">
            <v>15</v>
          </cell>
          <cell r="D1077">
            <v>-15</v>
          </cell>
          <cell r="E1077">
            <v>30</v>
          </cell>
          <cell r="F1077">
            <v>-30</v>
          </cell>
          <cell r="H1077">
            <v>25</v>
          </cell>
          <cell r="I1077">
            <v>-25</v>
          </cell>
          <cell r="J1077">
            <v>0</v>
          </cell>
          <cell r="K1077">
            <v>0</v>
          </cell>
        </row>
        <row r="1078">
          <cell r="A1078" t="str">
            <v>Other crop: pumpkin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80</v>
          </cell>
          <cell r="I1078">
            <v>-80</v>
          </cell>
          <cell r="J1078">
            <v>0</v>
          </cell>
          <cell r="K1078">
            <v>0</v>
          </cell>
        </row>
        <row r="1079">
          <cell r="A1079" t="str">
            <v>Agricultural cash income -- see Data2</v>
          </cell>
          <cell r="C1079">
            <v>1620</v>
          </cell>
          <cell r="D1079">
            <v>0</v>
          </cell>
          <cell r="E1079">
            <v>1080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Formal Employment (conservancies, etc.)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H1080">
            <v>44160</v>
          </cell>
          <cell r="I1080">
            <v>0</v>
          </cell>
          <cell r="J1080">
            <v>0</v>
          </cell>
          <cell r="K1080">
            <v>0</v>
          </cell>
        </row>
        <row r="1081">
          <cell r="A1081" t="str">
            <v>Small business -- see Data2</v>
          </cell>
          <cell r="C1081">
            <v>0</v>
          </cell>
          <cell r="D1081">
            <v>0</v>
          </cell>
          <cell r="E1081">
            <v>2800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Social development -- see Data2</v>
          </cell>
          <cell r="C1082">
            <v>21444</v>
          </cell>
          <cell r="D1082">
            <v>0</v>
          </cell>
          <cell r="E1082">
            <v>21582</v>
          </cell>
          <cell r="F1082">
            <v>0</v>
          </cell>
          <cell r="H1082">
            <v>19932</v>
          </cell>
          <cell r="I1082">
            <v>0</v>
          </cell>
          <cell r="J1082">
            <v>0</v>
          </cell>
          <cell r="K1082">
            <v>0</v>
          </cell>
        </row>
        <row r="1083">
          <cell r="A1083" t="str">
            <v>Public works -- see Data2</v>
          </cell>
          <cell r="C1083">
            <v>5040</v>
          </cell>
          <cell r="D1083">
            <v>0</v>
          </cell>
          <cell r="E1083">
            <v>7200</v>
          </cell>
          <cell r="F1083">
            <v>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71" activePane="bottomRight" state="frozen"/>
      <selection pane="topRight" activeCell="B1" sqref="B1"/>
      <selection pane="bottomLeft" activeCell="A3" sqref="A3"/>
      <selection pane="bottomRight" activeCell="N103" sqref="N103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ZATGL: 59105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67" t="str">
        <f>Poor!Z1</f>
        <v>Apr-Jun</v>
      </c>
      <c r="AA1" s="268"/>
      <c r="AB1" s="267" t="str">
        <f>Poor!AB1</f>
        <v>Jul-Sep</v>
      </c>
      <c r="AC1" s="268"/>
      <c r="AD1" s="267" t="str">
        <f>Poor!AD1</f>
        <v>Oct-Dec</v>
      </c>
      <c r="AE1" s="268"/>
      <c r="AF1" s="267" t="str">
        <f>Poor!AF1</f>
        <v>Jan-Mar</v>
      </c>
      <c r="AG1" s="268"/>
      <c r="AH1" s="117"/>
      <c r="AI1" s="110"/>
      <c r="AJ1" s="196" t="str">
        <f>LEFT(Z1,4) &amp; MID(AB1,5,3)</f>
        <v>Apr-Sep</v>
      </c>
      <c r="AK1" s="197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9" t="str">
        <f>Poor!Z2</f>
        <v>Q1</v>
      </c>
      <c r="AA2" s="270"/>
      <c r="AB2" s="269" t="str">
        <f>Poor!AB2</f>
        <v>Q2</v>
      </c>
      <c r="AC2" s="270"/>
      <c r="AD2" s="269" t="str">
        <f>Poor!AD2</f>
        <v>Q3</v>
      </c>
      <c r="AE2" s="270"/>
      <c r="AF2" s="269" t="str">
        <f>Poor!AF2</f>
        <v>Q4</v>
      </c>
      <c r="AG2" s="27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6">
        <f>IF([1]Summ!C1044="",0,[1]Summ!C1044)</f>
        <v>3.7540423412204232E-2</v>
      </c>
      <c r="C6" s="216">
        <f>IF([1]Summ!D1044="",0,[1]Summ!D1044)</f>
        <v>0</v>
      </c>
      <c r="D6" s="24">
        <f t="shared" ref="D6:D28" si="0">(B6+C6)</f>
        <v>3.7540423412204232E-2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7.5080846824408468E-3</v>
      </c>
      <c r="J6" s="24">
        <f t="shared" ref="J6:J13" si="3">IF(I$32&lt;=1+I$131,I6,B6*H6+J$33*(I6-B6*H6))</f>
        <v>7.5080846824408468E-3</v>
      </c>
      <c r="K6" s="22">
        <f t="shared" ref="K6:K31" si="4">B6</f>
        <v>3.7540423412204232E-2</v>
      </c>
      <c r="L6" s="22">
        <f t="shared" ref="L6:L29" si="5">IF(K6="","",K6*H6)</f>
        <v>7.5080846824408468E-3</v>
      </c>
      <c r="M6" s="262">
        <f t="shared" ref="M6:M31" si="6">J6</f>
        <v>7.5080846824408468E-3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3.0032338729763387E-2</v>
      </c>
      <c r="Z6" s="156">
        <f>Poor!Z6</f>
        <v>0.17</v>
      </c>
      <c r="AA6" s="121">
        <f>$M6*Z6*4</f>
        <v>5.1054975840597759E-3</v>
      </c>
      <c r="AB6" s="156">
        <f>Poor!AB6</f>
        <v>0.17</v>
      </c>
      <c r="AC6" s="121">
        <f t="shared" ref="AC6:AC29" si="7">$M6*AB6*4</f>
        <v>5.1054975840597759E-3</v>
      </c>
      <c r="AD6" s="156">
        <f>Poor!AD6</f>
        <v>0.33</v>
      </c>
      <c r="AE6" s="121">
        <f t="shared" ref="AE6:AE29" si="8">$M6*AD6*4</f>
        <v>9.9106717808219186E-3</v>
      </c>
      <c r="AF6" s="122">
        <f>1-SUM(Z6,AB6,AD6)</f>
        <v>0.32999999999999996</v>
      </c>
      <c r="AG6" s="121">
        <f>$M6*AF6*4</f>
        <v>9.9106717808219169E-3</v>
      </c>
      <c r="AH6" s="123">
        <f>SUM(Z6,AB6,AD6,AF6)</f>
        <v>1</v>
      </c>
      <c r="AI6" s="184">
        <f>SUM(AA6,AC6,AE6,AG6)/4</f>
        <v>7.5080846824408468E-3</v>
      </c>
      <c r="AJ6" s="120">
        <f>(AA6+AC6)/2</f>
        <v>5.1054975840597759E-3</v>
      </c>
      <c r="AK6" s="119">
        <f>(AE6+AG6)/2</f>
        <v>9.9106717808219169E-3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6">
        <f>IF([1]Summ!C1045="",0,[1]Summ!C1045)</f>
        <v>2.026514827210461E-2</v>
      </c>
      <c r="C7" s="216">
        <f>IF([1]Summ!D1045="",0,[1]Summ!D1045)</f>
        <v>0</v>
      </c>
      <c r="D7" s="24">
        <f t="shared" si="0"/>
        <v>2.026514827210461E-2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4.0530296544209225E-3</v>
      </c>
      <c r="J7" s="24">
        <f t="shared" si="3"/>
        <v>4.0530296544209225E-3</v>
      </c>
      <c r="K7" s="22">
        <f t="shared" si="4"/>
        <v>2.026514827210461E-2</v>
      </c>
      <c r="L7" s="22">
        <f t="shared" si="5"/>
        <v>4.0530296544209225E-3</v>
      </c>
      <c r="M7" s="262">
        <f t="shared" si="6"/>
        <v>4.0530296544209225E-3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2474.2340835802729</v>
      </c>
      <c r="S7" s="225">
        <f>IF($B$81=0,0,(SUMIF($N$6:$N$28,$U7,L$6:L$28)+SUMIF($N$91:$N$118,$U7,L$91:L$118))*$I$83*Poor!$B$81/$B$81)</f>
        <v>714.19520823180289</v>
      </c>
      <c r="T7" s="225">
        <f>IF($B$81=0,0,(SUMIF($N$6:$N$28,$U7,M$6:M$28)+SUMIF($N$91:$N$118,$U7,M$91:M$118))*$I$83*Poor!$B$81/$B$81)</f>
        <v>714.70259150906782</v>
      </c>
      <c r="U7" s="226">
        <v>1</v>
      </c>
      <c r="V7" s="56"/>
      <c r="W7" s="115"/>
      <c r="X7" s="118">
        <f>Poor!X7</f>
        <v>4</v>
      </c>
      <c r="Y7" s="184">
        <f t="shared" ref="Y7:Y29" si="9">M7*4</f>
        <v>1.621211861768369E-2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1.621211861768369E-2</v>
      </c>
      <c r="AH7" s="123">
        <f t="shared" ref="AH7:AH30" si="12">SUM(Z7,AB7,AD7,AF7)</f>
        <v>1</v>
      </c>
      <c r="AI7" s="184">
        <f t="shared" ref="AI7:AI30" si="13">SUM(AA7,AC7,AE7,AG7)/4</f>
        <v>4.0530296544209225E-3</v>
      </c>
      <c r="AJ7" s="120">
        <f t="shared" ref="AJ7:AJ31" si="14">(AA7+AC7)/2</f>
        <v>0</v>
      </c>
      <c r="AK7" s="119">
        <f t="shared" ref="AK7:AK31" si="15">(AE7+AG7)/2</f>
        <v>8.106059308841845E-3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6">
        <f>IF([1]Summ!C1046="",0,[1]Summ!C1046)</f>
        <v>3.3333333333333333E-2</v>
      </c>
      <c r="C8" s="216">
        <f>IF([1]Summ!D1046="",0,[1]Summ!D1046)</f>
        <v>0</v>
      </c>
      <c r="D8" s="24">
        <f t="shared" si="0"/>
        <v>3.3333333333333333E-2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6.6666666666666671E-3</v>
      </c>
      <c r="J8" s="24">
        <f t="shared" si="3"/>
        <v>6.6666666666666671E-3</v>
      </c>
      <c r="K8" s="22">
        <f t="shared" si="4"/>
        <v>3.3333333333333333E-2</v>
      </c>
      <c r="L8" s="22">
        <f t="shared" si="5"/>
        <v>6.6666666666666671E-3</v>
      </c>
      <c r="M8" s="263">
        <f t="shared" si="6"/>
        <v>6.6666666666666671E-3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22.185248057409371</v>
      </c>
      <c r="S8" s="225">
        <f>IF($B$81=0,0,(SUMIF($N$6:$N$28,$U8,L$6:L$28)+SUMIF($N$91:$N$118,$U8,L$91:L$118))*$I$83*Poor!$B$81/$B$81)</f>
        <v>4.1999999999999993</v>
      </c>
      <c r="T8" s="225">
        <f>IF($B$81=0,0,(SUMIF($N$6:$N$28,$U8,M$6:M$28)+SUMIF($N$91:$N$118,$U8,M$91:M$118))*$I$83*Poor!$B$81/$B$81)</f>
        <v>0</v>
      </c>
      <c r="U8" s="226">
        <v>2</v>
      </c>
      <c r="V8" s="56"/>
      <c r="W8" s="115"/>
      <c r="X8" s="118">
        <f>Poor!X8</f>
        <v>1</v>
      </c>
      <c r="Y8" s="184">
        <f t="shared" si="9"/>
        <v>2.6666666666666668E-2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2.6666666666666668E-2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6.6666666666666671E-3</v>
      </c>
      <c r="AJ8" s="120">
        <f t="shared" si="14"/>
        <v>1.3333333333333334E-2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6">
        <f>IF([1]Summ!C1047="",0,[1]Summ!C1047)</f>
        <v>0.10646229452054794</v>
      </c>
      <c r="C9" s="216">
        <f>IF([1]Summ!D1047="",0,[1]Summ!D1047)</f>
        <v>0</v>
      </c>
      <c r="D9" s="24">
        <f t="shared" si="0"/>
        <v>0.10646229452054794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3.1938688356164383E-2</v>
      </c>
      <c r="J9" s="24">
        <f t="shared" si="3"/>
        <v>3.1938688356164383E-2</v>
      </c>
      <c r="K9" s="22">
        <f t="shared" si="4"/>
        <v>0.10646229452054794</v>
      </c>
      <c r="L9" s="22">
        <f t="shared" si="5"/>
        <v>3.1938688356164383E-2</v>
      </c>
      <c r="M9" s="263">
        <f t="shared" si="6"/>
        <v>3.1938688356164383E-2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789.14337078418851</v>
      </c>
      <c r="S9" s="225">
        <f>IF($B$81=0,0,(SUMIF($N$6:$N$28,$U9,L$6:L$28)+SUMIF($N$91:$N$118,$U9,L$91:L$118))*$I$83*Poor!$B$81/$B$81)</f>
        <v>176.0746454253474</v>
      </c>
      <c r="T9" s="225">
        <f>IF($B$81=0,0,(SUMIF($N$6:$N$28,$U9,M$6:M$28)+SUMIF($N$91:$N$118,$U9,M$91:M$118))*$I$83*Poor!$B$81/$B$81)</f>
        <v>176.0746454253474</v>
      </c>
      <c r="U9" s="226">
        <v>3</v>
      </c>
      <c r="V9" s="56"/>
      <c r="W9" s="115"/>
      <c r="X9" s="118">
        <f>Poor!X9</f>
        <v>1</v>
      </c>
      <c r="Y9" s="184">
        <f t="shared" si="9"/>
        <v>0.12775475342465753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0.12775475342465753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3.1938688356164383E-2</v>
      </c>
      <c r="AJ9" s="120">
        <f t="shared" si="14"/>
        <v>6.3877376712328765E-2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216">
        <f>IF([1]Summ!C1048="",0,[1]Summ!C1048)</f>
        <v>2.761762920298879E-2</v>
      </c>
      <c r="C10" s="216">
        <f>IF([1]Summ!D1048="",0,[1]Summ!D1048)</f>
        <v>0</v>
      </c>
      <c r="D10" s="24">
        <f t="shared" si="0"/>
        <v>2.761762920298879E-2</v>
      </c>
      <c r="E10" s="75">
        <f>Poor!E10</f>
        <v>0.2</v>
      </c>
      <c r="H10" s="24">
        <f t="shared" si="1"/>
        <v>0.2</v>
      </c>
      <c r="I10" s="22">
        <f t="shared" si="2"/>
        <v>5.5235258405977586E-3</v>
      </c>
      <c r="J10" s="24">
        <f t="shared" si="3"/>
        <v>5.5235258405977586E-3</v>
      </c>
      <c r="K10" s="22">
        <f t="shared" si="4"/>
        <v>2.761762920298879E-2</v>
      </c>
      <c r="L10" s="22">
        <f t="shared" si="5"/>
        <v>5.5235258405977586E-3</v>
      </c>
      <c r="M10" s="263">
        <f t="shared" si="6"/>
        <v>5.5235258405977586E-3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IF($B$81=0,0,(SUMIF($N$6:$N$28,$U10,L$6:L$28)+SUMIF($N$91:$N$118,$U10,L$91:L$118))*$I$83*Poor!$B$81/$B$81)</f>
        <v>0</v>
      </c>
      <c r="T10" s="225">
        <f>IF($B$81=0,0,(SUMIF($N$6:$N$28,$U10,M$6:M$28)+SUMIF($N$91:$N$118,$U10,M$91:M$118))*$I$83*Poor!$B$81/$B$81)</f>
        <v>0</v>
      </c>
      <c r="U10" s="226">
        <v>4</v>
      </c>
      <c r="V10" s="56"/>
      <c r="W10" s="115"/>
      <c r="X10" s="118">
        <f>Poor!X10</f>
        <v>1</v>
      </c>
      <c r="Y10" s="184">
        <f t="shared" si="9"/>
        <v>2.2094103362391034E-2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2.2094103362391034E-2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5.5235258405977586E-3</v>
      </c>
      <c r="AJ10" s="120">
        <f t="shared" si="14"/>
        <v>1.1047051681195517E-2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Potatoes: no. local meas</v>
      </c>
      <c r="B11" s="216">
        <f>IF([1]Summ!C1049="",0,[1]Summ!C1049)</f>
        <v>3.7475249066002492E-3</v>
      </c>
      <c r="C11" s="216">
        <f>IF([1]Summ!D1049="",0,[1]Summ!D1049)</f>
        <v>0</v>
      </c>
      <c r="D11" s="24">
        <f t="shared" si="0"/>
        <v>3.7475249066002492E-3</v>
      </c>
      <c r="E11" s="75">
        <f>Poor!E11</f>
        <v>0.2</v>
      </c>
      <c r="H11" s="24">
        <f t="shared" si="1"/>
        <v>0.2</v>
      </c>
      <c r="I11" s="22">
        <f t="shared" si="2"/>
        <v>7.4950498132004986E-4</v>
      </c>
      <c r="J11" s="24">
        <f t="shared" si="3"/>
        <v>7.4950498132004986E-4</v>
      </c>
      <c r="K11" s="22">
        <f t="shared" si="4"/>
        <v>3.7475249066002492E-3</v>
      </c>
      <c r="L11" s="22">
        <f t="shared" si="5"/>
        <v>7.4950498132004986E-4</v>
      </c>
      <c r="M11" s="263">
        <f t="shared" si="6"/>
        <v>7.4950498132004986E-4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9317.8041841119357</v>
      </c>
      <c r="S11" s="225">
        <f>IF($B$81=0,0,(SUMIF($N$6:$N$28,$U11,L$6:L$28)+SUMIF($N$91:$N$118,$U11,L$91:L$118))*$I$83*Poor!$B$81/$B$81)</f>
        <v>3716.9999999999995</v>
      </c>
      <c r="T11" s="225">
        <f>IF($B$81=0,0,(SUMIF($N$6:$N$28,$U11,M$6:M$28)+SUMIF($N$91:$N$118,$U11,M$91:M$118))*$I$83*Poor!$B$81/$B$81)</f>
        <v>1947</v>
      </c>
      <c r="U11" s="226">
        <v>5</v>
      </c>
      <c r="V11" s="56"/>
      <c r="W11" s="115"/>
      <c r="X11" s="118">
        <f>Poor!X11</f>
        <v>1</v>
      </c>
      <c r="Y11" s="184">
        <f t="shared" si="9"/>
        <v>2.9980199252801995E-3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2.9980199252801995E-3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7.4950498132004986E-4</v>
      </c>
      <c r="AJ11" s="120">
        <f t="shared" si="14"/>
        <v>1.4990099626400997E-3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no. local meas</v>
      </c>
      <c r="B12" s="216">
        <f>IF([1]Summ!C1050="",0,[1]Summ!C1050)</f>
        <v>3.6660569738480695E-3</v>
      </c>
      <c r="C12" s="216">
        <f>IF([1]Summ!D1050="",0,[1]Summ!D1050)</f>
        <v>0</v>
      </c>
      <c r="D12" s="24">
        <f t="shared" si="0"/>
        <v>3.6660569738480695E-3</v>
      </c>
      <c r="E12" s="75">
        <f>Poor!E12</f>
        <v>0.2</v>
      </c>
      <c r="H12" s="24">
        <f t="shared" si="1"/>
        <v>0.2</v>
      </c>
      <c r="I12" s="22">
        <f t="shared" si="2"/>
        <v>7.3321139476961391E-4</v>
      </c>
      <c r="J12" s="24">
        <f t="shared" si="3"/>
        <v>7.3321139476961391E-4</v>
      </c>
      <c r="K12" s="22">
        <f t="shared" si="4"/>
        <v>3.6660569738480695E-3</v>
      </c>
      <c r="L12" s="22">
        <f t="shared" si="5"/>
        <v>7.3321139476961391E-4</v>
      </c>
      <c r="M12" s="263">
        <f t="shared" si="6"/>
        <v>7.3321139476961391E-4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134.83800122135537</v>
      </c>
      <c r="S12" s="225">
        <f>IF($B$81=0,0,(SUMIF($N$6:$N$28,$U12,L$6:L$28)+SUMIF($N$91:$N$118,$U12,L$91:L$118))*$I$83*Poor!$B$81/$B$81)</f>
        <v>150.42610844795047</v>
      </c>
      <c r="T12" s="225">
        <f>IF($B$81=0,0,(SUMIF($N$6:$N$28,$U12,M$6:M$28)+SUMIF($N$91:$N$118,$U12,M$91:M$118))*$I$83*Poor!$B$81/$B$81)</f>
        <v>177.12052713987927</v>
      </c>
      <c r="U12" s="226">
        <v>6</v>
      </c>
      <c r="V12" s="56"/>
      <c r="W12" s="117"/>
      <c r="X12" s="118">
        <v>1</v>
      </c>
      <c r="Y12" s="184">
        <f t="shared" si="9"/>
        <v>2.9328455790784557E-3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1.9650065379825652E-3</v>
      </c>
      <c r="AF12" s="122">
        <f>1-SUM(Z12,AB12,AD12)</f>
        <v>0.32999999999999996</v>
      </c>
      <c r="AG12" s="121">
        <f>$M12*AF12*4</f>
        <v>9.6783904109589021E-4</v>
      </c>
      <c r="AH12" s="123">
        <f t="shared" si="12"/>
        <v>1</v>
      </c>
      <c r="AI12" s="184">
        <f t="shared" si="13"/>
        <v>7.3321139476961381E-4</v>
      </c>
      <c r="AJ12" s="120">
        <f t="shared" si="14"/>
        <v>0</v>
      </c>
      <c r="AK12" s="119">
        <f t="shared" si="15"/>
        <v>1.4664227895392276E-3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beetroot: no. local meas</v>
      </c>
      <c r="B13" s="216">
        <f>IF([1]Summ!C1051="",0,[1]Summ!C1051)</f>
        <v>0</v>
      </c>
      <c r="C13" s="216">
        <f>IF([1]Summ!D1051="",0,[1]Summ!D1051)</f>
        <v>0</v>
      </c>
      <c r="D13" s="24">
        <f t="shared" si="0"/>
        <v>0</v>
      </c>
      <c r="E13" s="75">
        <f>Poor!E13</f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60">
        <f t="shared" si="6"/>
        <v>0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2396.006790200212</v>
      </c>
      <c r="S13" s="225">
        <f>IF($B$81=0,0,(SUMIF($N$6:$N$28,$U13,L$6:L$28)+SUMIF($N$91:$N$118,$U13,L$91:L$118))*$I$83*Poor!$B$81/$B$81)</f>
        <v>899.1</v>
      </c>
      <c r="T13" s="225">
        <f>IF($B$81=0,0,(SUMIF($N$6:$N$28,$U13,M$6:M$28)+SUMIF($N$91:$N$118,$U13,M$91:M$118))*$I$83*Poor!$B$81/$B$81)</f>
        <v>899.1</v>
      </c>
      <c r="U13" s="226">
        <v>7</v>
      </c>
      <c r="V13" s="56"/>
      <c r="W13" s="110"/>
      <c r="X13" s="118"/>
      <c r="Y13" s="184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Groundnuts (dry): no. local meas</v>
      </c>
      <c r="B14" s="216">
        <f>IF([1]Summ!C1052="",0,[1]Summ!C1052)</f>
        <v>0</v>
      </c>
      <c r="C14" s="216">
        <f>IF([1]Summ!D1052="",0,[1]Summ!D1052)</f>
        <v>0</v>
      </c>
      <c r="D14" s="24">
        <f t="shared" si="0"/>
        <v>0</v>
      </c>
      <c r="E14" s="75">
        <f>Poor!E14</f>
        <v>0.2</v>
      </c>
      <c r="F14" s="22"/>
      <c r="H14" s="24">
        <f t="shared" si="1"/>
        <v>0.2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60">
        <f t="shared" si="6"/>
        <v>0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0</v>
      </c>
      <c r="S14" s="225">
        <f>IF($B$81=0,0,(SUMIF($N$6:$N$28,$U14,L$6:L$28)+SUMIF($N$91:$N$118,$U14,L$91:L$118))*$I$83*Poor!$B$81/$B$81)</f>
        <v>0</v>
      </c>
      <c r="T14" s="225">
        <f>IF($B$81=0,0,(SUMIF($N$6:$N$28,$U14,M$6:M$28)+SUMIF($N$91:$N$118,$U14,M$91:M$118))*$I$83*Poor!$B$81/$B$81)</f>
        <v>0</v>
      </c>
      <c r="U14" s="226">
        <v>8</v>
      </c>
      <c r="V14" s="56"/>
      <c r="W14" s="110"/>
      <c r="X14" s="118"/>
      <c r="Y14" s="184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Cow peas</v>
      </c>
      <c r="B15" s="216">
        <f>IF([1]Summ!C1053="",0,[1]Summ!C1053)</f>
        <v>0</v>
      </c>
      <c r="C15" s="216">
        <f>IF([1]Summ!D1053="",0,[1]Summ!D1053)</f>
        <v>0</v>
      </c>
      <c r="D15" s="24">
        <f t="shared" si="0"/>
        <v>0</v>
      </c>
      <c r="E15" s="75">
        <f>Poor!E15</f>
        <v>0.2</v>
      </c>
      <c r="F15" s="22"/>
      <c r="H15" s="24">
        <f t="shared" si="1"/>
        <v>0.2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64">
        <f t="shared" si="6"/>
        <v>0</v>
      </c>
      <c r="N15" s="232">
        <v>1</v>
      </c>
      <c r="O15" s="2"/>
      <c r="P15" s="22"/>
      <c r="Q15" s="59" t="s">
        <v>128</v>
      </c>
      <c r="R15" s="225">
        <f>IF($B$81=0,0,(SUMIF($N$6:$N$28,$U15,K$6:K$28)+SUMIF($N$91:$N$118,$U15,K$91:K$118))*$B$83*$H$84*Poor!$B$81/$B$81)</f>
        <v>7454.2433472895491</v>
      </c>
      <c r="S15" s="225">
        <f>IF($B$81=0,0,(SUMIF($N$6:$N$28,$U15,L$6:L$28)+SUMIF($N$91:$N$118,$U15,L$91:L$118))*$I$83*Poor!$B$81/$B$81)</f>
        <v>5947.2000000000007</v>
      </c>
      <c r="T15" s="225">
        <f>IF($B$81=0,0,(SUMIF($N$6:$N$28,$U15,M$6:M$28)+SUMIF($N$91:$N$118,$U15,M$91:M$118))*$I$83*Poor!$B$81/$B$81)</f>
        <v>5947.2000000000007</v>
      </c>
      <c r="U15" s="226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</v>
      </c>
      <c r="B16" s="216">
        <f>IF([1]Summ!C1054="",0,[1]Summ!C1054)</f>
        <v>1.3297789539227895E-3</v>
      </c>
      <c r="C16" s="216">
        <f>IF([1]Summ!D1054="",0,[1]Summ!D1054)</f>
        <v>2.3466687422166871E-4</v>
      </c>
      <c r="D16" s="24">
        <f t="shared" ref="D16:D25" si="18">(B16+C16)</f>
        <v>1.5644458281444582E-3</v>
      </c>
      <c r="E16" s="75">
        <f>Poor!E16</f>
        <v>0.2</v>
      </c>
      <c r="F16" s="22"/>
      <c r="H16" s="24">
        <f t="shared" ref="H16:H25" si="19">(E16*F$7/F$9)</f>
        <v>0.2</v>
      </c>
      <c r="I16" s="22">
        <f t="shared" ref="I16:I25" si="20">(D16*H16)</f>
        <v>3.1288916562889168E-4</v>
      </c>
      <c r="J16" s="24">
        <f t="shared" si="17"/>
        <v>2.9927072983726606E-4</v>
      </c>
      <c r="K16" s="22">
        <f t="shared" ref="K16:K25" si="21">B16</f>
        <v>1.3297789539227895E-3</v>
      </c>
      <c r="L16" s="22">
        <f t="shared" ref="L16:L25" si="22">IF(K16="","",K16*H16)</f>
        <v>2.6595579078455791E-4</v>
      </c>
      <c r="M16" s="264">
        <f t="shared" ref="M16:M25" si="23">J16</f>
        <v>2.9927072983726606E-4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IF($B$81=0,0,(SUMIF($N$6:$N$28,$U16,L$6:L$28)+SUMIF($N$91:$N$118,$U16,L$91:L$118))*$I$83*Poor!$B$81/$B$81)</f>
        <v>0</v>
      </c>
      <c r="T16" s="225">
        <f>IF($B$81=0,0,(SUMIF($N$6:$N$28,$U16,M$6:M$28)+SUMIF($N$91:$N$118,$U16,M$91:M$118))*$I$83*Poor!$B$81/$B$81)</f>
        <v>0</v>
      </c>
      <c r="U16" s="226">
        <v>10</v>
      </c>
      <c r="V16" s="56"/>
      <c r="W16" s="110"/>
      <c r="X16" s="118"/>
      <c r="Y16" s="184"/>
      <c r="Z16" s="156"/>
      <c r="AA16" s="121"/>
      <c r="AB16" s="156"/>
      <c r="AC16" s="121"/>
      <c r="AD16" s="156"/>
      <c r="AE16" s="121"/>
      <c r="AF16" s="122"/>
      <c r="AG16" s="121"/>
      <c r="AH16" s="123"/>
      <c r="AI16" s="184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216">
        <f>IF([1]Summ!C1055="",0,[1]Summ!C1055)</f>
        <v>5.0835990037359901E-3</v>
      </c>
      <c r="C17" s="216">
        <f>IF([1]Summ!D1055="",0,[1]Summ!D1055)</f>
        <v>0</v>
      </c>
      <c r="D17" s="24">
        <f t="shared" si="18"/>
        <v>5.0835990037359901E-3</v>
      </c>
      <c r="E17" s="75">
        <f>Poor!E17</f>
        <v>0.2</v>
      </c>
      <c r="F17" s="22"/>
      <c r="H17" s="24">
        <f t="shared" si="19"/>
        <v>0.2</v>
      </c>
      <c r="I17" s="22">
        <f t="shared" si="20"/>
        <v>1.0167198007471981E-3</v>
      </c>
      <c r="J17" s="24">
        <f t="shared" si="17"/>
        <v>1.0167198007471981E-3</v>
      </c>
      <c r="K17" s="22">
        <f t="shared" si="21"/>
        <v>5.0835990037359901E-3</v>
      </c>
      <c r="L17" s="22">
        <f t="shared" si="22"/>
        <v>1.0167198007471981E-3</v>
      </c>
      <c r="M17" s="264">
        <f t="shared" si="23"/>
        <v>1.0167198007471981E-3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0</v>
      </c>
      <c r="S17" s="225">
        <f>IF($B$81=0,0,(SUMIF($N$6:$N$28,$U17,L$6:L$28)+SUMIF($N$91:$N$118,$U17,L$91:L$118))*$I$83*Poor!$B$81/$B$81)</f>
        <v>0</v>
      </c>
      <c r="T17" s="225">
        <f>IF($B$81=0,0,(SUMIF($N$6:$N$28,$U17,M$6:M$28)+SUMIF($N$91:$N$118,$U17,M$91:M$118))*$I$83*Poor!$B$81/$B$81)</f>
        <v>0</v>
      </c>
      <c r="U17" s="226">
        <v>11</v>
      </c>
      <c r="V17" s="56"/>
      <c r="W17" s="110"/>
      <c r="X17" s="118"/>
      <c r="Y17" s="184"/>
      <c r="Z17" s="156"/>
      <c r="AA17" s="121"/>
      <c r="AB17" s="156"/>
      <c r="AC17" s="121"/>
      <c r="AD17" s="156"/>
      <c r="AE17" s="121"/>
      <c r="AF17" s="122"/>
      <c r="AG17" s="121"/>
      <c r="AH17" s="123"/>
      <c r="AI17" s="184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FISHING -- see worksheet Data 3</v>
      </c>
      <c r="B18" s="216">
        <f>IF([1]Summ!C1056="",0,[1]Summ!C1056)</f>
        <v>9.8770236612702369E-3</v>
      </c>
      <c r="C18" s="216">
        <f>IF([1]Summ!D1056="",0,[1]Summ!D1056)</f>
        <v>2.4692559153175597E-3</v>
      </c>
      <c r="D18" s="24">
        <f t="shared" si="18"/>
        <v>1.2346279576587797E-2</v>
      </c>
      <c r="E18" s="75">
        <f>Poor!E18</f>
        <v>1</v>
      </c>
      <c r="F18" s="22"/>
      <c r="H18" s="24">
        <f t="shared" si="19"/>
        <v>1</v>
      </c>
      <c r="I18" s="22">
        <f t="shared" si="20"/>
        <v>1.2346279576587797E-2</v>
      </c>
      <c r="J18" s="24">
        <f t="shared" si="17"/>
        <v>1.1629787245759731E-2</v>
      </c>
      <c r="K18" s="22">
        <f t="shared" si="21"/>
        <v>9.8770236612702369E-3</v>
      </c>
      <c r="L18" s="22">
        <f t="shared" si="22"/>
        <v>9.8770236612702369E-3</v>
      </c>
      <c r="M18" s="264">
        <f t="shared" si="23"/>
        <v>1.1629787245759731E-2</v>
      </c>
      <c r="N18" s="232">
        <v>6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2031.5005249868352</v>
      </c>
      <c r="S18" s="225">
        <f>IF($B$81=0,0,(SUMIF($N$6:$N$28,$U18,L$6:L$28)+SUMIF($N$91:$N$118,$U18,L$91:L$118))*$I$83*Poor!$B$81/$B$81)</f>
        <v>2266.3545552122823</v>
      </c>
      <c r="T18" s="225">
        <f>IF($B$81=0,0,(SUMIF($N$6:$N$28,$U18,M$6:M$28)+SUMIF($N$91:$N$118,$U18,M$91:M$118))*$I$83*Poor!$B$81/$B$81)</f>
        <v>2266.3545552122823</v>
      </c>
      <c r="U18" s="226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6">
        <f>IF([1]Summ!C1057="",0,[1]Summ!C1057)</f>
        <v>0</v>
      </c>
      <c r="C19" s="216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64">
        <f t="shared" si="23"/>
        <v>0</v>
      </c>
      <c r="N19" s="232"/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IF($B$81=0,0,(SUMIF($N$6:$N$28,$U19,L$6:L$28)+SUMIF($N$91:$N$118,$U19,L$91:L$118))*$I$83*Poor!$B$81/$B$81)</f>
        <v>0</v>
      </c>
      <c r="T19" s="225">
        <f>IF($B$81=0,0,(SUMIF($N$6:$N$28,$U19,M$6:M$28)+SUMIF($N$91:$N$118,$U19,M$91:M$118))*$I$83*Poor!$B$81/$B$81)</f>
        <v>0</v>
      </c>
      <c r="U19" s="226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6">
        <f>IF([1]Summ!C1058="",0,[1]Summ!C1058)</f>
        <v>0</v>
      </c>
      <c r="C20" s="216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64">
        <f t="shared" si="23"/>
        <v>0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31716.030622872437</v>
      </c>
      <c r="S20" s="225">
        <f>IF($B$81=0,0,(SUMIF($N$6:$N$28,$U20,L$6:L$28)+SUMIF($N$91:$N$118,$U20,L$91:L$118))*$I$83*Poor!$B$81/$B$81)</f>
        <v>25303.919999999998</v>
      </c>
      <c r="T20" s="225">
        <f>IF($B$81=0,0,(SUMIF($N$6:$N$28,$U20,M$6:M$28)+SUMIF($N$91:$N$118,$U20,M$91:M$118))*$I$83*Poor!$B$81/$B$81)</f>
        <v>25303.919999999998</v>
      </c>
      <c r="U20" s="226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6">
        <f>IF([1]Summ!C1059="",0,[1]Summ!C1059)</f>
        <v>0</v>
      </c>
      <c r="C21" s="216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64">
        <f t="shared" si="23"/>
        <v>0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IF($B$81=0,0,(SUMIF($N$6:$N$28,$U21,L$6:L$28)+SUMIF($N$91:$N$118,$U21,L$91:L$118))*$I$83*Poor!$B$81/$B$81)</f>
        <v>0</v>
      </c>
      <c r="T21" s="225">
        <f>IF($B$81=0,0,(SUMIF($N$6:$N$28,$U21,M$6:M$28)+SUMIF($N$91:$N$118,$U21,M$91:M$118))*$I$83*Poor!$B$81/$B$81)</f>
        <v>0</v>
      </c>
      <c r="U21" s="226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6">
        <f>IF([1]Summ!C1060="",0,[1]Summ!C1060)</f>
        <v>0</v>
      </c>
      <c r="C22" s="216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64">
        <f t="shared" si="23"/>
        <v>0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IF($B$81=0,0,(SUMIF($N$6:$N$28,$U22,L$6:L$28)+SUMIF($N$91:$N$118,$U22,L$91:L$118))*$I$83*Poor!$B$81/$B$81)</f>
        <v>0</v>
      </c>
      <c r="T22" s="225">
        <f>IF($B$81=0,0,(SUMIF($N$6:$N$28,$U22,M$6:M$28)+SUMIF($N$91:$N$118,$U22,M$91:M$118))*$I$83*Poor!$B$81/$B$81)</f>
        <v>0</v>
      </c>
      <c r="U22" s="226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6">
        <f>IF([1]Summ!C1061="",0,[1]Summ!C1061)</f>
        <v>0</v>
      </c>
      <c r="C23" s="216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64">
        <f t="shared" si="23"/>
        <v>0</v>
      </c>
      <c r="N23" s="232"/>
      <c r="O23" s="2"/>
      <c r="P23" s="22"/>
      <c r="Q23" s="171" t="s">
        <v>100</v>
      </c>
      <c r="R23" s="179">
        <f>SUM(R7:R22)</f>
        <v>56335.986173104189</v>
      </c>
      <c r="S23" s="179">
        <f>SUM(S7:S22)</f>
        <v>39178.470517317386</v>
      </c>
      <c r="T23" s="179">
        <f>SUM(T7:T22)</f>
        <v>37431.472319286579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6">
        <f>IF([1]Summ!C1062="",0,[1]Summ!C1062)</f>
        <v>0</v>
      </c>
      <c r="C24" s="216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64">
        <f t="shared" si="23"/>
        <v>0</v>
      </c>
      <c r="N24" s="232"/>
      <c r="O24" s="2"/>
      <c r="P24" s="22"/>
      <c r="Q24" s="59" t="s">
        <v>137</v>
      </c>
      <c r="R24" s="41">
        <f>IF($B$81=0,0,(SUM(($B$70*$H$70))+((1-$D$29)*$I$83))*Poor!$B$81/$B$81)</f>
        <v>33489.867316657939</v>
      </c>
      <c r="S24" s="41">
        <f>IF($B$81=0,0,(SUM(($B$70*$H$70))+((1-$D$29)*$I$83))*Poor!$B$81/$B$81)</f>
        <v>33489.867316657939</v>
      </c>
      <c r="T24" s="41">
        <f>IF($B$81=0,0,(SUM(($B$70*$H$70))+((1-$D$29)*$I$83))*Poor!$B$81/$B$81)</f>
        <v>33489.867316657939</v>
      </c>
      <c r="U24" s="56"/>
      <c r="V24" s="56"/>
      <c r="W24" s="110"/>
      <c r="X24" s="118"/>
      <c r="Y24" s="184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4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6">
        <f>IF([1]Summ!C1063="",0,[1]Summ!C1063)</f>
        <v>0</v>
      </c>
      <c r="C25" s="216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64">
        <f t="shared" si="23"/>
        <v>0</v>
      </c>
      <c r="N25" s="232"/>
      <c r="O25" s="2"/>
      <c r="P25" s="22"/>
      <c r="Q25" s="142" t="s">
        <v>138</v>
      </c>
      <c r="R25" s="41">
        <f>IF($B$81=0,0,(SUM(($B$70*$H$70),($B$71*$H$71))+((1-$D$29)*$I$83))*Poor!$B$81/$B$81)</f>
        <v>51872.693983324607</v>
      </c>
      <c r="S25" s="41">
        <f>IF($B$81=0,0,(SUM(($B$70*$H$70),($B$71*$H$71))+((1-$D$29)*$I$83))*Poor!$B$81/$B$81)</f>
        <v>51872.693983324607</v>
      </c>
      <c r="T25" s="41">
        <f>IF($B$81=0,0,(SUM(($B$70*$H$70),($B$71*$H$71))+((1-$D$29)*$I$83))*Poor!$B$81/$B$81)</f>
        <v>51872.693983324607</v>
      </c>
      <c r="U25" s="56"/>
      <c r="V25" s="56"/>
      <c r="W25" s="110"/>
      <c r="X25" s="118"/>
      <c r="Y25" s="184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4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6">
        <f>IF([1]Summ!C1064="",0,[1]Summ!C1064)</f>
        <v>0.14880952380952381</v>
      </c>
      <c r="C26" s="216">
        <f>IF([1]Summ!D1064="",0,[1]Summ!D1064)</f>
        <v>0</v>
      </c>
      <c r="D26" s="24">
        <f t="shared" si="0"/>
        <v>0.14880952380952381</v>
      </c>
      <c r="E26" s="75">
        <f>Poor!E26</f>
        <v>1</v>
      </c>
      <c r="F26" s="22"/>
      <c r="H26" s="24">
        <f t="shared" si="1"/>
        <v>1</v>
      </c>
      <c r="I26" s="22">
        <f t="shared" si="2"/>
        <v>0.14880952380952381</v>
      </c>
      <c r="J26" s="24">
        <f>IF(I$32&lt;=1+I131,I26,B26*H26+J$33*(I26-B26*H26))</f>
        <v>0.14880952380952381</v>
      </c>
      <c r="K26" s="22">
        <f t="shared" si="4"/>
        <v>0.14880952380952381</v>
      </c>
      <c r="L26" s="22">
        <f t="shared" si="5"/>
        <v>0.14880952380952381</v>
      </c>
      <c r="M26" s="263">
        <f t="shared" si="6"/>
        <v>0.14880952380952381</v>
      </c>
      <c r="N26" s="232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84610.613983324612</v>
      </c>
      <c r="S26" s="41">
        <f>IF($B$81=0,0,(SUM(($B$70*$H$70),($B$71*$H$71),($B$72*$H$72))+((1-$D$29)*$I$83))*Poor!$B$81/$B$81)</f>
        <v>84610.613983324612</v>
      </c>
      <c r="T26" s="41">
        <f>IF($B$81=0,0,(SUM(($B$70*$H$70),($B$71*$H$71),($B$72*$H$72))+((1-$D$29)*$I$83))*Poor!$B$81/$B$81)</f>
        <v>84610.613983324612</v>
      </c>
      <c r="U26" s="56"/>
      <c r="V26" s="56"/>
      <c r="W26" s="110"/>
      <c r="X26" s="118"/>
      <c r="Y26" s="184">
        <f t="shared" si="9"/>
        <v>0.59523809523809523</v>
      </c>
      <c r="Z26" s="156">
        <f>Poor!Z26</f>
        <v>0.25</v>
      </c>
      <c r="AA26" s="121">
        <f t="shared" si="16"/>
        <v>0.14880952380952381</v>
      </c>
      <c r="AB26" s="156">
        <f>Poor!AB26</f>
        <v>0.25</v>
      </c>
      <c r="AC26" s="121">
        <f t="shared" si="7"/>
        <v>0.14880952380952381</v>
      </c>
      <c r="AD26" s="156">
        <f>Poor!AD26</f>
        <v>0.25</v>
      </c>
      <c r="AE26" s="121">
        <f t="shared" si="8"/>
        <v>0.14880952380952381</v>
      </c>
      <c r="AF26" s="122">
        <f t="shared" si="10"/>
        <v>0.25</v>
      </c>
      <c r="AG26" s="121">
        <f t="shared" si="11"/>
        <v>0.14880952380952381</v>
      </c>
      <c r="AH26" s="123">
        <f t="shared" si="12"/>
        <v>1</v>
      </c>
      <c r="AI26" s="184">
        <f t="shared" si="13"/>
        <v>0.14880952380952381</v>
      </c>
      <c r="AJ26" s="120">
        <f t="shared" si="14"/>
        <v>0.14880952380952381</v>
      </c>
      <c r="AK26" s="119">
        <f t="shared" si="15"/>
        <v>0.14880952380952381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6">
        <f>IF([1]Summ!C1065="",0,[1]Summ!C1065)</f>
        <v>3.314115504358655E-2</v>
      </c>
      <c r="C27" s="216">
        <f>IF([1]Summ!D1065="",0,[1]Summ!D1065)</f>
        <v>-3.314115504358655E-2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64">
        <f t="shared" si="6"/>
        <v>0</v>
      </c>
      <c r="N27" s="232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6">
        <f>IF([1]Summ!C1066="",0,[1]Summ!C1066)</f>
        <v>0</v>
      </c>
      <c r="C28" s="216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63">
        <f t="shared" si="6"/>
        <v>0</v>
      </c>
      <c r="N28" s="232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6">
        <f>IF([1]Summ!C1067="",0,[1]Summ!C1067)</f>
        <v>0.16886347229140719</v>
      </c>
      <c r="C29" s="216">
        <f>IF([1]Summ!D1067="",0,[1]Summ!D1067)</f>
        <v>5.5773301650589871E-2</v>
      </c>
      <c r="D29" s="266">
        <f>(B29+C29)</f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0.16886347229140719</v>
      </c>
      <c r="L29" s="22">
        <f t="shared" si="5"/>
        <v>0.16886347229140719</v>
      </c>
      <c r="M29" s="263">
        <f t="shared" si="6"/>
        <v>0.22463677394199705</v>
      </c>
      <c r="N29" s="232"/>
      <c r="P29" s="22"/>
      <c r="V29" s="56"/>
      <c r="W29" s="110"/>
      <c r="X29" s="118"/>
      <c r="Y29" s="184">
        <f t="shared" si="9"/>
        <v>0.89854709576798819</v>
      </c>
      <c r="Z29" s="156">
        <f>Poor!Z29</f>
        <v>0.25</v>
      </c>
      <c r="AA29" s="121">
        <f t="shared" si="16"/>
        <v>0.22463677394199705</v>
      </c>
      <c r="AB29" s="156">
        <f>Poor!AB29</f>
        <v>0.25</v>
      </c>
      <c r="AC29" s="121">
        <f t="shared" si="7"/>
        <v>0.22463677394199705</v>
      </c>
      <c r="AD29" s="156">
        <f>Poor!AD29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4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6">
        <f>IF([1]Summ!C1068="",0,[1]Summ!C1068)</f>
        <v>0.58637945846824402</v>
      </c>
      <c r="C30" s="103"/>
      <c r="D30" s="24">
        <f>(D119-B124)</f>
        <v>1.724489243361492</v>
      </c>
      <c r="E30" s="75">
        <f>Poor!E30</f>
        <v>1</v>
      </c>
      <c r="H30" s="96">
        <f>(E30*F$7/F$9)</f>
        <v>1</v>
      </c>
      <c r="I30" s="29">
        <f>IF(E30&gt;=1,I119-I124,MIN(I119-I124,B30*H30))</f>
        <v>0.81524218647251878</v>
      </c>
      <c r="J30" s="234">
        <f>IF(I$32&lt;=1,I30,1-SUM(J6:J29))</f>
        <v>0.55643521289575471</v>
      </c>
      <c r="K30" s="22">
        <f t="shared" si="4"/>
        <v>0.58637945846824402</v>
      </c>
      <c r="L30" s="22">
        <f>IF(L124=L119,0,IF(K30="",0,(L119-L124)/(B119-B124)*K30))</f>
        <v>0.26636561520126301</v>
      </c>
      <c r="M30" s="23">
        <f t="shared" si="6"/>
        <v>0.55643521289575471</v>
      </c>
      <c r="N30" s="166" t="s">
        <v>86</v>
      </c>
      <c r="O30" s="2"/>
      <c r="P30" s="22"/>
      <c r="Q30" s="59" t="s">
        <v>141</v>
      </c>
      <c r="R30" s="237">
        <f t="shared" ref="R30:T32" si="24">IF(R24&gt;R$23,R24-R$23,0)</f>
        <v>0</v>
      </c>
      <c r="S30" s="237">
        <f t="shared" si="24"/>
        <v>0</v>
      </c>
      <c r="T30" s="237">
        <f t="shared" si="24"/>
        <v>0</v>
      </c>
      <c r="U30" s="56"/>
      <c r="V30" s="56"/>
      <c r="W30" s="110"/>
      <c r="X30" s="118"/>
      <c r="Y30" s="184">
        <f>M30*4</f>
        <v>2.2257408515830188</v>
      </c>
      <c r="Z30" s="122">
        <f>IF($Y30=0,0,AA30/($Y$30))</f>
        <v>0.19855620701354598</v>
      </c>
      <c r="AA30" s="188">
        <f>IF(AA79*4/$I$83+SUM(AA6:AA29)&lt;1,AA79*4/$I$83,1-SUM(AA6:AA29))</f>
        <v>0.44193466128542402</v>
      </c>
      <c r="AB30" s="122">
        <f>IF($Y30=0,0,AC30/($Y$30))</f>
        <v>0.27920959631145981</v>
      </c>
      <c r="AC30" s="188">
        <f>IF(AC79*4/$I$83+SUM(AC6:AC29)&lt;1,AC79*4/$I$83,1-SUM(AC6:AC29))</f>
        <v>0.62144820466441941</v>
      </c>
      <c r="AD30" s="122">
        <f>IF($Y30=0,0,AE30/($Y$30))</f>
        <v>0.27616783126054217</v>
      </c>
      <c r="AE30" s="188">
        <f>IF(AE79*4/$I$83+SUM(AE6:AE29)&lt;1,AE79*4/$I$83,1-SUM(AE6:AE29))</f>
        <v>0.61467802392967463</v>
      </c>
      <c r="AF30" s="122">
        <f>IF($Y30=0,0,AG30/($Y$30))</f>
        <v>0.26933192711205356</v>
      </c>
      <c r="AG30" s="188">
        <f>IF(AG79*4/$I$83+SUM(AG6:AG29)&lt;1,AG79*4/$I$83,1-SUM(AG6:AG29))</f>
        <v>0.59946307280887767</v>
      </c>
      <c r="AH30" s="123">
        <f t="shared" si="12"/>
        <v>1.0232655616976016</v>
      </c>
      <c r="AI30" s="184">
        <f t="shared" si="13"/>
        <v>0.56938099067209891</v>
      </c>
      <c r="AJ30" s="120">
        <f t="shared" si="14"/>
        <v>0.53169143297492172</v>
      </c>
      <c r="AK30" s="119">
        <f t="shared" si="15"/>
        <v>0.60707054836927621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6" t="str">
        <f>IF(1-$B$32&gt;0,1-$B$32,"")</f>
        <v/>
      </c>
      <c r="C31" s="77"/>
      <c r="D31" s="24"/>
      <c r="E31" s="22"/>
      <c r="F31" s="22"/>
      <c r="H31" s="24"/>
      <c r="I31" s="22"/>
      <c r="J31" s="235">
        <f>(1-SUM(J6:J30))</f>
        <v>0</v>
      </c>
      <c r="K31" s="22" t="str">
        <f t="shared" si="4"/>
        <v/>
      </c>
      <c r="L31" s="22">
        <f>(1-SUM(L6:L30))</f>
        <v>0.31448782282503718</v>
      </c>
      <c r="M31" s="244">
        <f t="shared" si="6"/>
        <v>0</v>
      </c>
      <c r="N31" s="167">
        <f>M31*I83</f>
        <v>0</v>
      </c>
      <c r="P31" s="22"/>
      <c r="Q31" s="59" t="s">
        <v>142</v>
      </c>
      <c r="R31" s="237">
        <f t="shared" si="24"/>
        <v>0</v>
      </c>
      <c r="S31" s="237">
        <f t="shared" si="24"/>
        <v>12694.223466007221</v>
      </c>
      <c r="T31" s="237">
        <f>IF(T25&gt;T$23,T25-T$23,0)</f>
        <v>14441.221664038028</v>
      </c>
      <c r="U31" s="245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1.1861164218533178</v>
      </c>
      <c r="C32" s="77">
        <f>SUM(C6:C31)</f>
        <v>2.5336069396542552E-2</v>
      </c>
      <c r="D32" s="24">
        <f>SUM(D6:D30)</f>
        <v>2.3495622761431081</v>
      </c>
      <c r="E32" s="2"/>
      <c r="F32" s="2"/>
      <c r="H32" s="17"/>
      <c r="I32" s="22">
        <f>SUM(I6:I30)</f>
        <v>1.2595370843433837</v>
      </c>
      <c r="J32" s="17"/>
      <c r="L32" s="22">
        <f>SUM(L6:L30)</f>
        <v>0.68551217717496282</v>
      </c>
      <c r="M32" s="23"/>
      <c r="N32" s="56"/>
      <c r="O32" s="2"/>
      <c r="P32" s="22"/>
      <c r="Q32" s="59" t="s">
        <v>143</v>
      </c>
      <c r="R32" s="237">
        <f t="shared" si="24"/>
        <v>28274.627810220423</v>
      </c>
      <c r="S32" s="237">
        <f t="shared" si="24"/>
        <v>45432.143466007226</v>
      </c>
      <c r="T32" s="237">
        <f t="shared" si="24"/>
        <v>47179.141664038034</v>
      </c>
      <c r="U32" s="56"/>
      <c r="V32" s="56"/>
      <c r="W32" s="110"/>
      <c r="X32" s="118"/>
      <c r="Y32" s="115">
        <f>SUM(Y6:Y31)</f>
        <v>3.9482168888946232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0.70983472130877923</v>
      </c>
      <c r="K33" s="14"/>
      <c r="L33" s="11"/>
      <c r="M33" s="30"/>
      <c r="N33" s="168" t="s">
        <v>87</v>
      </c>
      <c r="O33" s="2"/>
      <c r="P33" s="2"/>
      <c r="Q33" s="59"/>
      <c r="R33" s="237"/>
      <c r="S33" s="237"/>
      <c r="T33" s="237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14441.221664038039</v>
      </c>
      <c r="O34" s="2"/>
      <c r="P34" s="2"/>
      <c r="Q34" s="2"/>
      <c r="R34" s="220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Q35" s="2"/>
      <c r="R35" s="221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2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7">
        <f>IF([1]Summ!C1072="",0,[1]Summ!C1072)</f>
        <v>6000</v>
      </c>
      <c r="C37" s="217">
        <f>IF([1]Summ!D1072="",0,[1]Summ!D1072)</f>
        <v>-3000</v>
      </c>
      <c r="D37" s="38">
        <f t="shared" ref="D37:D64" si="25">B37+C37</f>
        <v>3000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1770</v>
      </c>
      <c r="J37" s="38">
        <f>J91*I$83</f>
        <v>1770</v>
      </c>
      <c r="K37" s="40">
        <f>(B37/B$65)</f>
        <v>0.1743223219733287</v>
      </c>
      <c r="L37" s="22">
        <f t="shared" ref="L37" si="28">(K37*H37)</f>
        <v>0.10285016996426392</v>
      </c>
      <c r="M37" s="24">
        <f>J37/B$65</f>
        <v>5.1425084982131962E-2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1770</v>
      </c>
      <c r="AH37" s="123">
        <f>SUM(Z37,AB37,AD37,AF37)</f>
        <v>1</v>
      </c>
      <c r="AI37" s="112">
        <f>SUM(AA37,AC37,AE37,AG37)</f>
        <v>1770</v>
      </c>
      <c r="AJ37" s="148">
        <f>(AA37+AC37)</f>
        <v>0</v>
      </c>
      <c r="AK37" s="147">
        <f>(AE37+AG37)</f>
        <v>1770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7">
        <f>IF([1]Summ!C1073="",0,[1]Summ!C1073)</f>
        <v>300</v>
      </c>
      <c r="C38" s="217">
        <f>IF([1]Summ!D1073="",0,[1]Summ!D1073)</f>
        <v>0</v>
      </c>
      <c r="D38" s="38">
        <f t="shared" si="25"/>
        <v>300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177</v>
      </c>
      <c r="J38" s="38">
        <f t="shared" ref="J38:J64" si="32">J92*I$83</f>
        <v>176.99999999999997</v>
      </c>
      <c r="K38" s="40">
        <f t="shared" ref="K38:K64" si="33">(B38/B$65)</f>
        <v>8.7161160986664338E-3</v>
      </c>
      <c r="L38" s="22">
        <f t="shared" ref="L38:L64" si="34">(K38*H38)</f>
        <v>5.142508498213196E-3</v>
      </c>
      <c r="M38" s="24">
        <f t="shared" ref="M38:M64" si="35">J38/B$65</f>
        <v>5.1425084982131952E-3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176.99999999999997</v>
      </c>
      <c r="AH38" s="123">
        <f t="shared" ref="AH38:AI58" si="37">SUM(Z38,AB38,AD38,AF38)</f>
        <v>1</v>
      </c>
      <c r="AI38" s="112">
        <f t="shared" si="37"/>
        <v>176.99999999999997</v>
      </c>
      <c r="AJ38" s="148">
        <f t="shared" ref="AJ38:AJ64" si="38">(AA38+AC38)</f>
        <v>0</v>
      </c>
      <c r="AK38" s="147">
        <f t="shared" ref="AK38:AK64" si="39">(AE38+AG38)</f>
        <v>176.99999999999997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Beans: kg produced</v>
      </c>
      <c r="B39" s="217">
        <f>IF([1]Summ!C1074="",0,[1]Summ!C1074)</f>
        <v>0</v>
      </c>
      <c r="C39" s="217">
        <f>IF([1]Summ!D1074="",0,[1]Summ!D1074)</f>
        <v>0</v>
      </c>
      <c r="D39" s="38">
        <f t="shared" si="25"/>
        <v>0</v>
      </c>
      <c r="E39" s="75">
        <f>Poor!E39</f>
        <v>0.2</v>
      </c>
      <c r="F39" s="75">
        <f>Poor!F39</f>
        <v>1.4</v>
      </c>
      <c r="G39" s="75">
        <f>Poor!G39</f>
        <v>1.65</v>
      </c>
      <c r="H39" s="24">
        <f t="shared" si="30"/>
        <v>0.27999999999999997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Cabbage: no. local meas</v>
      </c>
      <c r="B40" s="217">
        <f>IF([1]Summ!C1075="",0,[1]Summ!C1075)</f>
        <v>0</v>
      </c>
      <c r="C40" s="217">
        <f>IF([1]Summ!D1075="",0,[1]Summ!D1075)</f>
        <v>0</v>
      </c>
      <c r="D40" s="38">
        <f t="shared" si="25"/>
        <v>0</v>
      </c>
      <c r="E40" s="75">
        <f>Poor!E40</f>
        <v>0.2</v>
      </c>
      <c r="F40" s="75">
        <f>Poor!F40</f>
        <v>1.4</v>
      </c>
      <c r="G40" s="75">
        <f>Poor!G40</f>
        <v>1.65</v>
      </c>
      <c r="H40" s="24">
        <f t="shared" si="30"/>
        <v>0.27999999999999997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beetroot: no. local meas</v>
      </c>
      <c r="B41" s="217">
        <f>IF([1]Summ!C1076="",0,[1]Summ!C1076)</f>
        <v>0</v>
      </c>
      <c r="C41" s="217">
        <f>IF([1]Summ!D1076="",0,[1]Summ!D1076)</f>
        <v>0</v>
      </c>
      <c r="D41" s="38">
        <f t="shared" si="25"/>
        <v>0</v>
      </c>
      <c r="E41" s="75">
        <f>Poor!E41</f>
        <v>0.2</v>
      </c>
      <c r="F41" s="75">
        <f>Poor!F41</f>
        <v>1.4</v>
      </c>
      <c r="G41" s="75">
        <f>Poor!G41</f>
        <v>1.65</v>
      </c>
      <c r="H41" s="24">
        <f t="shared" si="30"/>
        <v>0.27999999999999997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Other crop: Spinach</v>
      </c>
      <c r="B42" s="217">
        <f>IF([1]Summ!C1077="",0,[1]Summ!C1077)</f>
        <v>15</v>
      </c>
      <c r="C42" s="217">
        <f>IF([1]Summ!D1077="",0,[1]Summ!D1077)</f>
        <v>-15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4.358058049333217E-4</v>
      </c>
      <c r="L42" s="22">
        <f t="shared" si="34"/>
        <v>1.2202562538133007E-4</v>
      </c>
      <c r="M42" s="24">
        <f t="shared" si="35"/>
        <v>0</v>
      </c>
      <c r="N42" s="2"/>
      <c r="O42" s="2"/>
      <c r="P42" s="17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Other crop: pumpkin</v>
      </c>
      <c r="B43" s="217">
        <f>IF([1]Summ!C1078="",0,[1]Summ!C1078)</f>
        <v>0</v>
      </c>
      <c r="C43" s="217">
        <f>IF([1]Summ!D1078="",0,[1]Summ!D1078)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Agricultural cash income -- see Data2</v>
      </c>
      <c r="B44" s="217">
        <f>IF([1]Summ!C1079="",0,[1]Summ!C1079)</f>
        <v>1620</v>
      </c>
      <c r="C44" s="217">
        <f>IF([1]Summ!D1079="",0,[1]Summ!D1079)</f>
        <v>0</v>
      </c>
      <c r="D44" s="38">
        <f t="shared" si="25"/>
        <v>1620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899.1</v>
      </c>
      <c r="J44" s="38">
        <f t="shared" si="32"/>
        <v>899.1</v>
      </c>
      <c r="K44" s="40">
        <f t="shared" si="33"/>
        <v>4.7067026932798746E-2</v>
      </c>
      <c r="L44" s="22">
        <f t="shared" si="34"/>
        <v>2.6122199947703307E-2</v>
      </c>
      <c r="M44" s="24">
        <f t="shared" si="35"/>
        <v>2.6122199947703303E-2</v>
      </c>
      <c r="N44" s="2"/>
      <c r="O44" s="2"/>
      <c r="P44" s="2"/>
      <c r="Q44" s="261"/>
      <c r="R44" s="41"/>
      <c r="S44" s="41"/>
      <c r="T44" s="22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224.77500000000001</v>
      </c>
      <c r="AB44" s="156">
        <f>Poor!AB44</f>
        <v>0.25</v>
      </c>
      <c r="AC44" s="147">
        <f t="shared" si="41"/>
        <v>224.77500000000001</v>
      </c>
      <c r="AD44" s="156">
        <f>Poor!AD44</f>
        <v>0.25</v>
      </c>
      <c r="AE44" s="147">
        <f t="shared" si="42"/>
        <v>224.77500000000001</v>
      </c>
      <c r="AF44" s="122">
        <f t="shared" si="29"/>
        <v>0.25</v>
      </c>
      <c r="AG44" s="147">
        <f t="shared" si="36"/>
        <v>224.77500000000001</v>
      </c>
      <c r="AH44" s="123">
        <f t="shared" si="37"/>
        <v>1</v>
      </c>
      <c r="AI44" s="112">
        <f t="shared" si="37"/>
        <v>899.1</v>
      </c>
      <c r="AJ44" s="148">
        <f t="shared" si="38"/>
        <v>449.55</v>
      </c>
      <c r="AK44" s="147">
        <f t="shared" si="39"/>
        <v>449.55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Formal Employment (conservancies, etc.)</v>
      </c>
      <c r="B45" s="217">
        <f>IF([1]Summ!C1080="",0,[1]Summ!C1080)</f>
        <v>0</v>
      </c>
      <c r="C45" s="217">
        <f>IF([1]Summ!D1080="",0,[1]Summ!D1080)</f>
        <v>0</v>
      </c>
      <c r="D45" s="38">
        <f t="shared" si="25"/>
        <v>0</v>
      </c>
      <c r="E45" s="75">
        <f>Poor!E45</f>
        <v>0.6</v>
      </c>
      <c r="F45" s="75">
        <f>Poor!F45</f>
        <v>1.18</v>
      </c>
      <c r="G45" s="75">
        <f>Poor!G45</f>
        <v>1.65</v>
      </c>
      <c r="H45" s="24">
        <f t="shared" si="30"/>
        <v>0.70799999999999996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61"/>
      <c r="S45" s="41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Small business -- see Data2</v>
      </c>
      <c r="B46" s="217">
        <f>IF([1]Summ!C1081="",0,[1]Summ!C1081)</f>
        <v>0</v>
      </c>
      <c r="C46" s="217">
        <f>IF([1]Summ!D1081="",0,[1]Summ!D1081)</f>
        <v>0</v>
      </c>
      <c r="D46" s="38">
        <f t="shared" si="25"/>
        <v>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30"/>
        <v>0.94399999999999995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61"/>
      <c r="S46" s="41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Social development -- see Data2</v>
      </c>
      <c r="B47" s="217">
        <f>IF([1]Summ!C1082="",0,[1]Summ!C1082)</f>
        <v>21444</v>
      </c>
      <c r="C47" s="217">
        <f>IF([1]Summ!D1082="",0,[1]Summ!D1082)</f>
        <v>0</v>
      </c>
      <c r="D47" s="38">
        <f t="shared" si="25"/>
        <v>21444</v>
      </c>
      <c r="E47" s="75">
        <f>Poor!E47</f>
        <v>1</v>
      </c>
      <c r="F47" s="75">
        <f>Poor!F47</f>
        <v>1.18</v>
      </c>
      <c r="G47" s="75">
        <f>Poor!G47</f>
        <v>1.65</v>
      </c>
      <c r="H47" s="24">
        <f t="shared" si="30"/>
        <v>1.18</v>
      </c>
      <c r="I47" s="39">
        <f t="shared" si="31"/>
        <v>25303.919999999998</v>
      </c>
      <c r="J47" s="38">
        <f t="shared" si="32"/>
        <v>25303.919999999998</v>
      </c>
      <c r="K47" s="40">
        <f t="shared" si="33"/>
        <v>0.62302797873267668</v>
      </c>
      <c r="L47" s="22">
        <f t="shared" si="34"/>
        <v>0.73517301490455844</v>
      </c>
      <c r="M47" s="24">
        <f t="shared" si="35"/>
        <v>0.73517301490455844</v>
      </c>
      <c r="N47" s="2"/>
      <c r="O47" s="2"/>
      <c r="P47" s="2"/>
      <c r="R47" s="248"/>
      <c r="V47" s="56"/>
      <c r="W47" s="110"/>
      <c r="X47" s="118"/>
      <c r="Y47" s="110"/>
      <c r="Z47" s="156">
        <f>Poor!Z47</f>
        <v>0.25</v>
      </c>
      <c r="AA47" s="147">
        <f t="shared" si="40"/>
        <v>6325.98</v>
      </c>
      <c r="AB47" s="156">
        <f>Poor!AB47</f>
        <v>0.25</v>
      </c>
      <c r="AC47" s="147">
        <f t="shared" si="41"/>
        <v>6325.98</v>
      </c>
      <c r="AD47" s="156">
        <f>Poor!AD47</f>
        <v>0.25</v>
      </c>
      <c r="AE47" s="147">
        <f t="shared" si="42"/>
        <v>6325.98</v>
      </c>
      <c r="AF47" s="122">
        <f t="shared" si="29"/>
        <v>0.25</v>
      </c>
      <c r="AG47" s="147">
        <f t="shared" si="36"/>
        <v>6325.98</v>
      </c>
      <c r="AH47" s="123">
        <f t="shared" si="37"/>
        <v>1</v>
      </c>
      <c r="AI47" s="112">
        <f t="shared" si="37"/>
        <v>25303.919999999998</v>
      </c>
      <c r="AJ47" s="148">
        <f t="shared" si="38"/>
        <v>12651.96</v>
      </c>
      <c r="AK47" s="147">
        <f t="shared" si="39"/>
        <v>12651.96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Public works -- see Data2</v>
      </c>
      <c r="B48" s="217">
        <f>IF([1]Summ!C1083="",0,[1]Summ!C1083)</f>
        <v>5040</v>
      </c>
      <c r="C48" s="217">
        <f>IF([1]Summ!D1083="",0,[1]Summ!D1083)</f>
        <v>0</v>
      </c>
      <c r="D48" s="38">
        <f t="shared" si="25"/>
        <v>5040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5947.2</v>
      </c>
      <c r="J48" s="38">
        <f t="shared" si="32"/>
        <v>5947.2000000000007</v>
      </c>
      <c r="K48" s="40">
        <f t="shared" si="33"/>
        <v>0.1464307504575961</v>
      </c>
      <c r="L48" s="22">
        <f t="shared" si="34"/>
        <v>0.17278828553996339</v>
      </c>
      <c r="M48" s="24">
        <f t="shared" si="35"/>
        <v>0.17278828553996342</v>
      </c>
      <c r="N48" s="2"/>
      <c r="O48" s="2"/>
      <c r="P48" s="2"/>
      <c r="Q48" s="261"/>
      <c r="R48" s="180"/>
      <c r="S48" s="41"/>
      <c r="T48" s="22"/>
      <c r="V48" s="56"/>
      <c r="W48" s="110"/>
      <c r="X48" s="118"/>
      <c r="Y48" s="110"/>
      <c r="Z48" s="156">
        <f>Poor!Z48</f>
        <v>0.25</v>
      </c>
      <c r="AA48" s="147">
        <f t="shared" si="40"/>
        <v>1486.8000000000002</v>
      </c>
      <c r="AB48" s="156">
        <f>Poor!AB48</f>
        <v>0.25</v>
      </c>
      <c r="AC48" s="147">
        <f t="shared" si="41"/>
        <v>1486.8000000000002</v>
      </c>
      <c r="AD48" s="156">
        <f>Poor!AD48</f>
        <v>0.25</v>
      </c>
      <c r="AE48" s="147">
        <f t="shared" si="42"/>
        <v>1486.8000000000002</v>
      </c>
      <c r="AF48" s="122">
        <f t="shared" si="29"/>
        <v>0.25</v>
      </c>
      <c r="AG48" s="147">
        <f t="shared" si="36"/>
        <v>1486.8000000000002</v>
      </c>
      <c r="AH48" s="123">
        <f t="shared" si="37"/>
        <v>1</v>
      </c>
      <c r="AI48" s="112">
        <f t="shared" si="37"/>
        <v>5947.2000000000007</v>
      </c>
      <c r="AJ48" s="148">
        <f t="shared" si="38"/>
        <v>2973.6000000000004</v>
      </c>
      <c r="AK48" s="147">
        <f t="shared" si="39"/>
        <v>2973.6000000000004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/>
      </c>
      <c r="B49" s="217">
        <f>IF([1]Summ!C1084="",0,[1]Summ!C1084)</f>
        <v>0</v>
      </c>
      <c r="C49" s="217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61"/>
      <c r="R49" s="180"/>
      <c r="S49" s="41"/>
      <c r="T49" s="2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/>
      </c>
      <c r="B50" s="217">
        <f>IF([1]Summ!C1085="",0,[1]Summ!C1085)</f>
        <v>0</v>
      </c>
      <c r="C50" s="217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61"/>
      <c r="R50" s="180"/>
      <c r="S50" s="41"/>
      <c r="T50" s="2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/>
      </c>
      <c r="B51" s="217">
        <f>IF([1]Summ!C1086="",0,[1]Summ!C1086)</f>
        <v>0</v>
      </c>
      <c r="C51" s="217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61"/>
      <c r="R51" s="180"/>
      <c r="S51" s="41"/>
      <c r="T51" s="2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7">
        <f>IF([1]Summ!C1087="",0,[1]Summ!C1087)</f>
        <v>0</v>
      </c>
      <c r="C52" s="217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21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7">
        <f>IF([1]Summ!C1088="",0,[1]Summ!C1088)</f>
        <v>0</v>
      </c>
      <c r="C53" s="217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21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7">
        <f>IF([1]Summ!C1089="",0,[1]Summ!C1089)</f>
        <v>0</v>
      </c>
      <c r="C54" s="217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21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7">
        <f>IF([1]Summ!C1090="",0,[1]Summ!C1090)</f>
        <v>0</v>
      </c>
      <c r="C55" s="217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21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7">
        <f>IF([1]Summ!C1091="",0,[1]Summ!C1091)</f>
        <v>0</v>
      </c>
      <c r="C56" s="217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21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7">
        <f>IF([1]Summ!C1092="",0,[1]Summ!C1092)</f>
        <v>0</v>
      </c>
      <c r="C57" s="217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21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7">
        <f>IF([1]Summ!C1093="",0,[1]Summ!C1093)</f>
        <v>0</v>
      </c>
      <c r="C58" s="217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21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7">
        <f>IF([1]Summ!C1094="",0,[1]Summ!C1094)</f>
        <v>0</v>
      </c>
      <c r="C59" s="217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21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7">
        <f>IF([1]Summ!C1095="",0,[1]Summ!C1095)</f>
        <v>0</v>
      </c>
      <c r="C60" s="217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7">
        <f>IF([1]Summ!C1096="",0,[1]Summ!C1096)</f>
        <v>0</v>
      </c>
      <c r="C61" s="217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7">
        <f>IF([1]Summ!C1097="",0,[1]Summ!C1097)</f>
        <v>0</v>
      </c>
      <c r="C62" s="217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7">
        <f>IF([1]Summ!C1098="",0,[1]Summ!C1098)</f>
        <v>0</v>
      </c>
      <c r="C63" s="217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7">
        <f>IF([1]Summ!C1099="",0,[1]Summ!C1099)</f>
        <v>0</v>
      </c>
      <c r="C64" s="217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34419</v>
      </c>
      <c r="C65" s="39">
        <f>SUM(C37:C64)</f>
        <v>-3015</v>
      </c>
      <c r="D65" s="42">
        <f>SUM(D37:D64)</f>
        <v>31404</v>
      </c>
      <c r="E65" s="32"/>
      <c r="F65" s="32"/>
      <c r="G65" s="32"/>
      <c r="H65" s="31"/>
      <c r="I65" s="39">
        <f>SUM(I37:I64)</f>
        <v>34097.219999999994</v>
      </c>
      <c r="J65" s="39">
        <f>SUM(J37:J64)</f>
        <v>34097.22</v>
      </c>
      <c r="K65" s="40">
        <f>SUM(K37:K64)</f>
        <v>1</v>
      </c>
      <c r="L65" s="22">
        <f>SUM(L37:L64)</f>
        <v>1.0421982044800835</v>
      </c>
      <c r="M65" s="24">
        <f>SUM(M37:M64)</f>
        <v>0.99065109387257033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8037.5549999999994</v>
      </c>
      <c r="AB65" s="137"/>
      <c r="AC65" s="153">
        <f>SUM(AC37:AC64)</f>
        <v>8037.5549999999994</v>
      </c>
      <c r="AD65" s="137"/>
      <c r="AE65" s="153">
        <f>SUM(AE37:AE64)</f>
        <v>8037.5549999999994</v>
      </c>
      <c r="AF65" s="137"/>
      <c r="AG65" s="153">
        <f>SUM(AG37:AG64)</f>
        <v>9984.5550000000003</v>
      </c>
      <c r="AH65" s="137"/>
      <c r="AI65" s="153">
        <f>SUM(AI37:AI64)</f>
        <v>34097.22</v>
      </c>
      <c r="AJ65" s="153">
        <f>SUM(AJ37:AJ64)</f>
        <v>16075.109999999999</v>
      </c>
      <c r="AK65" s="153">
        <f>SUM(AK37:AK64)</f>
        <v>18022.11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15486.543496873714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21681.160895623198</v>
      </c>
      <c r="J70" s="51">
        <f t="shared" ref="J70:J76" si="44">J124*I$83</f>
        <v>21681.160895623198</v>
      </c>
      <c r="K70" s="40">
        <f>B70/B$76</f>
        <v>0.44994170361932984</v>
      </c>
      <c r="L70" s="22">
        <f t="shared" ref="L70:L74" si="45">(L124*G$37*F$9/F$7)/B$130</f>
        <v>0.62991838506706177</v>
      </c>
      <c r="M70" s="24">
        <f>J70/B$76</f>
        <v>0.62991838506706177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5420.2902239057994</v>
      </c>
      <c r="AB70" s="156">
        <f>Poor!AB70</f>
        <v>0.25</v>
      </c>
      <c r="AC70" s="147">
        <f>$J70*AB70</f>
        <v>5420.2902239057994</v>
      </c>
      <c r="AD70" s="156">
        <f>Poor!AD70</f>
        <v>0.25</v>
      </c>
      <c r="AE70" s="147">
        <f>$J70*AD70</f>
        <v>5420.2902239057994</v>
      </c>
      <c r="AF70" s="156">
        <f>Poor!AF70</f>
        <v>0.25</v>
      </c>
      <c r="AG70" s="147">
        <f>$J70*AF70</f>
        <v>5420.2902239057994</v>
      </c>
      <c r="AH70" s="155">
        <f>SUM(Z70,AB70,AD70,AF70)</f>
        <v>1</v>
      </c>
      <c r="AI70" s="147">
        <f>SUM(AA70,AC70,AE70,AG70)</f>
        <v>21681.160895623198</v>
      </c>
      <c r="AJ70" s="148">
        <f>(AA70+AC70)</f>
        <v>10840.580447811599</v>
      </c>
      <c r="AK70" s="147">
        <f>(AE70+AG70)</f>
        <v>10840.580447811599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15578.666666666668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12416.059104376798</v>
      </c>
      <c r="J71" s="51">
        <f t="shared" si="44"/>
        <v>12416.059104376798</v>
      </c>
      <c r="K71" s="40">
        <f t="shared" ref="K71:K72" si="47">B71/B$76</f>
        <v>0.45261822443030503</v>
      </c>
      <c r="L71" s="22">
        <f t="shared" si="45"/>
        <v>0.41227981941302183</v>
      </c>
      <c r="M71" s="24">
        <f t="shared" ref="M71:M72" si="48">J71/B$76</f>
        <v>0.36073270880550851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0.80606641680467184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1200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3.4864464394665735E-2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127.44</v>
      </c>
      <c r="AB73" s="156">
        <f>Poor!AB73</f>
        <v>0.09</v>
      </c>
      <c r="AC73" s="147">
        <f>$H$73*$B$73*AB73</f>
        <v>127.44</v>
      </c>
      <c r="AD73" s="156">
        <f>Poor!AD73</f>
        <v>0.23</v>
      </c>
      <c r="AE73" s="147">
        <f>$H$73*$B$73*AD73</f>
        <v>325.68</v>
      </c>
      <c r="AF73" s="156">
        <f>Poor!AF73</f>
        <v>0.59</v>
      </c>
      <c r="AG73" s="147">
        <f>$H$73*$B$73*AF73</f>
        <v>835.43999999999994</v>
      </c>
      <c r="AH73" s="155">
        <f>SUM(Z73,AB73,AD73,AF73)</f>
        <v>1</v>
      </c>
      <c r="AI73" s="147">
        <f>SUM(AA73,AC73,AE73,AG73)</f>
        <v>1416</v>
      </c>
      <c r="AJ73" s="148">
        <f>(AA73+AC73)</f>
        <v>254.88</v>
      </c>
      <c r="AK73" s="147">
        <f>(AE73+AG73)</f>
        <v>1161.1199999999999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5412.4254821683862</v>
      </c>
      <c r="C74" s="39"/>
      <c r="D74" s="38"/>
      <c r="E74" s="32"/>
      <c r="F74" s="32"/>
      <c r="G74" s="32"/>
      <c r="H74" s="31"/>
      <c r="I74" s="39">
        <f>I128*I$83</f>
        <v>12416.059104376798</v>
      </c>
      <c r="J74" s="51">
        <f t="shared" si="44"/>
        <v>8474.4541017481624</v>
      </c>
      <c r="K74" s="40">
        <f>B74/B$76</f>
        <v>0.15725109625986769</v>
      </c>
      <c r="L74" s="22">
        <f t="shared" si="45"/>
        <v>0.1178628774351784</v>
      </c>
      <c r="M74" s="24">
        <f>J74/B$76</f>
        <v>0.24621441941218986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1682.6554629535021</v>
      </c>
      <c r="AB74" s="156"/>
      <c r="AC74" s="147">
        <f>AC30*$I$83/4</f>
        <v>2366.148908709099</v>
      </c>
      <c r="AD74" s="156"/>
      <c r="AE74" s="147">
        <f>AE30*$I$83/4</f>
        <v>2340.3716103967963</v>
      </c>
      <c r="AF74" s="156"/>
      <c r="AG74" s="147">
        <f>AG30*$I$83/4</f>
        <v>2282.4410544464795</v>
      </c>
      <c r="AH74" s="155"/>
      <c r="AI74" s="147">
        <f>SUM(AA74,AC74,AE74,AG74)</f>
        <v>8671.617036505877</v>
      </c>
      <c r="AJ74" s="148">
        <f>(AA74+AC74)</f>
        <v>4048.8043716626012</v>
      </c>
      <c r="AK74" s="147">
        <f>(AE74+AG74)</f>
        <v>4622.8126648432753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3216.4330347884188</v>
      </c>
      <c r="AB75" s="158"/>
      <c r="AC75" s="149">
        <f>AA75+AC65-SUM(AC70,AC74)</f>
        <v>3467.5489021735193</v>
      </c>
      <c r="AD75" s="158"/>
      <c r="AE75" s="149">
        <f>AC75+AE65-SUM(AE70,AE74)</f>
        <v>3744.4420678709239</v>
      </c>
      <c r="AF75" s="158"/>
      <c r="AG75" s="149">
        <f>IF(SUM(AG6:AG29)+((AG65-AG70-$J$75)*4/I$83)&lt;1,0,AG65-AG70-$J$75-(1-SUM(AG6:AG29))*I$83/4)</f>
        <v>2281.8237216477214</v>
      </c>
      <c r="AH75" s="134"/>
      <c r="AI75" s="149">
        <f>AI76-SUM(AI70,AI74)</f>
        <v>3744.4420678709284</v>
      </c>
      <c r="AJ75" s="151">
        <f>AJ76-SUM(AJ70,AJ74)</f>
        <v>1185.7251805257984</v>
      </c>
      <c r="AK75" s="149">
        <f>AJ75+AK76-SUM(AK70,AK74)</f>
        <v>3744.4420678709248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34419</v>
      </c>
      <c r="C76" s="39"/>
      <c r="D76" s="38"/>
      <c r="E76" s="32"/>
      <c r="F76" s="32"/>
      <c r="G76" s="32"/>
      <c r="H76" s="31"/>
      <c r="I76" s="39">
        <f>I130*I$83</f>
        <v>34097.219999999994</v>
      </c>
      <c r="J76" s="51">
        <f t="shared" si="44"/>
        <v>34097.219999999994</v>
      </c>
      <c r="K76" s="40">
        <f>SUM(K70:K75)</f>
        <v>1.9007419055088401</v>
      </c>
      <c r="L76" s="22">
        <f>SUM(L70:L75)</f>
        <v>1.1600610819152619</v>
      </c>
      <c r="M76" s="24">
        <f>SUM(M70:M75)</f>
        <v>1.2368655132847601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8037.5549999999994</v>
      </c>
      <c r="AB76" s="137"/>
      <c r="AC76" s="153">
        <f>AC65</f>
        <v>8037.5549999999994</v>
      </c>
      <c r="AD76" s="137"/>
      <c r="AE76" s="153">
        <f>AE65</f>
        <v>8037.5549999999994</v>
      </c>
      <c r="AF76" s="137"/>
      <c r="AG76" s="153">
        <f>AG65</f>
        <v>9984.5550000000003</v>
      </c>
      <c r="AH76" s="137"/>
      <c r="AI76" s="153">
        <f>SUM(AA76,AC76,AE76,AG76)</f>
        <v>34097.22</v>
      </c>
      <c r="AJ76" s="154">
        <f>SUM(AA76,AC76)</f>
        <v>16075.109999999999</v>
      </c>
      <c r="AK76" s="154">
        <f>SUM(AE76,AG76)</f>
        <v>18022.11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18382.826666666671</v>
      </c>
      <c r="J77" s="100">
        <f>J131*I$83</f>
        <v>14441.221664038039</v>
      </c>
      <c r="K77" s="40"/>
      <c r="L77" s="22">
        <f>-(L131*G$37*F$9/F$7)/B$130</f>
        <v>-0.53408950482776008</v>
      </c>
      <c r="M77" s="24">
        <f>-J77/B$76</f>
        <v>-0.41957121543444142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2281.8237216477214</v>
      </c>
      <c r="AB78" s="112"/>
      <c r="AC78" s="112">
        <f>IF(AA75&lt;0,0,AA75)</f>
        <v>3216.4330347884188</v>
      </c>
      <c r="AD78" s="112"/>
      <c r="AE78" s="112">
        <f>AC75</f>
        <v>3467.5489021735193</v>
      </c>
      <c r="AF78" s="112"/>
      <c r="AG78" s="112">
        <f>AE75</f>
        <v>3744.4420678709239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3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4899.0884977419209</v>
      </c>
      <c r="AB79" s="112"/>
      <c r="AC79" s="112">
        <f>AA79-AA74+AC65-AC70</f>
        <v>5833.6978108826179</v>
      </c>
      <c r="AD79" s="112"/>
      <c r="AE79" s="112">
        <f>AC79-AC74+AE65-AE70</f>
        <v>6084.8136782677184</v>
      </c>
      <c r="AF79" s="112"/>
      <c r="AG79" s="112">
        <f>AE79-AE74+AG65-AG70</f>
        <v>8308.706843965123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0.65272799689315064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3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4.8428173497811375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9230.2440066827512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15229.902611026539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3807.4756527566346</v>
      </c>
      <c r="AB83" s="112"/>
      <c r="AC83" s="165">
        <f>$I$83*AB82/4</f>
        <v>3807.4756527566346</v>
      </c>
      <c r="AD83" s="112"/>
      <c r="AE83" s="165">
        <f>$I$83*AD82/4</f>
        <v>3807.4756527566346</v>
      </c>
      <c r="AF83" s="112"/>
      <c r="AG83" s="165">
        <f>$I$83*AF82/4</f>
        <v>3807.4756527566346</v>
      </c>
      <c r="AH83" s="165">
        <f>SUM(AA83,AC83,AE83,AG83)</f>
        <v>15229.902611026539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145</v>
      </c>
      <c r="B84" s="237">
        <f>B70+((1-D29)*B83)</f>
        <v>22643.335267197799</v>
      </c>
      <c r="C84" s="46"/>
      <c r="D84" s="238"/>
      <c r="E84" s="64"/>
      <c r="F84" s="64"/>
      <c r="G84" s="64"/>
      <c r="H84" s="239">
        <f>IF(B84=0,0,I84/B84)</f>
        <v>1.4790165371606248</v>
      </c>
      <c r="I84" s="237">
        <f>(B70*H70)+((1-(D29*H29))*I83)</f>
        <v>33489.867316657939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>
        <f>B84+B71</f>
        <v>38222.001933864463</v>
      </c>
      <c r="C85" s="39"/>
      <c r="D85" s="38"/>
      <c r="E85" s="32"/>
      <c r="F85" s="32"/>
      <c r="G85" s="32"/>
      <c r="H85" s="239">
        <f>IF(B85=0,0,I85/B85)</f>
        <v>1.3571422573071903</v>
      </c>
      <c r="I85" s="237">
        <f>(B70*H70)+(B71*H71)+((1-(D29*H29))*I83)</f>
        <v>51872.693983324607</v>
      </c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0.65003698663393561</v>
      </c>
      <c r="C91" s="75">
        <f t="shared" si="51"/>
        <v>-0.3250184933169678</v>
      </c>
      <c r="D91" s="24">
        <f t="shared" ref="D91:D106" si="52">(B91+C91)</f>
        <v>0.3250184933169678</v>
      </c>
      <c r="H91" s="24">
        <f t="shared" ref="H91:H106" si="53">(E37*F37/G37*F$7/F$9)</f>
        <v>0.3575757575757576</v>
      </c>
      <c r="I91" s="22">
        <f t="shared" ref="I91:I106" si="54">(D91*H91)</f>
        <v>0.11621873397394607</v>
      </c>
      <c r="J91" s="24">
        <f t="shared" ref="J91:J99" si="55">IF(I$32&lt;=1+I$131,I91,L91+J$33*(I91-L91))</f>
        <v>0.11621873397394607</v>
      </c>
      <c r="K91" s="22">
        <f t="shared" ref="K91:K106" si="56">(B91)</f>
        <v>0.65003698663393561</v>
      </c>
      <c r="L91" s="22">
        <f t="shared" ref="L91:L106" si="57">(K91*H91)</f>
        <v>0.23243746794789213</v>
      </c>
      <c r="M91" s="230">
        <f t="shared" si="49"/>
        <v>0.11621873397394607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3.250184933169678E-2</v>
      </c>
      <c r="C92" s="75">
        <f t="shared" si="51"/>
        <v>0</v>
      </c>
      <c r="D92" s="24">
        <f t="shared" si="52"/>
        <v>3.250184933169678E-2</v>
      </c>
      <c r="H92" s="24">
        <f t="shared" si="53"/>
        <v>0.3575757575757576</v>
      </c>
      <c r="I92" s="22">
        <f t="shared" si="54"/>
        <v>1.1621873397394606E-2</v>
      </c>
      <c r="J92" s="24">
        <f t="shared" si="55"/>
        <v>1.1621873397394606E-2</v>
      </c>
      <c r="K92" s="22">
        <f t="shared" si="56"/>
        <v>3.250184933169678E-2</v>
      </c>
      <c r="L92" s="22">
        <f t="shared" si="57"/>
        <v>1.1621873397394606E-2</v>
      </c>
      <c r="M92" s="230">
        <f t="shared" si="49"/>
        <v>1.1621873397394606E-2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Beans: kg produced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0.16969696969696968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30">
        <f t="shared" si="49"/>
        <v>0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Cabbage: no. local meas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0.16969696969696968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31">
        <f t="shared" si="49"/>
        <v>0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beetroot: no. local meas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0.16969696969696968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31">
        <f t="shared" si="49"/>
        <v>0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Other crop: Spinach</v>
      </c>
      <c r="B96" s="75">
        <f t="shared" si="51"/>
        <v>1.625092466584839E-3</v>
      </c>
      <c r="C96" s="75">
        <f t="shared" si="51"/>
        <v>-1.625092466584839E-3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1.625092466584839E-3</v>
      </c>
      <c r="L96" s="22">
        <f t="shared" si="57"/>
        <v>2.7577326705682115E-4</v>
      </c>
      <c r="M96" s="231">
        <f t="shared" si="49"/>
        <v>0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Other crop: pumpkin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31">
        <f t="shared" si="49"/>
        <v>0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Agricultural cash income -- see Data2</v>
      </c>
      <c r="B98" s="75">
        <f t="shared" si="51"/>
        <v>0.17550998639116261</v>
      </c>
      <c r="C98" s="75">
        <f t="shared" si="51"/>
        <v>0</v>
      </c>
      <c r="D98" s="24">
        <f t="shared" si="52"/>
        <v>0.17550998639116261</v>
      </c>
      <c r="H98" s="24">
        <f t="shared" si="53"/>
        <v>0.33636363636363642</v>
      </c>
      <c r="I98" s="22">
        <f t="shared" si="54"/>
        <v>5.9035177240663796E-2</v>
      </c>
      <c r="J98" s="24">
        <f t="shared" si="55"/>
        <v>5.9035177240663796E-2</v>
      </c>
      <c r="K98" s="22">
        <f t="shared" si="56"/>
        <v>0.17550998639116261</v>
      </c>
      <c r="L98" s="22">
        <f t="shared" si="57"/>
        <v>5.9035177240663796E-2</v>
      </c>
      <c r="M98" s="231">
        <f t="shared" si="49"/>
        <v>5.9035177240663796E-2</v>
      </c>
      <c r="N98" s="232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Formal Employment (conservancies, etc.)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0.42909090909090908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31">
        <f t="shared" si="49"/>
        <v>0</v>
      </c>
      <c r="N99" s="232">
        <v>8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Small business -- see Data2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0.57212121212121214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31">
        <f t="shared" si="49"/>
        <v>0</v>
      </c>
      <c r="N100" s="232">
        <v>11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Social development -- see Data2</v>
      </c>
      <c r="B101" s="75">
        <f t="shared" si="51"/>
        <v>2.3232321902296857</v>
      </c>
      <c r="C101" s="75">
        <f t="shared" si="51"/>
        <v>0</v>
      </c>
      <c r="D101" s="24">
        <f t="shared" si="52"/>
        <v>2.3232321902296857</v>
      </c>
      <c r="H101" s="24">
        <f t="shared" si="53"/>
        <v>0.7151515151515152</v>
      </c>
      <c r="I101" s="22">
        <f t="shared" si="54"/>
        <v>1.6614630208915329</v>
      </c>
      <c r="J101" s="24">
        <f>IF(I$32&lt;=1+I131,I101,L101+J$33*(I101-L101))</f>
        <v>1.6614630208915329</v>
      </c>
      <c r="K101" s="22">
        <f t="shared" si="56"/>
        <v>2.3232321902296857</v>
      </c>
      <c r="L101" s="22">
        <f t="shared" si="57"/>
        <v>1.6614630208915329</v>
      </c>
      <c r="M101" s="230">
        <f t="shared" si="49"/>
        <v>1.6614630208915329</v>
      </c>
      <c r="N101" s="232">
        <v>14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Public works -- see Data2</v>
      </c>
      <c r="B102" s="75">
        <f t="shared" si="51"/>
        <v>0.54603106877250596</v>
      </c>
      <c r="C102" s="75">
        <f t="shared" si="51"/>
        <v>0</v>
      </c>
      <c r="D102" s="24">
        <f t="shared" si="52"/>
        <v>0.54603106877250596</v>
      </c>
      <c r="H102" s="24">
        <f t="shared" si="53"/>
        <v>0.7151515151515152</v>
      </c>
      <c r="I102" s="22">
        <f t="shared" si="54"/>
        <v>0.39049494615245883</v>
      </c>
      <c r="J102" s="24">
        <f>IF(I$32&lt;=1+I131,I102,L102+J$33*(I102-L102))</f>
        <v>0.39049494615245883</v>
      </c>
      <c r="K102" s="22">
        <f t="shared" si="56"/>
        <v>0.54603106877250596</v>
      </c>
      <c r="L102" s="22">
        <f t="shared" si="57"/>
        <v>0.39049494615245883</v>
      </c>
      <c r="M102" s="231">
        <f t="shared" si="49"/>
        <v>0.39049494615245883</v>
      </c>
      <c r="N102" s="232">
        <v>9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/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0.60606060606060608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31">
        <f t="shared" si="49"/>
        <v>0</v>
      </c>
      <c r="N103" s="23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31">
        <f t="shared" si="49"/>
        <v>0</v>
      </c>
      <c r="N104" s="23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31">
        <f t="shared" si="49"/>
        <v>0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31">
        <f>(J106)</f>
        <v>0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31">
        <f t="shared" ref="M107:M118" si="65">(J107)</f>
        <v>0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31">
        <f t="shared" si="65"/>
        <v>0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31">
        <f t="shared" si="65"/>
        <v>0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31">
        <f t="shared" si="65"/>
        <v>0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31">
        <f t="shared" si="65"/>
        <v>0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31">
        <f t="shared" si="65"/>
        <v>0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31">
        <f t="shared" si="65"/>
        <v>0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31">
        <f t="shared" si="65"/>
        <v>0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31">
        <f t="shared" si="65"/>
        <v>0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31">
        <f t="shared" si="65"/>
        <v>0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31">
        <f t="shared" si="65"/>
        <v>0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31">
        <f t="shared" si="65"/>
        <v>0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3.7289371738255719</v>
      </c>
      <c r="C119" s="22">
        <f>SUM(C91:C118)</f>
        <v>-0.32664358578355263</v>
      </c>
      <c r="D119" s="24">
        <f>SUM(D91:D118)</f>
        <v>3.4022935880420189</v>
      </c>
      <c r="E119" s="22"/>
      <c r="F119" s="2"/>
      <c r="G119" s="2"/>
      <c r="H119" s="31"/>
      <c r="I119" s="22">
        <f>SUM(I91:I118)</f>
        <v>2.2388337516559962</v>
      </c>
      <c r="J119" s="24">
        <f>SUM(J91:J118)</f>
        <v>2.2388337516559962</v>
      </c>
      <c r="K119" s="22">
        <f>SUM(K91:K118)</f>
        <v>3.7289371738255719</v>
      </c>
      <c r="L119" s="22">
        <f>SUM(L91:L118)</f>
        <v>2.355328258896999</v>
      </c>
      <c r="M119" s="57">
        <f t="shared" si="49"/>
        <v>2.2388337516559962</v>
      </c>
      <c r="N119" s="226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1.6778043446805269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1.4235915651834774</v>
      </c>
      <c r="J124" s="240">
        <f>IF(SUMPRODUCT($B$124:$B124,$H$124:$H124)&lt;J$119,($B124*$H124),J$119)</f>
        <v>1.4235915651834774</v>
      </c>
      <c r="K124" s="29">
        <f>(B124)</f>
        <v>1.6778043446805269</v>
      </c>
      <c r="L124" s="29">
        <f>IF(SUMPRODUCT($B$124:$B124,$H$124:$H124)&lt;L$119,($B124*$H124),L$119)</f>
        <v>1.4235915651834774</v>
      </c>
      <c r="M124" s="243">
        <f t="shared" si="66"/>
        <v>1.4235915651834774</v>
      </c>
      <c r="N124" s="58"/>
      <c r="O124" s="174">
        <f>B124*H124</f>
        <v>1.4235915651834774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1.68778492262909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0.81524218647251878</v>
      </c>
      <c r="J125" s="240">
        <f>IF(SUMPRODUCT($B$124:$B125,$H$124:$H125)&lt;J$119,($B125*$H125),IF(SUMPRODUCT($B$124:$B124,$H$124:$H124)&lt;J$119,J$119-SUMPRODUCT($B$124:$B124,$H$124:$H124),0))</f>
        <v>0.81524218647251878</v>
      </c>
      <c r="K125" s="29">
        <f>(B125)</f>
        <v>1.68778492262909</v>
      </c>
      <c r="L125" s="29">
        <f>IF(SUMPRODUCT($B$124:$B125,$H$124:$H125)&lt;L$119,($B125*$H125),IF(SUMPRODUCT($B$124:$B124,$H$124:$H124)&lt;L$119,L$119-SUMPRODUCT($B$124:$B124,$H$124:$H124),0))</f>
        <v>0.93173669371352164</v>
      </c>
      <c r="M125" s="243">
        <f t="shared" si="66"/>
        <v>0.81524218647251878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3.0057710261953186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0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3.0057710261953186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3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0.13000739732678712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0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0.13000739732678712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3">
        <f t="shared" si="66"/>
        <v>0</v>
      </c>
      <c r="N127" s="58"/>
      <c r="O127" s="174">
        <f>B127*H127</f>
        <v>9.2974987179156851E-2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0.58637945846824402</v>
      </c>
      <c r="C128" s="2"/>
      <c r="D128" s="31"/>
      <c r="E128" s="2"/>
      <c r="F128" s="2"/>
      <c r="G128" s="2"/>
      <c r="H128" s="24"/>
      <c r="I128" s="29">
        <f>(I30)</f>
        <v>0.81524218647251878</v>
      </c>
      <c r="J128" s="231">
        <f>(J30)</f>
        <v>0.55643521289575471</v>
      </c>
      <c r="K128" s="29">
        <f>(B128)</f>
        <v>0.58637945846824402</v>
      </c>
      <c r="L128" s="29">
        <f>IF(L124=L119,0,(L119-L124)/(B119-B124)*K128)</f>
        <v>0.26636561520126301</v>
      </c>
      <c r="M128" s="243">
        <f t="shared" si="66"/>
        <v>0.55643521289575471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31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3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3.7289371738255719</v>
      </c>
      <c r="C130" s="2"/>
      <c r="D130" s="31"/>
      <c r="E130" s="2"/>
      <c r="F130" s="2"/>
      <c r="G130" s="2"/>
      <c r="H130" s="24"/>
      <c r="I130" s="29">
        <f>(I119)</f>
        <v>2.2388337516559962</v>
      </c>
      <c r="J130" s="231">
        <f>(J119)</f>
        <v>2.2388337516559962</v>
      </c>
      <c r="K130" s="29">
        <f>(B130)</f>
        <v>3.7289371738255719</v>
      </c>
      <c r="L130" s="29">
        <f>(L119)</f>
        <v>2.355328258896999</v>
      </c>
      <c r="M130" s="243">
        <f t="shared" si="66"/>
        <v>2.2388337516559962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1.2070219446680768</v>
      </c>
      <c r="J131" s="240">
        <f>IF(SUMPRODUCT($B124:$B125,$H124:$H125)&gt;(J119-J128),SUMPRODUCT($B124:$B125,$H124:$H125)+J128-J119,0)</f>
        <v>0.94821497109131281</v>
      </c>
      <c r="K131" s="29"/>
      <c r="L131" s="29">
        <f>IF(I131&lt;SUM(L126:L127),0,I131-(SUM(L126:L127)))</f>
        <v>1.2070219446680768</v>
      </c>
      <c r="M131" s="240">
        <f>IF(I131&lt;SUM(M126:M127),0,I131-(SUM(M126:M127)))</f>
        <v>1.2070219446680768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619" priority="436" operator="equal">
      <formula>16</formula>
    </cfRule>
    <cfRule type="cellIs" dxfId="618" priority="437" operator="equal">
      <formula>15</formula>
    </cfRule>
    <cfRule type="cellIs" dxfId="617" priority="438" operator="equal">
      <formula>14</formula>
    </cfRule>
    <cfRule type="cellIs" dxfId="616" priority="439" operator="equal">
      <formula>13</formula>
    </cfRule>
    <cfRule type="cellIs" dxfId="615" priority="440" operator="equal">
      <formula>12</formula>
    </cfRule>
    <cfRule type="cellIs" dxfId="614" priority="441" operator="equal">
      <formula>11</formula>
    </cfRule>
    <cfRule type="cellIs" dxfId="613" priority="442" operator="equal">
      <formula>10</formula>
    </cfRule>
    <cfRule type="cellIs" dxfId="612" priority="443" operator="equal">
      <formula>9</formula>
    </cfRule>
    <cfRule type="cellIs" dxfId="611" priority="444" operator="equal">
      <formula>8</formula>
    </cfRule>
    <cfRule type="cellIs" dxfId="610" priority="445" operator="equal">
      <formula>7</formula>
    </cfRule>
    <cfRule type="cellIs" dxfId="609" priority="446" operator="equal">
      <formula>6</formula>
    </cfRule>
    <cfRule type="cellIs" dxfId="608" priority="447" operator="equal">
      <formula>5</formula>
    </cfRule>
    <cfRule type="cellIs" dxfId="607" priority="448" operator="equal">
      <formula>4</formula>
    </cfRule>
    <cfRule type="cellIs" dxfId="606" priority="449" operator="equal">
      <formula>3</formula>
    </cfRule>
    <cfRule type="cellIs" dxfId="605" priority="450" operator="equal">
      <formula>2</formula>
    </cfRule>
    <cfRule type="cellIs" dxfId="604" priority="451" operator="equal">
      <formula>1</formula>
    </cfRule>
  </conditionalFormatting>
  <conditionalFormatting sqref="N29">
    <cfRule type="cellIs" dxfId="603" priority="420" operator="equal">
      <formula>16</formula>
    </cfRule>
    <cfRule type="cellIs" dxfId="602" priority="421" operator="equal">
      <formula>15</formula>
    </cfRule>
    <cfRule type="cellIs" dxfId="601" priority="422" operator="equal">
      <formula>14</formula>
    </cfRule>
    <cfRule type="cellIs" dxfId="600" priority="423" operator="equal">
      <formula>13</formula>
    </cfRule>
    <cfRule type="cellIs" dxfId="599" priority="424" operator="equal">
      <formula>12</formula>
    </cfRule>
    <cfRule type="cellIs" dxfId="598" priority="425" operator="equal">
      <formula>11</formula>
    </cfRule>
    <cfRule type="cellIs" dxfId="597" priority="426" operator="equal">
      <formula>10</formula>
    </cfRule>
    <cfRule type="cellIs" dxfId="596" priority="427" operator="equal">
      <formula>9</formula>
    </cfRule>
    <cfRule type="cellIs" dxfId="595" priority="428" operator="equal">
      <formula>8</formula>
    </cfRule>
    <cfRule type="cellIs" dxfId="594" priority="429" operator="equal">
      <formula>7</formula>
    </cfRule>
    <cfRule type="cellIs" dxfId="593" priority="430" operator="equal">
      <formula>6</formula>
    </cfRule>
    <cfRule type="cellIs" dxfId="592" priority="431" operator="equal">
      <formula>5</formula>
    </cfRule>
    <cfRule type="cellIs" dxfId="591" priority="432" operator="equal">
      <formula>4</formula>
    </cfRule>
    <cfRule type="cellIs" dxfId="590" priority="433" operator="equal">
      <formula>3</formula>
    </cfRule>
    <cfRule type="cellIs" dxfId="589" priority="434" operator="equal">
      <formula>2</formula>
    </cfRule>
    <cfRule type="cellIs" dxfId="588" priority="435" operator="equal">
      <formula>1</formula>
    </cfRule>
  </conditionalFormatting>
  <conditionalFormatting sqref="N119">
    <cfRule type="cellIs" dxfId="587" priority="404" operator="equal">
      <formula>16</formula>
    </cfRule>
    <cfRule type="cellIs" dxfId="586" priority="405" operator="equal">
      <formula>15</formula>
    </cfRule>
    <cfRule type="cellIs" dxfId="585" priority="406" operator="equal">
      <formula>14</formula>
    </cfRule>
    <cfRule type="cellIs" dxfId="584" priority="407" operator="equal">
      <formula>13</formula>
    </cfRule>
    <cfRule type="cellIs" dxfId="583" priority="408" operator="equal">
      <formula>12</formula>
    </cfRule>
    <cfRule type="cellIs" dxfId="582" priority="409" operator="equal">
      <formula>11</formula>
    </cfRule>
    <cfRule type="cellIs" dxfId="581" priority="410" operator="equal">
      <formula>10</formula>
    </cfRule>
    <cfRule type="cellIs" dxfId="580" priority="411" operator="equal">
      <formula>9</formula>
    </cfRule>
    <cfRule type="cellIs" dxfId="579" priority="412" operator="equal">
      <formula>8</formula>
    </cfRule>
    <cfRule type="cellIs" dxfId="578" priority="413" operator="equal">
      <formula>7</formula>
    </cfRule>
    <cfRule type="cellIs" dxfId="577" priority="414" operator="equal">
      <formula>6</formula>
    </cfRule>
    <cfRule type="cellIs" dxfId="576" priority="415" operator="equal">
      <formula>5</formula>
    </cfRule>
    <cfRule type="cellIs" dxfId="575" priority="416" operator="equal">
      <formula>4</formula>
    </cfRule>
    <cfRule type="cellIs" dxfId="574" priority="417" operator="equal">
      <formula>3</formula>
    </cfRule>
    <cfRule type="cellIs" dxfId="573" priority="418" operator="equal">
      <formula>2</formula>
    </cfRule>
    <cfRule type="cellIs" dxfId="572" priority="419" operator="equal">
      <formula>1</formula>
    </cfRule>
  </conditionalFormatting>
  <conditionalFormatting sqref="N27:N28">
    <cfRule type="cellIs" dxfId="571" priority="356" operator="equal">
      <formula>16</formula>
    </cfRule>
    <cfRule type="cellIs" dxfId="570" priority="357" operator="equal">
      <formula>15</formula>
    </cfRule>
    <cfRule type="cellIs" dxfId="569" priority="358" operator="equal">
      <formula>14</formula>
    </cfRule>
    <cfRule type="cellIs" dxfId="568" priority="359" operator="equal">
      <formula>13</formula>
    </cfRule>
    <cfRule type="cellIs" dxfId="567" priority="360" operator="equal">
      <formula>12</formula>
    </cfRule>
    <cfRule type="cellIs" dxfId="566" priority="361" operator="equal">
      <formula>11</formula>
    </cfRule>
    <cfRule type="cellIs" dxfId="565" priority="362" operator="equal">
      <formula>10</formula>
    </cfRule>
    <cfRule type="cellIs" dxfId="564" priority="363" operator="equal">
      <formula>9</formula>
    </cfRule>
    <cfRule type="cellIs" dxfId="563" priority="364" operator="equal">
      <formula>8</formula>
    </cfRule>
    <cfRule type="cellIs" dxfId="562" priority="365" operator="equal">
      <formula>7</formula>
    </cfRule>
    <cfRule type="cellIs" dxfId="561" priority="366" operator="equal">
      <formula>6</formula>
    </cfRule>
    <cfRule type="cellIs" dxfId="560" priority="367" operator="equal">
      <formula>5</formula>
    </cfRule>
    <cfRule type="cellIs" dxfId="559" priority="368" operator="equal">
      <formula>4</formula>
    </cfRule>
    <cfRule type="cellIs" dxfId="558" priority="369" operator="equal">
      <formula>3</formula>
    </cfRule>
    <cfRule type="cellIs" dxfId="557" priority="370" operator="equal">
      <formula>2</formula>
    </cfRule>
    <cfRule type="cellIs" dxfId="556" priority="371" operator="equal">
      <formula>1</formula>
    </cfRule>
  </conditionalFormatting>
  <conditionalFormatting sqref="N6:N26">
    <cfRule type="cellIs" dxfId="555" priority="244" operator="equal">
      <formula>16</formula>
    </cfRule>
    <cfRule type="cellIs" dxfId="554" priority="245" operator="equal">
      <formula>15</formula>
    </cfRule>
    <cfRule type="cellIs" dxfId="553" priority="246" operator="equal">
      <formula>14</formula>
    </cfRule>
    <cfRule type="cellIs" dxfId="552" priority="247" operator="equal">
      <formula>13</formula>
    </cfRule>
    <cfRule type="cellIs" dxfId="551" priority="248" operator="equal">
      <formula>12</formula>
    </cfRule>
    <cfRule type="cellIs" dxfId="550" priority="249" operator="equal">
      <formula>11</formula>
    </cfRule>
    <cfRule type="cellIs" dxfId="549" priority="250" operator="equal">
      <formula>10</formula>
    </cfRule>
    <cfRule type="cellIs" dxfId="548" priority="251" operator="equal">
      <formula>9</formula>
    </cfRule>
    <cfRule type="cellIs" dxfId="547" priority="252" operator="equal">
      <formula>8</formula>
    </cfRule>
    <cfRule type="cellIs" dxfId="546" priority="253" operator="equal">
      <formula>7</formula>
    </cfRule>
    <cfRule type="cellIs" dxfId="545" priority="254" operator="equal">
      <formula>6</formula>
    </cfRule>
    <cfRule type="cellIs" dxfId="544" priority="255" operator="equal">
      <formula>5</formula>
    </cfRule>
    <cfRule type="cellIs" dxfId="543" priority="256" operator="equal">
      <formula>4</formula>
    </cfRule>
    <cfRule type="cellIs" dxfId="542" priority="257" operator="equal">
      <formula>3</formula>
    </cfRule>
    <cfRule type="cellIs" dxfId="541" priority="258" operator="equal">
      <formula>2</formula>
    </cfRule>
    <cfRule type="cellIs" dxfId="540" priority="259" operator="equal">
      <formula>1</formula>
    </cfRule>
  </conditionalFormatting>
  <conditionalFormatting sqref="N114:N118">
    <cfRule type="cellIs" dxfId="539" priority="228" operator="equal">
      <formula>16</formula>
    </cfRule>
    <cfRule type="cellIs" dxfId="538" priority="229" operator="equal">
      <formula>15</formula>
    </cfRule>
    <cfRule type="cellIs" dxfId="537" priority="230" operator="equal">
      <formula>14</formula>
    </cfRule>
    <cfRule type="cellIs" dxfId="536" priority="231" operator="equal">
      <formula>13</formula>
    </cfRule>
    <cfRule type="cellIs" dxfId="535" priority="232" operator="equal">
      <formula>12</formula>
    </cfRule>
    <cfRule type="cellIs" dxfId="534" priority="233" operator="equal">
      <formula>11</formula>
    </cfRule>
    <cfRule type="cellIs" dxfId="533" priority="234" operator="equal">
      <formula>10</formula>
    </cfRule>
    <cfRule type="cellIs" dxfId="532" priority="235" operator="equal">
      <formula>9</formula>
    </cfRule>
    <cfRule type="cellIs" dxfId="531" priority="236" operator="equal">
      <formula>8</formula>
    </cfRule>
    <cfRule type="cellIs" dxfId="530" priority="237" operator="equal">
      <formula>7</formula>
    </cfRule>
    <cfRule type="cellIs" dxfId="529" priority="238" operator="equal">
      <formula>6</formula>
    </cfRule>
    <cfRule type="cellIs" dxfId="528" priority="239" operator="equal">
      <formula>5</formula>
    </cfRule>
    <cfRule type="cellIs" dxfId="527" priority="240" operator="equal">
      <formula>4</formula>
    </cfRule>
    <cfRule type="cellIs" dxfId="526" priority="241" operator="equal">
      <formula>3</formula>
    </cfRule>
    <cfRule type="cellIs" dxfId="525" priority="242" operator="equal">
      <formula>2</formula>
    </cfRule>
    <cfRule type="cellIs" dxfId="524" priority="243" operator="equal">
      <formula>1</formula>
    </cfRule>
  </conditionalFormatting>
  <conditionalFormatting sqref="N113">
    <cfRule type="cellIs" dxfId="523" priority="68" operator="equal">
      <formula>16</formula>
    </cfRule>
    <cfRule type="cellIs" dxfId="522" priority="69" operator="equal">
      <formula>15</formula>
    </cfRule>
    <cfRule type="cellIs" dxfId="521" priority="70" operator="equal">
      <formula>14</formula>
    </cfRule>
    <cfRule type="cellIs" dxfId="520" priority="71" operator="equal">
      <formula>13</formula>
    </cfRule>
    <cfRule type="cellIs" dxfId="519" priority="72" operator="equal">
      <formula>12</formula>
    </cfRule>
    <cfRule type="cellIs" dxfId="518" priority="73" operator="equal">
      <formula>11</formula>
    </cfRule>
    <cfRule type="cellIs" dxfId="517" priority="74" operator="equal">
      <formula>10</formula>
    </cfRule>
    <cfRule type="cellIs" dxfId="516" priority="75" operator="equal">
      <formula>9</formula>
    </cfRule>
    <cfRule type="cellIs" dxfId="515" priority="76" operator="equal">
      <formula>8</formula>
    </cfRule>
    <cfRule type="cellIs" dxfId="514" priority="77" operator="equal">
      <formula>7</formula>
    </cfRule>
    <cfRule type="cellIs" dxfId="513" priority="78" operator="equal">
      <formula>6</formula>
    </cfRule>
    <cfRule type="cellIs" dxfId="512" priority="79" operator="equal">
      <formula>5</formula>
    </cfRule>
    <cfRule type="cellIs" dxfId="511" priority="80" operator="equal">
      <formula>4</formula>
    </cfRule>
    <cfRule type="cellIs" dxfId="510" priority="81" operator="equal">
      <formula>3</formula>
    </cfRule>
    <cfRule type="cellIs" dxfId="509" priority="82" operator="equal">
      <formula>2</formula>
    </cfRule>
    <cfRule type="cellIs" dxfId="508" priority="83" operator="equal">
      <formula>1</formula>
    </cfRule>
  </conditionalFormatting>
  <conditionalFormatting sqref="N112">
    <cfRule type="cellIs" dxfId="507" priority="52" operator="equal">
      <formula>16</formula>
    </cfRule>
    <cfRule type="cellIs" dxfId="506" priority="53" operator="equal">
      <formula>15</formula>
    </cfRule>
    <cfRule type="cellIs" dxfId="505" priority="54" operator="equal">
      <formula>14</formula>
    </cfRule>
    <cfRule type="cellIs" dxfId="504" priority="55" operator="equal">
      <formula>13</formula>
    </cfRule>
    <cfRule type="cellIs" dxfId="503" priority="56" operator="equal">
      <formula>12</formula>
    </cfRule>
    <cfRule type="cellIs" dxfId="502" priority="57" operator="equal">
      <formula>11</formula>
    </cfRule>
    <cfRule type="cellIs" dxfId="501" priority="58" operator="equal">
      <formula>10</formula>
    </cfRule>
    <cfRule type="cellIs" dxfId="500" priority="59" operator="equal">
      <formula>9</formula>
    </cfRule>
    <cfRule type="cellIs" dxfId="499" priority="60" operator="equal">
      <formula>8</formula>
    </cfRule>
    <cfRule type="cellIs" dxfId="498" priority="61" operator="equal">
      <formula>7</formula>
    </cfRule>
    <cfRule type="cellIs" dxfId="497" priority="62" operator="equal">
      <formula>6</formula>
    </cfRule>
    <cfRule type="cellIs" dxfId="496" priority="63" operator="equal">
      <formula>5</formula>
    </cfRule>
    <cfRule type="cellIs" dxfId="495" priority="64" operator="equal">
      <formula>4</formula>
    </cfRule>
    <cfRule type="cellIs" dxfId="494" priority="65" operator="equal">
      <formula>3</formula>
    </cfRule>
    <cfRule type="cellIs" dxfId="493" priority="66" operator="equal">
      <formula>2</formula>
    </cfRule>
    <cfRule type="cellIs" dxfId="492" priority="67" operator="equal">
      <formula>1</formula>
    </cfRule>
  </conditionalFormatting>
  <conditionalFormatting sqref="N111">
    <cfRule type="cellIs" dxfId="491" priority="36" operator="equal">
      <formula>16</formula>
    </cfRule>
    <cfRule type="cellIs" dxfId="490" priority="37" operator="equal">
      <formula>15</formula>
    </cfRule>
    <cfRule type="cellIs" dxfId="489" priority="38" operator="equal">
      <formula>14</formula>
    </cfRule>
    <cfRule type="cellIs" dxfId="488" priority="39" operator="equal">
      <formula>13</formula>
    </cfRule>
    <cfRule type="cellIs" dxfId="487" priority="40" operator="equal">
      <formula>12</formula>
    </cfRule>
    <cfRule type="cellIs" dxfId="486" priority="41" operator="equal">
      <formula>11</formula>
    </cfRule>
    <cfRule type="cellIs" dxfId="485" priority="42" operator="equal">
      <formula>10</formula>
    </cfRule>
    <cfRule type="cellIs" dxfId="484" priority="43" operator="equal">
      <formula>9</formula>
    </cfRule>
    <cfRule type="cellIs" dxfId="483" priority="44" operator="equal">
      <formula>8</formula>
    </cfRule>
    <cfRule type="cellIs" dxfId="482" priority="45" operator="equal">
      <formula>7</formula>
    </cfRule>
    <cfRule type="cellIs" dxfId="481" priority="46" operator="equal">
      <formula>6</formula>
    </cfRule>
    <cfRule type="cellIs" dxfId="480" priority="47" operator="equal">
      <formula>5</formula>
    </cfRule>
    <cfRule type="cellIs" dxfId="479" priority="48" operator="equal">
      <formula>4</formula>
    </cfRule>
    <cfRule type="cellIs" dxfId="478" priority="49" operator="equal">
      <formula>3</formula>
    </cfRule>
    <cfRule type="cellIs" dxfId="477" priority="50" operator="equal">
      <formula>2</formula>
    </cfRule>
    <cfRule type="cellIs" dxfId="476" priority="51" operator="equal">
      <formula>1</formula>
    </cfRule>
  </conditionalFormatting>
  <conditionalFormatting sqref="N91:N104">
    <cfRule type="cellIs" dxfId="475" priority="20" operator="equal">
      <formula>16</formula>
    </cfRule>
    <cfRule type="cellIs" dxfId="474" priority="21" operator="equal">
      <formula>15</formula>
    </cfRule>
    <cfRule type="cellIs" dxfId="473" priority="22" operator="equal">
      <formula>14</formula>
    </cfRule>
    <cfRule type="cellIs" dxfId="472" priority="23" operator="equal">
      <formula>13</formula>
    </cfRule>
    <cfRule type="cellIs" dxfId="471" priority="24" operator="equal">
      <formula>12</formula>
    </cfRule>
    <cfRule type="cellIs" dxfId="470" priority="25" operator="equal">
      <formula>11</formula>
    </cfRule>
    <cfRule type="cellIs" dxfId="469" priority="26" operator="equal">
      <formula>10</formula>
    </cfRule>
    <cfRule type="cellIs" dxfId="468" priority="27" operator="equal">
      <formula>9</formula>
    </cfRule>
    <cfRule type="cellIs" dxfId="467" priority="28" operator="equal">
      <formula>8</formula>
    </cfRule>
    <cfRule type="cellIs" dxfId="466" priority="29" operator="equal">
      <formula>7</formula>
    </cfRule>
    <cfRule type="cellIs" dxfId="465" priority="30" operator="equal">
      <formula>6</formula>
    </cfRule>
    <cfRule type="cellIs" dxfId="464" priority="31" operator="equal">
      <formula>5</formula>
    </cfRule>
    <cfRule type="cellIs" dxfId="463" priority="32" operator="equal">
      <formula>4</formula>
    </cfRule>
    <cfRule type="cellIs" dxfId="462" priority="33" operator="equal">
      <formula>3</formula>
    </cfRule>
    <cfRule type="cellIs" dxfId="461" priority="34" operator="equal">
      <formula>2</formula>
    </cfRule>
    <cfRule type="cellIs" dxfId="460" priority="35" operator="equal">
      <formula>1</formula>
    </cfRule>
  </conditionalFormatting>
  <conditionalFormatting sqref="N105:N110">
    <cfRule type="cellIs" dxfId="459" priority="4" operator="equal">
      <formula>16</formula>
    </cfRule>
    <cfRule type="cellIs" dxfId="458" priority="5" operator="equal">
      <formula>15</formula>
    </cfRule>
    <cfRule type="cellIs" dxfId="457" priority="6" operator="equal">
      <formula>14</formula>
    </cfRule>
    <cfRule type="cellIs" dxfId="456" priority="7" operator="equal">
      <formula>13</formula>
    </cfRule>
    <cfRule type="cellIs" dxfId="455" priority="8" operator="equal">
      <formula>12</formula>
    </cfRule>
    <cfRule type="cellIs" dxfId="454" priority="9" operator="equal">
      <formula>11</formula>
    </cfRule>
    <cfRule type="cellIs" dxfId="453" priority="10" operator="equal">
      <formula>10</formula>
    </cfRule>
    <cfRule type="cellIs" dxfId="452" priority="11" operator="equal">
      <formula>9</formula>
    </cfRule>
    <cfRule type="cellIs" dxfId="451" priority="12" operator="equal">
      <formula>8</formula>
    </cfRule>
    <cfRule type="cellIs" dxfId="450" priority="13" operator="equal">
      <formula>7</formula>
    </cfRule>
    <cfRule type="cellIs" dxfId="449" priority="14" operator="equal">
      <formula>6</formula>
    </cfRule>
    <cfRule type="cellIs" dxfId="448" priority="15" operator="equal">
      <formula>5</formula>
    </cfRule>
    <cfRule type="cellIs" dxfId="447" priority="16" operator="equal">
      <formula>4</formula>
    </cfRule>
    <cfRule type="cellIs" dxfId="446" priority="17" operator="equal">
      <formula>3</formula>
    </cfRule>
    <cfRule type="cellIs" dxfId="445" priority="18" operator="equal">
      <formula>2</formula>
    </cfRule>
    <cfRule type="cellIs" dxfId="444" priority="19" operator="equal">
      <formula>1</formula>
    </cfRule>
  </conditionalFormatting>
  <conditionalFormatting sqref="R31:T31">
    <cfRule type="cellIs" dxfId="443" priority="3" operator="greaterThan">
      <formula>0</formula>
    </cfRule>
  </conditionalFormatting>
  <conditionalFormatting sqref="R32:T32">
    <cfRule type="cellIs" dxfId="442" priority="2" operator="greaterThan">
      <formula>0</formula>
    </cfRule>
  </conditionalFormatting>
  <conditionalFormatting sqref="R30:T30">
    <cfRule type="cellIs" dxfId="44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93" activePane="bottomRight" state="frozen"/>
      <selection pane="topRight" activeCell="B1" sqref="B1"/>
      <selection pane="bottomLeft" activeCell="A3" sqref="A3"/>
      <selection pane="bottomRight" activeCell="N103" sqref="N103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ZATGL: 59105</v>
      </c>
      <c r="B1" s="249" t="str">
        <f>[1]WB!$A$2</f>
        <v>Thukela and Lebombo sparsely populated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71" t="s">
        <v>105</v>
      </c>
      <c r="AA1" s="272"/>
      <c r="AB1" s="271" t="s">
        <v>106</v>
      </c>
      <c r="AC1" s="272"/>
      <c r="AD1" s="271" t="s">
        <v>107</v>
      </c>
      <c r="AE1" s="272"/>
      <c r="AF1" s="271" t="s">
        <v>108</v>
      </c>
      <c r="AG1" s="272"/>
      <c r="AH1" s="117"/>
      <c r="AI1" s="110"/>
      <c r="AJ1" s="200" t="str">
        <f>LEFT(Z1,4) &amp; MID(AB1,5,3)</f>
        <v>Apr-Sep</v>
      </c>
      <c r="AK1" s="20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69" t="s">
        <v>109</v>
      </c>
      <c r="AA2" s="273"/>
      <c r="AB2" s="269" t="s">
        <v>110</v>
      </c>
      <c r="AC2" s="273"/>
      <c r="AD2" s="269" t="s">
        <v>111</v>
      </c>
      <c r="AE2" s="273"/>
      <c r="AF2" s="269" t="s">
        <v>112</v>
      </c>
      <c r="AG2" s="273"/>
      <c r="AH2" s="117"/>
      <c r="AI2" s="110"/>
      <c r="AJ2" s="198" t="s">
        <v>113</v>
      </c>
      <c r="AK2" s="199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65">
        <f>IF([1]Summ!E1044="",0,[1]Summ!E1044)</f>
        <v>8.4465952677459516E-2</v>
      </c>
      <c r="C6" s="216">
        <f>IF([1]Summ!F1044="",0,[1]Summ!F1044)</f>
        <v>0</v>
      </c>
      <c r="D6" s="24">
        <f t="shared" ref="D6:D16" si="0">SUM(B6,C6)</f>
        <v>8.4465952677459516E-2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1.6893190535491903E-2</v>
      </c>
      <c r="J6" s="24">
        <f t="shared" ref="J6:J13" si="3">IF(I$32&lt;=1+I$131,I6,B6*H6+J$33*(I6-B6*H6))</f>
        <v>1.6893190535491903E-2</v>
      </c>
      <c r="K6" s="22">
        <f t="shared" ref="K6:K31" si="4">B6</f>
        <v>8.4465952677459516E-2</v>
      </c>
      <c r="L6" s="22">
        <f t="shared" ref="L6:L29" si="5">IF(K6="","",K6*H6)</f>
        <v>1.6893190535491903E-2</v>
      </c>
      <c r="M6" s="258">
        <f t="shared" ref="M6:M31" si="6">J6</f>
        <v>1.6893190535491903E-2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6.7572762141967613E-2</v>
      </c>
      <c r="Z6" s="116">
        <v>0.17</v>
      </c>
      <c r="AA6" s="121">
        <f>$M6*Z6*4</f>
        <v>1.1487369564134495E-2</v>
      </c>
      <c r="AB6" s="116">
        <v>0.17</v>
      </c>
      <c r="AC6" s="121">
        <f t="shared" ref="AC6:AC29" si="7">$M6*AB6*4</f>
        <v>1.1487369564134495E-2</v>
      </c>
      <c r="AD6" s="116">
        <v>0.33</v>
      </c>
      <c r="AE6" s="121">
        <f t="shared" ref="AE6:AE29" si="8">$M6*AD6*4</f>
        <v>2.2299011506849313E-2</v>
      </c>
      <c r="AF6" s="122">
        <f>1-SUM(Z6,AB6,AD6)</f>
        <v>0.32999999999999996</v>
      </c>
      <c r="AG6" s="121">
        <f>$M6*AF6*4</f>
        <v>2.229901150684931E-2</v>
      </c>
      <c r="AH6" s="123">
        <f>SUM(Z6,AB6,AD6,AF6)</f>
        <v>1</v>
      </c>
      <c r="AI6" s="184">
        <f>SUM(AA6,AC6,AE6,AG6)/4</f>
        <v>1.6893190535491903E-2</v>
      </c>
      <c r="AJ6" s="120">
        <f>(AA6+AC6)/2</f>
        <v>1.1487369564134495E-2</v>
      </c>
      <c r="AK6" s="119">
        <f>(AE6+AG6)/2</f>
        <v>2.2299011506849313E-2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65">
        <f>IF([1]Summ!E1045="",0,[1]Summ!E1045)</f>
        <v>4.053029654420922E-2</v>
      </c>
      <c r="C7" s="216">
        <f>IF([1]Summ!F1045="",0,[1]Summ!F1045)</f>
        <v>0</v>
      </c>
      <c r="D7" s="24">
        <f t="shared" si="0"/>
        <v>4.053029654420922E-2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8.106059308841845E-3</v>
      </c>
      <c r="J7" s="24">
        <f t="shared" si="3"/>
        <v>8.106059308841845E-3</v>
      </c>
      <c r="K7" s="22">
        <f t="shared" si="4"/>
        <v>4.053029654420922E-2</v>
      </c>
      <c r="L7" s="22">
        <f t="shared" si="5"/>
        <v>8.106059308841845E-3</v>
      </c>
      <c r="M7" s="258">
        <f t="shared" si="6"/>
        <v>8.106059308841845E-3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3366.3818132655533</v>
      </c>
      <c r="S7" s="225">
        <f>IF($B$81=0,0,(SUMIF($N$6:$N$28,$U7,L$6:L$28)+SUMIF($N$91:$N$118,$U7,L$91:L$118))*$I$83*Poor!$B$81/$B$81)</f>
        <v>976.3071616851704</v>
      </c>
      <c r="T7" s="225">
        <f>IF($B$81=0,0,(SUMIF($N$6:$N$28,$U7,M$6:M$28)+SUMIF($N$91:$N$118,$U7,M$91:M$118))*$I$83*Poor!$B$81/$B$81)</f>
        <v>953.88682233765826</v>
      </c>
      <c r="U7" s="226">
        <v>1</v>
      </c>
      <c r="V7" s="56"/>
      <c r="W7" s="115"/>
      <c r="X7" s="124">
        <v>4</v>
      </c>
      <c r="Y7" s="184">
        <f t="shared" ref="Y7:Y29" si="9">M7*4</f>
        <v>3.242423723536738E-2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3.242423723536738E-2</v>
      </c>
      <c r="AH7" s="123">
        <f t="shared" ref="AH7:AH30" si="12">SUM(Z7,AB7,AD7,AF7)</f>
        <v>1</v>
      </c>
      <c r="AI7" s="184">
        <f t="shared" ref="AI7:AI30" si="13">SUM(AA7,AC7,AE7,AG7)/4</f>
        <v>8.106059308841845E-3</v>
      </c>
      <c r="AJ7" s="120">
        <f t="shared" ref="AJ7:AJ31" si="14">(AA7+AC7)/2</f>
        <v>0</v>
      </c>
      <c r="AK7" s="119">
        <f t="shared" ref="AK7:AK31" si="15">(AE7+AG7)/2</f>
        <v>1.621211861768369E-2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65">
        <f>IF([1]Summ!E1046="",0,[1]Summ!E1046)</f>
        <v>3.3333333333333333E-2</v>
      </c>
      <c r="C8" s="216">
        <f>IF([1]Summ!F1046="",0,[1]Summ!F1046)</f>
        <v>0</v>
      </c>
      <c r="D8" s="24">
        <f t="shared" si="0"/>
        <v>3.3333333333333333E-2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6.6666666666666671E-3</v>
      </c>
      <c r="J8" s="24">
        <f t="shared" si="3"/>
        <v>6.6666666666666671E-3</v>
      </c>
      <c r="K8" s="22">
        <f t="shared" si="4"/>
        <v>3.3333333333333333E-2</v>
      </c>
      <c r="L8" s="22">
        <f t="shared" si="5"/>
        <v>6.6666666666666671E-3</v>
      </c>
      <c r="M8" s="258">
        <f t="shared" si="6"/>
        <v>6.6666666666666671E-3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236.64264594569994</v>
      </c>
      <c r="S8" s="225">
        <f>IF($B$81=0,0,(SUMIF($N$6:$N$28,$U8,L$6:L$28)+SUMIF($N$91:$N$118,$U8,L$91:L$118))*$I$83*Poor!$B$81/$B$81)</f>
        <v>44.79999999999999</v>
      </c>
      <c r="T8" s="225">
        <f>IF($B$81=0,0,(SUMIF($N$6:$N$28,$U8,M$6:M$28)+SUMIF($N$91:$N$118,$U8,M$91:M$118))*$I$83*Poor!$B$81/$B$81)</f>
        <v>69.999999999999986</v>
      </c>
      <c r="U8" s="226">
        <v>2</v>
      </c>
      <c r="V8" s="185"/>
      <c r="W8" s="115"/>
      <c r="X8" s="124">
        <v>1</v>
      </c>
      <c r="Y8" s="184">
        <f t="shared" si="9"/>
        <v>2.6666666666666668E-2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2.6666666666666668E-2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6.6666666666666671E-3</v>
      </c>
      <c r="AJ8" s="120">
        <f t="shared" si="14"/>
        <v>1.3333333333333334E-2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65">
        <f>IF([1]Summ!E1047="",0,[1]Summ!E1047)</f>
        <v>0.14786429794520545</v>
      </c>
      <c r="C9" s="216">
        <f>IF([1]Summ!F1047="",0,[1]Summ!F1047)</f>
        <v>0</v>
      </c>
      <c r="D9" s="24">
        <f t="shared" si="0"/>
        <v>0.14786429794520545</v>
      </c>
      <c r="E9" s="26">
        <v>0.3</v>
      </c>
      <c r="F9" s="28">
        <v>8800</v>
      </c>
      <c r="H9" s="24">
        <f t="shared" si="1"/>
        <v>0.3</v>
      </c>
      <c r="I9" s="22">
        <f t="shared" si="2"/>
        <v>4.435928938356163E-2</v>
      </c>
      <c r="J9" s="24">
        <f t="shared" si="3"/>
        <v>4.435928938356163E-2</v>
      </c>
      <c r="K9" s="22">
        <f t="shared" si="4"/>
        <v>0.14786429794520545</v>
      </c>
      <c r="L9" s="22">
        <f t="shared" si="5"/>
        <v>4.435928938356163E-2</v>
      </c>
      <c r="M9" s="258">
        <f t="shared" si="6"/>
        <v>4.435928938356163E-2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1706.4092365501797</v>
      </c>
      <c r="S9" s="225">
        <f>IF($B$81=0,0,(SUMIF($N$6:$N$28,$U9,L$6:L$28)+SUMIF($N$91:$N$118,$U9,L$91:L$118))*$I$83*Poor!$B$81/$B$81)</f>
        <v>380.73614047792336</v>
      </c>
      <c r="T9" s="225">
        <f>IF($B$81=0,0,(SUMIF($N$6:$N$28,$U9,M$6:M$28)+SUMIF($N$91:$N$118,$U9,M$91:M$118))*$I$83*Poor!$B$81/$B$81)</f>
        <v>380.73614047792336</v>
      </c>
      <c r="U9" s="226">
        <v>3</v>
      </c>
      <c r="V9" s="56"/>
      <c r="W9" s="115"/>
      <c r="X9" s="124">
        <v>1</v>
      </c>
      <c r="Y9" s="184">
        <f t="shared" si="9"/>
        <v>0.17743715753424652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0.17743715753424652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4.435928938356163E-2</v>
      </c>
      <c r="AJ9" s="120">
        <f t="shared" si="14"/>
        <v>8.871857876712326E-2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Beans: kg produced</v>
      </c>
      <c r="B10" s="265">
        <f>IF([1]Summ!E1048="",0,[1]Summ!E1048)</f>
        <v>2.2094103362391038E-2</v>
      </c>
      <c r="C10" s="216">
        <f>IF([1]Summ!F1048="",0,[1]Summ!F1048)</f>
        <v>-8.2852887608966426E-3</v>
      </c>
      <c r="D10" s="24">
        <f t="shared" si="0"/>
        <v>1.3808814601494395E-2</v>
      </c>
      <c r="E10" s="26">
        <v>0.2</v>
      </c>
      <c r="H10" s="24">
        <f t="shared" si="1"/>
        <v>0.2</v>
      </c>
      <c r="I10" s="22">
        <f t="shared" si="2"/>
        <v>2.7617629202988793E-3</v>
      </c>
      <c r="J10" s="24">
        <f t="shared" si="3"/>
        <v>2.7617629202988793E-3</v>
      </c>
      <c r="K10" s="22">
        <f t="shared" si="4"/>
        <v>2.2094103362391038E-2</v>
      </c>
      <c r="L10" s="22">
        <f t="shared" si="5"/>
        <v>4.4188206724782081E-3</v>
      </c>
      <c r="M10" s="258">
        <f t="shared" si="6"/>
        <v>2.7617629202988793E-3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IF($B$81=0,0,(SUMIF($N$6:$N$28,$U10,L$6:L$28)+SUMIF($N$91:$N$118,$U10,L$91:L$118))*$I$83*Poor!$B$81/$B$81)</f>
        <v>0</v>
      </c>
      <c r="T10" s="225">
        <f>IF($B$81=0,0,(SUMIF($N$6:$N$28,$U10,M$6:M$28)+SUMIF($N$91:$N$118,$U10,M$91:M$118))*$I$83*Poor!$B$81/$B$81)</f>
        <v>0</v>
      </c>
      <c r="U10" s="226">
        <v>4</v>
      </c>
      <c r="V10" s="56"/>
      <c r="W10" s="115"/>
      <c r="X10" s="124">
        <v>1</v>
      </c>
      <c r="Y10" s="184">
        <f t="shared" si="9"/>
        <v>1.1047051681195517E-2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1.1047051681195517E-2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2.7617629202988793E-3</v>
      </c>
      <c r="AJ10" s="120">
        <f t="shared" si="14"/>
        <v>5.5235258405977586E-3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Potatoes: no. local meas</v>
      </c>
      <c r="B11" s="265">
        <f>IF([1]Summ!E1049="",0,[1]Summ!E1049)</f>
        <v>7.4950498132004975E-4</v>
      </c>
      <c r="C11" s="216">
        <f>IF([1]Summ!F1049="",0,[1]Summ!F1049)</f>
        <v>0</v>
      </c>
      <c r="D11" s="24">
        <f t="shared" si="0"/>
        <v>7.4950498132004975E-4</v>
      </c>
      <c r="E11" s="26">
        <v>0.2</v>
      </c>
      <c r="H11" s="24">
        <f t="shared" si="1"/>
        <v>0.2</v>
      </c>
      <c r="I11" s="22">
        <f t="shared" si="2"/>
        <v>1.4990099626400997E-4</v>
      </c>
      <c r="J11" s="24">
        <f t="shared" si="3"/>
        <v>1.4990099626400997E-4</v>
      </c>
      <c r="K11" s="22">
        <f t="shared" si="4"/>
        <v>7.4950498132004975E-4</v>
      </c>
      <c r="L11" s="22">
        <f t="shared" si="5"/>
        <v>1.4990099626400997E-4</v>
      </c>
      <c r="M11" s="258">
        <f t="shared" si="6"/>
        <v>1.4990099626400997E-4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14642.263717890182</v>
      </c>
      <c r="S11" s="225">
        <f>IF($B$81=0,0,(SUMIF($N$6:$N$28,$U11,L$6:L$28)+SUMIF($N$91:$N$118,$U11,L$91:L$118))*$I$83*Poor!$B$81/$B$81)</f>
        <v>5841</v>
      </c>
      <c r="T11" s="225">
        <f>IF($B$81=0,0,(SUMIF($N$6:$N$28,$U11,M$6:M$28)+SUMIF($N$91:$N$118,$U11,M$91:M$118))*$I$83*Poor!$B$81/$B$81)</f>
        <v>5841</v>
      </c>
      <c r="U11" s="226">
        <v>5</v>
      </c>
      <c r="V11" s="56"/>
      <c r="W11" s="115"/>
      <c r="X11" s="124">
        <v>1</v>
      </c>
      <c r="Y11" s="184">
        <f t="shared" si="9"/>
        <v>5.9960398505603987E-4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5.9960398505603987E-4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1.4990099626400997E-4</v>
      </c>
      <c r="AJ11" s="120">
        <f t="shared" si="14"/>
        <v>2.9980199252801993E-4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Cabbage: no. local meas</v>
      </c>
      <c r="B12" s="265">
        <f>IF([1]Summ!E1050="",0,[1]Summ!E1050)</f>
        <v>5.8656911581569104E-3</v>
      </c>
      <c r="C12" s="216">
        <f>IF([1]Summ!F1050="",0,[1]Summ!F1050)</f>
        <v>0</v>
      </c>
      <c r="D12" s="24">
        <f t="shared" si="0"/>
        <v>5.8656911581569104E-3</v>
      </c>
      <c r="E12" s="26">
        <v>0.2</v>
      </c>
      <c r="H12" s="24">
        <f t="shared" si="1"/>
        <v>0.2</v>
      </c>
      <c r="I12" s="22">
        <f t="shared" si="2"/>
        <v>1.1731382316313823E-3</v>
      </c>
      <c r="J12" s="24">
        <f t="shared" si="3"/>
        <v>1.1731382316313823E-3</v>
      </c>
      <c r="K12" s="22">
        <f t="shared" si="4"/>
        <v>5.8656911581569104E-3</v>
      </c>
      <c r="L12" s="22">
        <f t="shared" si="5"/>
        <v>1.1731382316313823E-3</v>
      </c>
      <c r="M12" s="258">
        <f t="shared" si="6"/>
        <v>1.1731382316313823E-3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134.83800122135534</v>
      </c>
      <c r="S12" s="225">
        <f>IF($B$81=0,0,(SUMIF($N$6:$N$28,$U12,L$6:L$28)+SUMIF($N$91:$N$118,$U12,L$91:L$118))*$I$83*Poor!$B$81/$B$81)</f>
        <v>150.42610844795047</v>
      </c>
      <c r="T12" s="225">
        <f>IF($B$81=0,0,(SUMIF($N$6:$N$28,$U12,M$6:M$28)+SUMIF($N$91:$N$118,$U12,M$91:M$118))*$I$83*Poor!$B$81/$B$81)</f>
        <v>162.18623811695295</v>
      </c>
      <c r="U12" s="226">
        <v>6</v>
      </c>
      <c r="V12" s="56"/>
      <c r="W12" s="117"/>
      <c r="X12" s="118"/>
      <c r="Y12" s="184">
        <f t="shared" si="9"/>
        <v>4.6925529265255291E-3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3.1440104607721045E-3</v>
      </c>
      <c r="AF12" s="122">
        <f>1-SUM(Z12,AB12,AD12)</f>
        <v>0.32999999999999996</v>
      </c>
      <c r="AG12" s="121">
        <f>$M12*AF12*4</f>
        <v>1.5485424657534243E-3</v>
      </c>
      <c r="AH12" s="123">
        <f t="shared" si="12"/>
        <v>1</v>
      </c>
      <c r="AI12" s="184">
        <f t="shared" si="13"/>
        <v>1.1731382316313823E-3</v>
      </c>
      <c r="AJ12" s="120">
        <f t="shared" si="14"/>
        <v>0</v>
      </c>
      <c r="AK12" s="119">
        <f t="shared" si="15"/>
        <v>2.3462764632627645E-3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beetroot: no. local meas</v>
      </c>
      <c r="B13" s="265">
        <f>IF([1]Summ!E1051="",0,[1]Summ!E1051)</f>
        <v>2.2766189290161893E-3</v>
      </c>
      <c r="C13" s="216">
        <f>IF([1]Summ!F1051="",0,[1]Summ!F1051)</f>
        <v>4.5532378580323768E-4</v>
      </c>
      <c r="D13" s="24">
        <f t="shared" si="0"/>
        <v>2.731942714819427E-3</v>
      </c>
      <c r="E13" s="26">
        <v>0.2</v>
      </c>
      <c r="H13" s="24">
        <f t="shared" si="1"/>
        <v>0.2</v>
      </c>
      <c r="I13" s="22">
        <f t="shared" si="2"/>
        <v>5.4638854296388541E-4</v>
      </c>
      <c r="J13" s="24">
        <f t="shared" si="3"/>
        <v>5.4638854296388541E-4</v>
      </c>
      <c r="K13" s="22">
        <f t="shared" si="4"/>
        <v>2.2766189290161893E-3</v>
      </c>
      <c r="L13" s="22">
        <f t="shared" si="5"/>
        <v>4.553237858032379E-4</v>
      </c>
      <c r="M13" s="259">
        <f t="shared" si="6"/>
        <v>5.4638854296388541E-4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1597.3378601334746</v>
      </c>
      <c r="S13" s="225">
        <f>IF($B$81=0,0,(SUMIF($N$6:$N$28,$U13,L$6:L$28)+SUMIF($N$91:$N$118,$U13,L$91:L$118))*$I$83*Poor!$B$81/$B$81)</f>
        <v>599.40000000000009</v>
      </c>
      <c r="T13" s="225">
        <f>IF($B$81=0,0,(SUMIF($N$6:$N$28,$U13,M$6:M$28)+SUMIF($N$91:$N$118,$U13,M$91:M$118))*$I$83*Poor!$B$81/$B$81)</f>
        <v>599.40000000000009</v>
      </c>
      <c r="U13" s="226">
        <v>7</v>
      </c>
      <c r="V13" s="56"/>
      <c r="W13" s="110"/>
      <c r="X13" s="118"/>
      <c r="Y13" s="184">
        <f t="shared" si="9"/>
        <v>2.1855541718555417E-3</v>
      </c>
      <c r="Z13" s="116">
        <v>1</v>
      </c>
      <c r="AA13" s="121">
        <f>$M13*Z13*4</f>
        <v>2.1855541718555417E-3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5.4638854296388541E-4</v>
      </c>
      <c r="AJ13" s="120">
        <f t="shared" si="14"/>
        <v>1.0927770859277708E-3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Groundnuts (dry): no. local meas</v>
      </c>
      <c r="B14" s="265">
        <f>IF([1]Summ!E1052="",0,[1]Summ!E1052)</f>
        <v>1.8867973225404733E-2</v>
      </c>
      <c r="C14" s="216">
        <f>IF([1]Summ!F1052="",0,[1]Summ!F1052)</f>
        <v>0</v>
      </c>
      <c r="D14" s="24">
        <f t="shared" si="0"/>
        <v>1.8867973225404733E-2</v>
      </c>
      <c r="E14" s="26">
        <v>0.2</v>
      </c>
      <c r="F14" s="22"/>
      <c r="H14" s="24">
        <f t="shared" si="1"/>
        <v>0.2</v>
      </c>
      <c r="I14" s="22">
        <f t="shared" si="2"/>
        <v>3.7735946450809469E-3</v>
      </c>
      <c r="J14" s="24">
        <f>IF(I$32&lt;=1+I131,I14,B14*H14+J$33*(I14-B14*H14))</f>
        <v>3.7735946450809469E-3</v>
      </c>
      <c r="K14" s="22">
        <f t="shared" si="4"/>
        <v>1.8867973225404733E-2</v>
      </c>
      <c r="L14" s="22">
        <f t="shared" si="5"/>
        <v>3.7735946450809469E-3</v>
      </c>
      <c r="M14" s="259">
        <f t="shared" si="6"/>
        <v>3.7735946450809469E-3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0</v>
      </c>
      <c r="S14" s="225">
        <f>IF($B$81=0,0,(SUMIF($N$6:$N$28,$U14,L$6:L$28)+SUMIF($N$91:$N$118,$U14,L$91:L$118))*$I$83*Poor!$B$81/$B$81)</f>
        <v>0</v>
      </c>
      <c r="T14" s="225">
        <f>IF($B$81=0,0,(SUMIF($N$6:$N$28,$U14,M$6:M$28)+SUMIF($N$91:$N$118,$U14,M$91:M$118))*$I$83*Poor!$B$81/$B$81)</f>
        <v>0</v>
      </c>
      <c r="U14" s="226">
        <v>8</v>
      </c>
      <c r="V14" s="56"/>
      <c r="W14" s="110"/>
      <c r="X14" s="118"/>
      <c r="Y14" s="184">
        <f>M14*4</f>
        <v>1.5094378580323788E-2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1.5094378580323788E-2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3.7735946450809469E-3</v>
      </c>
      <c r="AJ14" s="120">
        <f t="shared" si="14"/>
        <v>7.5471892901618938E-3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Cow peas</v>
      </c>
      <c r="B15" s="265">
        <f>IF([1]Summ!E1053="",0,[1]Summ!E1053)</f>
        <v>8.9696193960149429E-3</v>
      </c>
      <c r="C15" s="216">
        <f>IF([1]Summ!F1053="",0,[1]Summ!F1053)</f>
        <v>0</v>
      </c>
      <c r="D15" s="24">
        <f t="shared" si="0"/>
        <v>8.9696193960149429E-3</v>
      </c>
      <c r="E15" s="26">
        <v>0.2</v>
      </c>
      <c r="F15" s="22"/>
      <c r="H15" s="24">
        <f t="shared" si="1"/>
        <v>0.2</v>
      </c>
      <c r="I15" s="22">
        <f t="shared" si="2"/>
        <v>1.7939238792029886E-3</v>
      </c>
      <c r="J15" s="24">
        <f>IF(I$32&lt;=1+I131,I15,B15*H15+J$33*(I15-B15*H15))</f>
        <v>1.7939238792029886E-3</v>
      </c>
      <c r="K15" s="22">
        <f t="shared" si="4"/>
        <v>8.9696193960149429E-3</v>
      </c>
      <c r="L15" s="22">
        <f t="shared" si="5"/>
        <v>1.7939238792029886E-3</v>
      </c>
      <c r="M15" s="260">
        <f t="shared" si="6"/>
        <v>1.7939238792029886E-3</v>
      </c>
      <c r="N15" s="232">
        <v>1</v>
      </c>
      <c r="O15" s="2"/>
      <c r="P15" s="22"/>
      <c r="Q15" s="59" t="s">
        <v>127</v>
      </c>
      <c r="R15" s="225">
        <f>IF($B$81=0,0,(SUMIF($N$6:$N$28,$U15,K$6:K$28)+SUMIF($N$91:$N$118,$U15,K$91:K$118))*$B$83*$H$84*Poor!$B$81/$B$81)</f>
        <v>10648.919067556497</v>
      </c>
      <c r="S15" s="225">
        <f>IF($B$81=0,0,(SUMIF($N$6:$N$28,$U15,L$6:L$28)+SUMIF($N$91:$N$118,$U15,L$91:L$118))*$I$83*Poor!$B$81/$B$81)</f>
        <v>8496</v>
      </c>
      <c r="T15" s="225">
        <f>IF($B$81=0,0,(SUMIF($N$6:$N$28,$U15,M$6:M$28)+SUMIF($N$91:$N$118,$U15,M$91:M$118))*$I$83*Poor!$B$81/$B$81)</f>
        <v>8496</v>
      </c>
      <c r="U15" s="226">
        <v>9</v>
      </c>
      <c r="V15" s="56"/>
      <c r="W15" s="110"/>
      <c r="X15" s="118"/>
      <c r="Y15" s="184">
        <f t="shared" si="9"/>
        <v>7.1756955168119545E-3</v>
      </c>
      <c r="Z15" s="116">
        <v>0.25</v>
      </c>
      <c r="AA15" s="121">
        <f t="shared" si="16"/>
        <v>1.7939238792029886E-3</v>
      </c>
      <c r="AB15" s="116">
        <v>0.25</v>
      </c>
      <c r="AC15" s="121">
        <f t="shared" si="7"/>
        <v>1.7939238792029886E-3</v>
      </c>
      <c r="AD15" s="116">
        <v>0.25</v>
      </c>
      <c r="AE15" s="121">
        <f t="shared" si="8"/>
        <v>1.7939238792029886E-3</v>
      </c>
      <c r="AF15" s="122">
        <f t="shared" si="10"/>
        <v>0.25</v>
      </c>
      <c r="AG15" s="121">
        <f t="shared" si="11"/>
        <v>1.7939238792029886E-3</v>
      </c>
      <c r="AH15" s="123">
        <f t="shared" si="12"/>
        <v>1</v>
      </c>
      <c r="AI15" s="184">
        <f t="shared" si="13"/>
        <v>1.7939238792029886E-3</v>
      </c>
      <c r="AJ15" s="120">
        <f t="shared" si="14"/>
        <v>1.7939238792029886E-3</v>
      </c>
      <c r="AK15" s="119">
        <f t="shared" si="15"/>
        <v>1.7939238792029886E-3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Other crop: Spinach</v>
      </c>
      <c r="B16" s="265">
        <f>IF([1]Summ!E1054="",0,[1]Summ!E1054)</f>
        <v>1.4862235367372352E-3</v>
      </c>
      <c r="C16" s="216">
        <f>IF([1]Summ!F1054="",0,[1]Summ!F1054)</f>
        <v>4.6933374844333763E-4</v>
      </c>
      <c r="D16" s="24">
        <f t="shared" si="0"/>
        <v>1.9555572851805729E-3</v>
      </c>
      <c r="E16" s="26">
        <v>0.2</v>
      </c>
      <c r="F16" s="22"/>
      <c r="H16" s="24">
        <f t="shared" si="1"/>
        <v>0.2</v>
      </c>
      <c r="I16" s="22">
        <f t="shared" si="2"/>
        <v>3.911114570361146E-4</v>
      </c>
      <c r="J16" s="24">
        <f>IF(I$32&lt;=1+I131,I16,B16*H16+J$33*(I16-B16*H16))</f>
        <v>3.911114570361146E-4</v>
      </c>
      <c r="K16" s="22">
        <f t="shared" si="4"/>
        <v>1.4862235367372352E-3</v>
      </c>
      <c r="L16" s="22">
        <f t="shared" si="5"/>
        <v>2.9724470734744706E-4</v>
      </c>
      <c r="M16" s="258">
        <f t="shared" si="6"/>
        <v>3.911114570361146E-4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IF($B$81=0,0,(SUMIF($N$6:$N$28,$U16,L$6:L$28)+SUMIF($N$91:$N$118,$U16,L$91:L$118))*$I$83*Poor!$B$81/$B$81)</f>
        <v>0</v>
      </c>
      <c r="T16" s="225">
        <f>IF($B$81=0,0,(SUMIF($N$6:$N$28,$U16,M$6:M$28)+SUMIF($N$91:$N$118,$U16,M$91:M$118))*$I$83*Poor!$B$81/$B$81)</f>
        <v>0</v>
      </c>
      <c r="U16" s="226">
        <v>10</v>
      </c>
      <c r="V16" s="56"/>
      <c r="W16" s="110"/>
      <c r="X16" s="118"/>
      <c r="Y16" s="184">
        <f t="shared" si="9"/>
        <v>1.5644458281444584E-3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1.5644458281444584E-3</v>
      </c>
      <c r="AH16" s="123">
        <f t="shared" si="12"/>
        <v>1</v>
      </c>
      <c r="AI16" s="184">
        <f t="shared" si="13"/>
        <v>3.911114570361146E-4</v>
      </c>
      <c r="AJ16" s="120">
        <f t="shared" si="14"/>
        <v>0</v>
      </c>
      <c r="AK16" s="119">
        <f t="shared" si="15"/>
        <v>7.8222291407222921E-4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Other crop: pumpkin</v>
      </c>
      <c r="B17" s="265">
        <f>IF([1]Summ!E1055="",0,[1]Summ!E1055)</f>
        <v>5.0835990037359901E-3</v>
      </c>
      <c r="C17" s="216">
        <f>IF([1]Summ!F1055="",0,[1]Summ!F1055)</f>
        <v>0</v>
      </c>
      <c r="D17" s="24">
        <f>SUM(B17,C17)</f>
        <v>5.0835990037359901E-3</v>
      </c>
      <c r="E17" s="26">
        <v>0.2</v>
      </c>
      <c r="F17" s="22"/>
      <c r="H17" s="24">
        <f t="shared" si="1"/>
        <v>0.2</v>
      </c>
      <c r="I17" s="22">
        <f t="shared" si="2"/>
        <v>1.0167198007471981E-3</v>
      </c>
      <c r="J17" s="24">
        <f t="shared" ref="J17:J25" si="17">IF(I$32&lt;=1+I131,I17,B17*H17+J$33*(I17-B17*H17))</f>
        <v>1.0167198007471981E-3</v>
      </c>
      <c r="K17" s="22">
        <f t="shared" si="4"/>
        <v>5.0835990037359901E-3</v>
      </c>
      <c r="L17" s="22">
        <f t="shared" si="5"/>
        <v>1.0167198007471981E-3</v>
      </c>
      <c r="M17" s="259">
        <f t="shared" si="6"/>
        <v>1.0167198007471981E-3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4141.2463040497487</v>
      </c>
      <c r="S17" s="225">
        <f>IF($B$81=0,0,(SUMIF($N$6:$N$28,$U17,L$6:L$28)+SUMIF($N$91:$N$118,$U17,L$91:L$118))*$I$83*Poor!$B$81/$B$81)</f>
        <v>2643.2</v>
      </c>
      <c r="T17" s="225">
        <f>IF($B$81=0,0,(SUMIF($N$6:$N$28,$U17,M$6:M$28)+SUMIF($N$91:$N$118,$U17,M$91:M$118))*$I$83*Poor!$B$81/$B$81)</f>
        <v>2643.2</v>
      </c>
      <c r="U17" s="226">
        <v>11</v>
      </c>
      <c r="V17" s="56"/>
      <c r="W17" s="110"/>
      <c r="X17" s="118"/>
      <c r="Y17" s="184">
        <f t="shared" si="9"/>
        <v>4.0668792029887922E-3</v>
      </c>
      <c r="Z17" s="116">
        <v>0.29409999999999997</v>
      </c>
      <c r="AA17" s="121">
        <f t="shared" si="16"/>
        <v>1.1960691735990038E-3</v>
      </c>
      <c r="AB17" s="116">
        <v>0.17649999999999999</v>
      </c>
      <c r="AC17" s="121">
        <f t="shared" si="7"/>
        <v>7.1780417932752175E-4</v>
      </c>
      <c r="AD17" s="116">
        <v>0.23530000000000001</v>
      </c>
      <c r="AE17" s="121">
        <f t="shared" si="8"/>
        <v>9.5693667646326282E-4</v>
      </c>
      <c r="AF17" s="122">
        <f t="shared" si="10"/>
        <v>0.29410000000000003</v>
      </c>
      <c r="AG17" s="121">
        <f t="shared" si="11"/>
        <v>1.196069173599004E-3</v>
      </c>
      <c r="AH17" s="123">
        <f t="shared" si="12"/>
        <v>1</v>
      </c>
      <c r="AI17" s="184">
        <f t="shared" si="13"/>
        <v>1.0167198007471981E-3</v>
      </c>
      <c r="AJ17" s="120">
        <f t="shared" si="14"/>
        <v>9.5693667646326282E-4</v>
      </c>
      <c r="AK17" s="119">
        <f t="shared" si="15"/>
        <v>1.0765029250311333E-3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FISHING -- see worksheet Data 3</v>
      </c>
      <c r="B18" s="265">
        <f>IF([1]Summ!E1056="",0,[1]Summ!E1056)</f>
        <v>9.8770236612702369E-3</v>
      </c>
      <c r="C18" s="216">
        <f>IF([1]Summ!F1056="",0,[1]Summ!F1056)</f>
        <v>2.4692559153175597E-3</v>
      </c>
      <c r="D18" s="24">
        <f t="shared" ref="D18:D20" si="18">SUM(B18,C18)</f>
        <v>1.2346279576587797E-2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1.2346279576587797E-2</v>
      </c>
      <c r="J18" s="24">
        <f t="shared" si="17"/>
        <v>1.0649197323135157E-2</v>
      </c>
      <c r="K18" s="22">
        <f t="shared" ref="K18:K20" si="21">B18</f>
        <v>9.8770236612702369E-3</v>
      </c>
      <c r="L18" s="22">
        <f t="shared" ref="L18:L20" si="22">IF(K18="","",K18*H18)</f>
        <v>9.8770236612702369E-3</v>
      </c>
      <c r="M18" s="259">
        <f t="shared" ref="M18:M20" si="23">J18</f>
        <v>1.0649197323135157E-2</v>
      </c>
      <c r="N18" s="232">
        <v>6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2031.500524986835</v>
      </c>
      <c r="S18" s="225">
        <f>IF($B$81=0,0,(SUMIF($N$6:$N$28,$U18,L$6:L$28)+SUMIF($N$91:$N$118,$U18,L$91:L$118))*$I$83*Poor!$B$81/$B$81)</f>
        <v>2266.3545552122823</v>
      </c>
      <c r="T18" s="225">
        <f>IF($B$81=0,0,(SUMIF($N$6:$N$28,$U18,M$6:M$28)+SUMIF($N$91:$N$118,$U18,M$91:M$118))*$I$83*Poor!$B$81/$B$81)</f>
        <v>2266.3545552122823</v>
      </c>
      <c r="U18" s="226">
        <v>12</v>
      </c>
      <c r="V18" s="56"/>
      <c r="W18" s="110"/>
      <c r="X18" s="118"/>
      <c r="Y18" s="184">
        <f t="shared" ref="Y18:Y20" si="24">M18*4</f>
        <v>4.2596789292540627E-2</v>
      </c>
      <c r="Z18" s="116">
        <v>1.2941</v>
      </c>
      <c r="AA18" s="121">
        <f t="shared" ref="AA18:AA20" si="25">$M18*Z18*4</f>
        <v>5.5124505023476829E-2</v>
      </c>
      <c r="AB18" s="116">
        <v>1.1765000000000001</v>
      </c>
      <c r="AC18" s="121">
        <f t="shared" ref="AC18:AC20" si="26">$M18*AB18*4</f>
        <v>5.0115122602674055E-2</v>
      </c>
      <c r="AD18" s="116">
        <v>1.2353000000000001</v>
      </c>
      <c r="AE18" s="121">
        <f t="shared" ref="AE18:AE20" si="27">$M18*AD18*4</f>
        <v>5.2619813813075442E-2</v>
      </c>
      <c r="AF18" s="122">
        <f t="shared" ref="AF18:AF20" si="28">1-SUM(Z18,AB18,AD18)</f>
        <v>-2.7059000000000002</v>
      </c>
      <c r="AG18" s="121">
        <f t="shared" ref="AG18:AG20" si="29">$M18*AF18*4</f>
        <v>-0.11526265214668568</v>
      </c>
      <c r="AH18" s="123">
        <f t="shared" ref="AH18:AH20" si="30">SUM(Z18,AB18,AD18,AF18)</f>
        <v>1</v>
      </c>
      <c r="AI18" s="184">
        <f t="shared" ref="AI18:AI20" si="31">SUM(AA18,AC18,AE18,AG18)/4</f>
        <v>1.0649197323135157E-2</v>
      </c>
      <c r="AJ18" s="120">
        <f t="shared" ref="AJ18:AJ20" si="32">(AA18+AC18)/2</f>
        <v>5.2619813813075442E-2</v>
      </c>
      <c r="AK18" s="119">
        <f t="shared" ref="AK18:AK20" si="33">(AE18+AG18)/2</f>
        <v>-3.1321419166805121E-2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65">
        <f>IF([1]Summ!E1057="",0,[1]Summ!E1057)</f>
        <v>0</v>
      </c>
      <c r="C19" s="216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59">
        <f t="shared" si="23"/>
        <v>0</v>
      </c>
      <c r="N19" s="232"/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IF($B$81=0,0,(SUMIF($N$6:$N$28,$U19,L$6:L$28)+SUMIF($N$91:$N$118,$U19,L$91:L$118))*$I$83*Poor!$B$81/$B$81)</f>
        <v>0</v>
      </c>
      <c r="T19" s="225">
        <f>IF($B$81=0,0,(SUMIF($N$6:$N$28,$U19,M$6:M$28)+SUMIF($N$91:$N$118,$U19,M$91:M$118))*$I$83*Poor!$B$81/$B$81)</f>
        <v>0</v>
      </c>
      <c r="U19" s="226">
        <v>13</v>
      </c>
      <c r="V19" s="56"/>
      <c r="W19" s="110"/>
      <c r="X19" s="118"/>
      <c r="Y19" s="184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4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65">
        <f>IF([1]Summ!E1058="",0,[1]Summ!E1058)</f>
        <v>0</v>
      </c>
      <c r="C20" s="216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59">
        <f t="shared" si="23"/>
        <v>0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31920.134905000599</v>
      </c>
      <c r="S20" s="225">
        <f>IF($B$81=0,0,(SUMIF($N$6:$N$28,$U20,L$6:L$28)+SUMIF($N$91:$N$118,$U20,L$91:L$118))*$I$83*Poor!$B$81/$B$81)</f>
        <v>25466.76</v>
      </c>
      <c r="T20" s="225">
        <f>IF($B$81=0,0,(SUMIF($N$6:$N$28,$U20,M$6:M$28)+SUMIF($N$91:$N$118,$U20,M$91:M$118))*$I$83*Poor!$B$81/$B$81)</f>
        <v>25466.76</v>
      </c>
      <c r="U20" s="226">
        <v>14</v>
      </c>
      <c r="V20" s="56"/>
      <c r="W20" s="110"/>
      <c r="X20" s="118"/>
      <c r="Y20" s="184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4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65">
        <f>IF([1]Summ!E1059="",0,[1]Summ!E1059)</f>
        <v>0</v>
      </c>
      <c r="C21" s="216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59">
        <f t="shared" ref="M21:M25" si="39">J21</f>
        <v>0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IF($B$81=0,0,(SUMIF($N$6:$N$28,$U21,L$6:L$28)+SUMIF($N$91:$N$118,$U21,L$91:L$118))*$I$83*Poor!$B$81/$B$81)</f>
        <v>0</v>
      </c>
      <c r="T21" s="225">
        <f>IF($B$81=0,0,(SUMIF($N$6:$N$28,$U21,M$6:M$28)+SUMIF($N$91:$N$118,$U21,M$91:M$118))*$I$83*Poor!$B$81/$B$81)</f>
        <v>0</v>
      </c>
      <c r="U21" s="226">
        <v>15</v>
      </c>
      <c r="V21" s="56"/>
      <c r="W21" s="110"/>
      <c r="X21" s="118"/>
      <c r="Y21" s="184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4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65">
        <f>IF([1]Summ!E1060="",0,[1]Summ!E1060)</f>
        <v>0</v>
      </c>
      <c r="C22" s="216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59">
        <f t="shared" si="39"/>
        <v>0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IF($B$81=0,0,(SUMIF($N$6:$N$28,$U22,L$6:L$28)+SUMIF($N$91:$N$118,$U22,L$91:L$118))*$I$83*Poor!$B$81/$B$81)</f>
        <v>0</v>
      </c>
      <c r="T22" s="225">
        <f>IF($B$81=0,0,(SUMIF($N$6:$N$28,$U22,M$6:M$28)+SUMIF($N$91:$N$118,$U22,M$91:M$118))*$I$83*Poor!$B$81/$B$81)</f>
        <v>0</v>
      </c>
      <c r="U22" s="226">
        <v>16</v>
      </c>
      <c r="V22" s="56"/>
      <c r="W22" s="110"/>
      <c r="X22" s="118"/>
      <c r="Y22" s="184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4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65">
        <f>IF([1]Summ!E1061="",0,[1]Summ!E1061)</f>
        <v>0</v>
      </c>
      <c r="C23" s="216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59">
        <f t="shared" si="39"/>
        <v>0</v>
      </c>
      <c r="N23" s="232"/>
      <c r="O23" s="2"/>
      <c r="P23" s="22"/>
      <c r="Q23" s="171" t="s">
        <v>100</v>
      </c>
      <c r="R23" s="179">
        <f>SUM(R7:R22)</f>
        <v>70425.674076600117</v>
      </c>
      <c r="S23" s="179">
        <f>SUM(S7:S22)</f>
        <v>46864.983965823325</v>
      </c>
      <c r="T23" s="179">
        <f>SUM(T7:T22)</f>
        <v>46879.523756144816</v>
      </c>
      <c r="U23" s="56"/>
      <c r="V23" s="56"/>
      <c r="W23" s="110"/>
      <c r="X23" s="118"/>
      <c r="Y23" s="184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4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65">
        <f>IF([1]Summ!E1062="",0,[1]Summ!E1062)</f>
        <v>0</v>
      </c>
      <c r="C24" s="216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59">
        <f t="shared" si="39"/>
        <v>0</v>
      </c>
      <c r="N24" s="232"/>
      <c r="O24" s="2"/>
      <c r="P24" s="22"/>
      <c r="Q24" s="59" t="s">
        <v>137</v>
      </c>
      <c r="R24" s="41">
        <f>IF($B$81=0,0,(SUM(($B$70*$H$70))+((1-$D$29)*$I$83))*Poor!$B$81/$B$81)</f>
        <v>33489.867316657932</v>
      </c>
      <c r="S24" s="41">
        <f>IF($B$81=0,0,(SUM(($B$70*$H$70))+((1-$D$29)*$I$83))*Poor!$B$81/$B$81)</f>
        <v>33489.867316657932</v>
      </c>
      <c r="T24" s="41">
        <f>IF($B$81=0,0,(SUM(($B$70*$H$70))+((1-$D$29)*$I$83))*Poor!$B$81/$B$81)</f>
        <v>33489.867316657932</v>
      </c>
      <c r="U24" s="56"/>
      <c r="V24" s="56"/>
      <c r="W24" s="110"/>
      <c r="X24" s="118"/>
      <c r="Y24" s="184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4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65">
        <f>IF([1]Summ!E1063="",0,[1]Summ!E1063)</f>
        <v>0</v>
      </c>
      <c r="C25" s="216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59">
        <f t="shared" si="39"/>
        <v>0</v>
      </c>
      <c r="N25" s="232"/>
      <c r="O25" s="2"/>
      <c r="P25" s="22"/>
      <c r="Q25" s="142" t="s">
        <v>138</v>
      </c>
      <c r="R25" s="41">
        <f>IF($B$81=0,0,(SUM(($B$70*$H$70),($B$71*$H$71))+((1-$D$29)*$I$83))*Poor!$B$81/$B$81)</f>
        <v>51872.693983324607</v>
      </c>
      <c r="S25" s="41">
        <f>IF($B$81=0,0,(SUM(($B$70*$H$70),($B$71*$H$71))+((1-$D$29)*$I$83))*Poor!$B$81/$B$81)</f>
        <v>51872.693983324607</v>
      </c>
      <c r="T25" s="41">
        <f>IF($B$81=0,0,(SUM(($B$70*$H$70),($B$71*$H$71))+((1-$D$29)*$I$83))*Poor!$B$81/$B$81)</f>
        <v>51872.693983324607</v>
      </c>
      <c r="U25" s="56"/>
      <c r="V25" s="56"/>
      <c r="W25" s="110"/>
      <c r="X25" s="118"/>
      <c r="Y25" s="184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4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65">
        <f>IF([1]Summ!E1064="",0,[1]Summ!E1064)</f>
        <v>0.14880952380952381</v>
      </c>
      <c r="C26" s="216">
        <f>IF([1]Summ!F1064="",0,[1]Summ!F1064)</f>
        <v>0</v>
      </c>
      <c r="D26" s="24">
        <f>SUM(B26,C26)</f>
        <v>0.14880952380952381</v>
      </c>
      <c r="E26" s="26">
        <v>1</v>
      </c>
      <c r="F26" s="22"/>
      <c r="H26" s="24">
        <f t="shared" si="1"/>
        <v>1</v>
      </c>
      <c r="I26" s="22">
        <f t="shared" si="2"/>
        <v>0.14880952380952381</v>
      </c>
      <c r="J26" s="24">
        <f>IF(I$32&lt;=1+I131,I26,B26*H26+J$33*(I26-B26*H26))</f>
        <v>0.14880952380952381</v>
      </c>
      <c r="K26" s="22">
        <f t="shared" si="4"/>
        <v>0.14880952380952381</v>
      </c>
      <c r="L26" s="22">
        <f t="shared" si="5"/>
        <v>0.14880952380952381</v>
      </c>
      <c r="M26" s="258">
        <f t="shared" si="6"/>
        <v>0.14880952380952381</v>
      </c>
      <c r="N26" s="232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84610.613983324598</v>
      </c>
      <c r="S26" s="41">
        <f>IF($B$81=0,0,(SUM(($B$70*$H$70),($B$71*$H$71),($B$72*$H$72))+((1-$D$29)*$I$83))*Poor!$B$81/$B$81)</f>
        <v>84610.613983324598</v>
      </c>
      <c r="T26" s="41">
        <f>IF($B$81=0,0,(SUM(($B$70*$H$70),($B$71*$H$71),($B$72*$H$72))+((1-$D$29)*$I$83))*Poor!$B$81/$B$81)</f>
        <v>84610.613983324598</v>
      </c>
      <c r="U26" s="56"/>
      <c r="V26" s="56"/>
      <c r="W26" s="110"/>
      <c r="X26" s="118"/>
      <c r="Y26" s="184">
        <f t="shared" si="9"/>
        <v>0.59523809523809523</v>
      </c>
      <c r="Z26" s="116">
        <v>0.25</v>
      </c>
      <c r="AA26" s="121">
        <f t="shared" si="16"/>
        <v>0.14880952380952381</v>
      </c>
      <c r="AB26" s="116">
        <v>0.25</v>
      </c>
      <c r="AC26" s="121">
        <f t="shared" si="7"/>
        <v>0.14880952380952381</v>
      </c>
      <c r="AD26" s="116">
        <v>0.25</v>
      </c>
      <c r="AE26" s="121">
        <f t="shared" si="8"/>
        <v>0.14880952380952381</v>
      </c>
      <c r="AF26" s="122">
        <f t="shared" si="10"/>
        <v>0.25</v>
      </c>
      <c r="AG26" s="121">
        <f t="shared" si="11"/>
        <v>0.14880952380952381</v>
      </c>
      <c r="AH26" s="123">
        <f t="shared" si="12"/>
        <v>1</v>
      </c>
      <c r="AI26" s="184">
        <f t="shared" si="13"/>
        <v>0.14880952380952381</v>
      </c>
      <c r="AJ26" s="120">
        <f t="shared" si="14"/>
        <v>0.14880952380952381</v>
      </c>
      <c r="AK26" s="119">
        <f t="shared" si="15"/>
        <v>0.14880952380952381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6">
        <f>IF([1]Summ!E1065="",0,[1]Summ!E1065)</f>
        <v>3.314115504358655E-2</v>
      </c>
      <c r="C27" s="216">
        <f>IF([1]Summ!F1065="",0,[1]Summ!F1065)</f>
        <v>-3.314115504358655E-2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9">
        <f t="shared" si="6"/>
        <v>0</v>
      </c>
      <c r="N27" s="232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6">
        <f>IF([1]Summ!E1066="",0,[1]Summ!E1066)</f>
        <v>0</v>
      </c>
      <c r="C28" s="216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7">
        <f t="shared" si="6"/>
        <v>0</v>
      </c>
      <c r="N28" s="232"/>
      <c r="O28" s="2"/>
      <c r="P28" s="22"/>
      <c r="V28" s="56"/>
      <c r="W28" s="110"/>
      <c r="X28" s="118"/>
      <c r="Y28" s="184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65">
        <f>IF([1]Summ!E1067="",0,[1]Summ!E1067)</f>
        <v>0.25301495874844337</v>
      </c>
      <c r="C29" s="216">
        <f>IF([1]Summ!F1067="",0,[1]Summ!F1067)</f>
        <v>-2.837818480644623E-2</v>
      </c>
      <c r="D29" s="24">
        <f>SUM(B29,C29)</f>
        <v>0.22463677394199716</v>
      </c>
      <c r="E29" s="26">
        <v>1</v>
      </c>
      <c r="F29" s="22"/>
      <c r="H29" s="24">
        <f t="shared" si="1"/>
        <v>1</v>
      </c>
      <c r="I29" s="22">
        <f t="shared" si="2"/>
        <v>0.22463677394199716</v>
      </c>
      <c r="J29" s="24">
        <f>IF(I$32&lt;=1+I131,I29,B29*H29+J$33*(I29-B29*H29))</f>
        <v>0.22463677394199716</v>
      </c>
      <c r="K29" s="22">
        <f t="shared" si="4"/>
        <v>0.25301495874844337</v>
      </c>
      <c r="L29" s="22">
        <f t="shared" si="5"/>
        <v>0.25301495874844337</v>
      </c>
      <c r="M29" s="227">
        <f t="shared" si="6"/>
        <v>0.22463677394199716</v>
      </c>
      <c r="N29" s="232"/>
      <c r="P29" s="22"/>
      <c r="V29" s="56"/>
      <c r="W29" s="110"/>
      <c r="X29" s="118"/>
      <c r="Y29" s="184">
        <f t="shared" si="9"/>
        <v>0.89854709576798864</v>
      </c>
      <c r="Z29" s="116">
        <v>0.25</v>
      </c>
      <c r="AA29" s="121">
        <f t="shared" si="16"/>
        <v>0.22463677394199716</v>
      </c>
      <c r="AB29" s="116">
        <v>0.25</v>
      </c>
      <c r="AC29" s="121">
        <f t="shared" si="7"/>
        <v>0.22463677394199716</v>
      </c>
      <c r="AD29" s="116">
        <v>0.25</v>
      </c>
      <c r="AE29" s="121">
        <f t="shared" si="8"/>
        <v>0.22463677394199716</v>
      </c>
      <c r="AF29" s="122">
        <f t="shared" si="10"/>
        <v>0.25</v>
      </c>
      <c r="AG29" s="121">
        <f t="shared" si="11"/>
        <v>0.22463677394199716</v>
      </c>
      <c r="AH29" s="123">
        <f t="shared" si="12"/>
        <v>1</v>
      </c>
      <c r="AI29" s="184">
        <f t="shared" si="13"/>
        <v>0.22463677394199716</v>
      </c>
      <c r="AJ29" s="120">
        <f t="shared" si="14"/>
        <v>0.22463677394199716</v>
      </c>
      <c r="AK29" s="119">
        <f t="shared" si="15"/>
        <v>0.22463677394199716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65">
        <f>IF([1]Summ!E1068="",0,[1]Summ!E1068)</f>
        <v>0.52739667515566635</v>
      </c>
      <c r="C30" s="103"/>
      <c r="D30" s="24">
        <f>(D119-B124)</f>
        <v>2.9604262339481489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1.4074416397684373</v>
      </c>
      <c r="J30" s="234">
        <f>IF(I$32&lt;=1,I30,1-SUM(J6:J29))</f>
        <v>0.5282727585575564</v>
      </c>
      <c r="K30" s="22">
        <f t="shared" si="4"/>
        <v>0.52739667515566635</v>
      </c>
      <c r="L30" s="22">
        <f>IF(L124=L119,0,IF(K30="",0,(L119-L124)/(B119-B124)*K30))</f>
        <v>0.25126698779669904</v>
      </c>
      <c r="M30" s="175">
        <f t="shared" si="6"/>
        <v>0.5282727585575564</v>
      </c>
      <c r="N30" s="166" t="s">
        <v>86</v>
      </c>
      <c r="O30" s="2"/>
      <c r="P30" s="22"/>
      <c r="Q30" s="237" t="s">
        <v>141</v>
      </c>
      <c r="R30" s="237">
        <f t="shared" ref="R30:T32" si="50">IF(R24&gt;R$23,R24-R$23,0)</f>
        <v>0</v>
      </c>
      <c r="S30" s="237">
        <f t="shared" si="50"/>
        <v>0</v>
      </c>
      <c r="T30" s="237">
        <f t="shared" si="50"/>
        <v>0</v>
      </c>
      <c r="V30" s="56"/>
      <c r="W30" s="110"/>
      <c r="X30" s="118"/>
      <c r="Y30" s="184">
        <f>M30*4</f>
        <v>2.1130910342302256</v>
      </c>
      <c r="Z30" s="122">
        <f>IF($Y30=0,0,AA30/($Y$30))</f>
        <v>0.1604359656433566</v>
      </c>
      <c r="AA30" s="188">
        <f>IF(AA79*4/$I$83+SUM(AA6:AA29)&lt;1,AA79*4/$I$83,1-SUM(AA6:AA29))</f>
        <v>0.33901580056904534</v>
      </c>
      <c r="AB30" s="122">
        <f>IF($Y30=0,0,AC30/($Y$30))</f>
        <v>0.25902580370476447</v>
      </c>
      <c r="AC30" s="188">
        <f>IF(AC79*4/$I$83+SUM(AC6:AC29)&lt;1,AC79*4/$I$83,1-SUM(AC6:AC29))</f>
        <v>0.54734510344281617</v>
      </c>
      <c r="AD30" s="122">
        <f>IF($Y30=0,0,AE30/($Y$30))</f>
        <v>0.2582662067424476</v>
      </c>
      <c r="AE30" s="188">
        <f>IF(AE79*4/$I$83+SUM(AE6:AE29)&lt;1,AE79*4/$I$83,1-SUM(AE6:AE29))</f>
        <v>0.54574000591211591</v>
      </c>
      <c r="AF30" s="122">
        <f>IF($Y30=0,0,AG30/($Y$30))</f>
        <v>0.32227202390943127</v>
      </c>
      <c r="AG30" s="188">
        <f>IF(AG79*4/$I$83+SUM(AG6:AG29)&lt;1,AG79*4/$I$83,1-SUM(AG6:AG29))</f>
        <v>0.68099012430624817</v>
      </c>
      <c r="AH30" s="123">
        <f t="shared" si="12"/>
        <v>1</v>
      </c>
      <c r="AI30" s="184">
        <f t="shared" si="13"/>
        <v>0.5282727585575564</v>
      </c>
      <c r="AJ30" s="120">
        <f t="shared" si="14"/>
        <v>0.44318045200593076</v>
      </c>
      <c r="AK30" s="119">
        <f t="shared" si="15"/>
        <v>0.61336506510918198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5">
        <f>(1-SUM(J6:J30))</f>
        <v>0</v>
      </c>
      <c r="K31" s="22" t="str">
        <f t="shared" si="4"/>
        <v/>
      </c>
      <c r="L31" s="22">
        <f>(1-SUM(L6:L30))</f>
        <v>0.21478647832735942</v>
      </c>
      <c r="M31" s="178">
        <f t="shared" si="6"/>
        <v>0</v>
      </c>
      <c r="N31" s="167">
        <f>M31*I83</f>
        <v>0</v>
      </c>
      <c r="P31" s="22"/>
      <c r="Q31" s="241" t="s">
        <v>142</v>
      </c>
      <c r="R31" s="237">
        <f t="shared" si="50"/>
        <v>0</v>
      </c>
      <c r="S31" s="237">
        <f t="shared" si="50"/>
        <v>5007.710017501282</v>
      </c>
      <c r="T31" s="237">
        <f>IF(T25&gt;T$23,T25-T$23,0)</f>
        <v>4993.1702271797913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1.343826550511475</v>
      </c>
      <c r="C32" s="29">
        <f>SUM(C6:C31)</f>
        <v>-6.6410715161365291E-2</v>
      </c>
      <c r="D32" s="24">
        <f>SUM(D6:D30)</f>
        <v>3.7104453941425923</v>
      </c>
      <c r="E32" s="2"/>
      <c r="F32" s="2"/>
      <c r="H32" s="17"/>
      <c r="I32" s="22">
        <f>SUM(I6:I30)</f>
        <v>1.8808659634643337</v>
      </c>
      <c r="J32" s="17"/>
      <c r="L32" s="22">
        <f>SUM(L6:L30)</f>
        <v>0.78521352167264058</v>
      </c>
      <c r="M32" s="23"/>
      <c r="N32" s="56"/>
      <c r="O32" s="2"/>
      <c r="P32" s="22"/>
      <c r="Q32" s="237" t="s">
        <v>143</v>
      </c>
      <c r="R32" s="237">
        <f t="shared" si="50"/>
        <v>14184.939906724481</v>
      </c>
      <c r="S32" s="237">
        <f t="shared" si="50"/>
        <v>37745.630017501273</v>
      </c>
      <c r="T32" s="237">
        <f t="shared" si="50"/>
        <v>37731.090227179782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0.31271512080821051</v>
      </c>
      <c r="K33" s="14"/>
      <c r="L33" s="11"/>
      <c r="M33" s="30"/>
      <c r="N33" s="168" t="s">
        <v>87</v>
      </c>
      <c r="O33" s="2"/>
      <c r="P33" s="2"/>
      <c r="Q33" s="241"/>
      <c r="R33" s="237"/>
      <c r="S33" s="237"/>
      <c r="T33" s="237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4993.1702271798003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5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7"/>
      <c r="S36" s="257"/>
      <c r="T36" s="18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7">
        <f>IF([1]Summ!E1072="",0,[1]Summ!E1072)</f>
        <v>9000</v>
      </c>
      <c r="C37" s="217">
        <f>IF([1]Summ!F1072="",0,[1]Summ!F1072)</f>
        <v>0</v>
      </c>
      <c r="D37" s="38">
        <f>SUM(B37,C37)</f>
        <v>9000</v>
      </c>
      <c r="E37" s="236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5310</v>
      </c>
      <c r="J37" s="38">
        <f t="shared" ref="J37:J49" si="53">J91*I$83</f>
        <v>5310</v>
      </c>
      <c r="K37" s="40">
        <f t="shared" ref="K37:K49" si="54">(B37/B$65)</f>
        <v>0.2106642947427555</v>
      </c>
      <c r="L37" s="22">
        <f t="shared" ref="L37:L49" si="55">(K37*H37)</f>
        <v>0.12429193389822574</v>
      </c>
      <c r="M37" s="24">
        <f t="shared" ref="M37:M49" si="56">J37/B$65</f>
        <v>0.12429193389822574</v>
      </c>
      <c r="N37" s="2"/>
      <c r="O37" s="2"/>
      <c r="Q37" s="59"/>
      <c r="R37" s="180"/>
      <c r="S37" s="180"/>
      <c r="T37" s="22"/>
      <c r="U37" s="56"/>
      <c r="V37" s="41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5310</v>
      </c>
      <c r="AH37" s="123">
        <f>SUM(Z37,AB37,AD37,AF37)</f>
        <v>1</v>
      </c>
      <c r="AI37" s="112">
        <f>SUM(AA37,AC37,AE37,AG37)</f>
        <v>5310</v>
      </c>
      <c r="AJ37" s="148">
        <f>(AA37+AC37)</f>
        <v>0</v>
      </c>
      <c r="AK37" s="147">
        <f>(AE37+AG37)</f>
        <v>5310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7">
        <f>IF([1]Summ!E1073="",0,[1]Summ!E1073)</f>
        <v>900</v>
      </c>
      <c r="C38" s="217">
        <f>IF([1]Summ!F1073="",0,[1]Summ!F1073)</f>
        <v>0</v>
      </c>
      <c r="D38" s="38">
        <f t="shared" ref="D38:D47" si="58">SUM(B38,C38)</f>
        <v>900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531</v>
      </c>
      <c r="J38" s="38">
        <f t="shared" si="53"/>
        <v>531</v>
      </c>
      <c r="K38" s="40">
        <f t="shared" si="54"/>
        <v>2.106642947427555E-2</v>
      </c>
      <c r="L38" s="22">
        <f t="shared" si="55"/>
        <v>1.2429193389822573E-2</v>
      </c>
      <c r="M38" s="24">
        <f t="shared" si="56"/>
        <v>1.2429193389822573E-2</v>
      </c>
      <c r="N38" s="2"/>
      <c r="O38" s="2"/>
      <c r="P38" s="2"/>
      <c r="Q38" s="59"/>
      <c r="R38" s="180"/>
      <c r="S38" s="180"/>
      <c r="T38" s="22"/>
      <c r="U38" s="56"/>
      <c r="V38" s="41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531</v>
      </c>
      <c r="AH38" s="123">
        <f t="shared" ref="AH38:AI58" si="61">SUM(Z38,AB38,AD38,AF38)</f>
        <v>1</v>
      </c>
      <c r="AI38" s="112">
        <f t="shared" si="61"/>
        <v>531</v>
      </c>
      <c r="AJ38" s="148">
        <f t="shared" ref="AJ38:AJ64" si="62">(AA38+AC38)</f>
        <v>0</v>
      </c>
      <c r="AK38" s="147">
        <f t="shared" ref="AK38:AK64" si="63">(AE38+AG38)</f>
        <v>531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Beans: kg produced</v>
      </c>
      <c r="B39" s="217">
        <f>IF([1]Summ!E1074="",0,[1]Summ!E1074)</f>
        <v>100</v>
      </c>
      <c r="C39" s="217">
        <f>IF([1]Summ!F1074="",0,[1]Summ!F1074)</f>
        <v>150</v>
      </c>
      <c r="D39" s="38">
        <f t="shared" si="58"/>
        <v>250</v>
      </c>
      <c r="E39" s="75">
        <f>E10</f>
        <v>0.2</v>
      </c>
      <c r="F39" s="26">
        <v>1.4</v>
      </c>
      <c r="G39" s="22">
        <f t="shared" si="59"/>
        <v>1.65</v>
      </c>
      <c r="H39" s="24">
        <f t="shared" si="51"/>
        <v>0.27999999999999997</v>
      </c>
      <c r="I39" s="39">
        <f t="shared" si="52"/>
        <v>69.999999999999986</v>
      </c>
      <c r="J39" s="38">
        <f t="shared" si="53"/>
        <v>69.999999999999986</v>
      </c>
      <c r="K39" s="40">
        <f t="shared" si="54"/>
        <v>2.3407143860306166E-3</v>
      </c>
      <c r="L39" s="22">
        <f t="shared" si="55"/>
        <v>6.5540002808857258E-4</v>
      </c>
      <c r="M39" s="24">
        <f t="shared" si="56"/>
        <v>1.6385000702214313E-3</v>
      </c>
      <c r="N39" s="2"/>
      <c r="O39" s="2"/>
      <c r="P39" s="2"/>
      <c r="Q39" s="59"/>
      <c r="R39" s="180"/>
      <c r="S39" s="180"/>
      <c r="T39" s="22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69.999999999999986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69.999999999999986</v>
      </c>
      <c r="AJ39" s="148">
        <f t="shared" si="62"/>
        <v>69.999999999999986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Cabbage: no. local meas</v>
      </c>
      <c r="B40" s="217">
        <f>IF([1]Summ!E1075="",0,[1]Summ!E1075)</f>
        <v>0</v>
      </c>
      <c r="C40" s="217">
        <f>IF([1]Summ!F1075="",0,[1]Summ!F1075)</f>
        <v>0</v>
      </c>
      <c r="D40" s="38">
        <f t="shared" si="58"/>
        <v>0</v>
      </c>
      <c r="E40" s="75">
        <f>E12</f>
        <v>0.2</v>
      </c>
      <c r="F40" s="26">
        <v>1.4</v>
      </c>
      <c r="G40" s="22">
        <f t="shared" si="59"/>
        <v>1.65</v>
      </c>
      <c r="H40" s="24">
        <f t="shared" si="51"/>
        <v>0.27999999999999997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180"/>
      <c r="S40" s="180"/>
      <c r="T40" s="22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beetroot: no. local meas</v>
      </c>
      <c r="B41" s="217">
        <f>IF([1]Summ!E1076="",0,[1]Summ!E1076)</f>
        <v>30</v>
      </c>
      <c r="C41" s="217">
        <f>IF([1]Summ!F1076="",0,[1]Summ!F1076)</f>
        <v>-30</v>
      </c>
      <c r="D41" s="38">
        <f t="shared" si="58"/>
        <v>0</v>
      </c>
      <c r="E41" s="75">
        <f>E13</f>
        <v>0.2</v>
      </c>
      <c r="F41" s="26">
        <v>1.4</v>
      </c>
      <c r="G41" s="22">
        <f t="shared" si="59"/>
        <v>1.65</v>
      </c>
      <c r="H41" s="24">
        <f t="shared" si="51"/>
        <v>0.27999999999999997</v>
      </c>
      <c r="I41" s="39">
        <f t="shared" si="52"/>
        <v>0</v>
      </c>
      <c r="J41" s="38">
        <f t="shared" si="53"/>
        <v>0</v>
      </c>
      <c r="K41" s="40">
        <f t="shared" si="54"/>
        <v>7.0221431580918495E-4</v>
      </c>
      <c r="L41" s="22">
        <f t="shared" si="55"/>
        <v>1.9662000842657178E-4</v>
      </c>
      <c r="M41" s="24">
        <f t="shared" si="56"/>
        <v>0</v>
      </c>
      <c r="N41" s="2"/>
      <c r="O41" s="2"/>
      <c r="P41" s="2"/>
      <c r="Q41" s="59"/>
      <c r="R41" s="180"/>
      <c r="S41" s="180"/>
      <c r="T41" s="223"/>
      <c r="U41" s="56"/>
      <c r="V41" s="56"/>
      <c r="W41" s="115"/>
      <c r="X41" s="118">
        <v>1</v>
      </c>
      <c r="Y41" s="110"/>
      <c r="Z41" s="122">
        <f>Z11</f>
        <v>1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Other crop: Spinach</v>
      </c>
      <c r="B42" s="217">
        <f>IF([1]Summ!E1077="",0,[1]Summ!E1077)</f>
        <v>30</v>
      </c>
      <c r="C42" s="217">
        <f>IF([1]Summ!F1077="",0,[1]Summ!F1077)</f>
        <v>-30</v>
      </c>
      <c r="D42" s="38">
        <f t="shared" si="58"/>
        <v>0</v>
      </c>
      <c r="E42" s="75">
        <f>E16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0</v>
      </c>
      <c r="J42" s="38">
        <f t="shared" si="53"/>
        <v>0</v>
      </c>
      <c r="K42" s="40">
        <f t="shared" si="54"/>
        <v>7.0221431580918495E-4</v>
      </c>
      <c r="L42" s="22">
        <f t="shared" si="55"/>
        <v>1.9662000842657178E-4</v>
      </c>
      <c r="M42" s="24">
        <f t="shared" si="56"/>
        <v>0</v>
      </c>
      <c r="N42" s="2"/>
      <c r="O42" s="2"/>
      <c r="P42" s="56"/>
      <c r="Q42" s="41"/>
      <c r="R42" s="41"/>
      <c r="S42" s="246"/>
      <c r="T42" s="246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Other crop: pumpkin</v>
      </c>
      <c r="B43" s="217">
        <f>IF([1]Summ!E1078="",0,[1]Summ!E1078)</f>
        <v>0</v>
      </c>
      <c r="C43" s="217">
        <f>IF([1]Summ!F1078="",0,[1]Summ!F1078)</f>
        <v>0</v>
      </c>
      <c r="D43" s="38">
        <f t="shared" si="58"/>
        <v>0</v>
      </c>
      <c r="E43" s="75">
        <f>E17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4"/>
      <c r="T43" s="224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Agricultural cash income -- see Data2</v>
      </c>
      <c r="B44" s="217">
        <f>IF([1]Summ!E1079="",0,[1]Summ!E1079)</f>
        <v>1080</v>
      </c>
      <c r="C44" s="217">
        <f>IF([1]Summ!F1079="",0,[1]Summ!F1079)</f>
        <v>0</v>
      </c>
      <c r="D44" s="38">
        <f t="shared" si="58"/>
        <v>1080</v>
      </c>
      <c r="E44" s="26">
        <v>0.5</v>
      </c>
      <c r="F44" s="26">
        <v>1.1100000000000001</v>
      </c>
      <c r="G44" s="22">
        <f t="shared" si="59"/>
        <v>1.65</v>
      </c>
      <c r="H44" s="24">
        <f t="shared" si="51"/>
        <v>0.55500000000000005</v>
      </c>
      <c r="I44" s="39">
        <f t="shared" si="52"/>
        <v>599.40000000000009</v>
      </c>
      <c r="J44" s="38">
        <f t="shared" si="53"/>
        <v>599.40000000000009</v>
      </c>
      <c r="K44" s="40">
        <f t="shared" si="54"/>
        <v>2.5279715369130658E-2</v>
      </c>
      <c r="L44" s="22">
        <f t="shared" si="55"/>
        <v>1.4030242029867517E-2</v>
      </c>
      <c r="M44" s="24">
        <f t="shared" si="56"/>
        <v>1.4030242029867518E-2</v>
      </c>
      <c r="N44" s="2"/>
      <c r="O44" s="2"/>
      <c r="P44" s="2"/>
      <c r="Q44" s="261"/>
      <c r="R44" s="41"/>
      <c r="S44" s="41"/>
      <c r="T44" s="223"/>
      <c r="U44" s="56"/>
      <c r="V44" s="56"/>
      <c r="W44" s="117"/>
      <c r="X44" s="118"/>
      <c r="Y44" s="110"/>
      <c r="Z44" s="116">
        <v>0.25</v>
      </c>
      <c r="AA44" s="147">
        <f t="shared" si="64"/>
        <v>149.85000000000002</v>
      </c>
      <c r="AB44" s="116">
        <v>0.25</v>
      </c>
      <c r="AC44" s="147">
        <f t="shared" si="65"/>
        <v>149.85000000000002</v>
      </c>
      <c r="AD44" s="116">
        <v>0.25</v>
      </c>
      <c r="AE44" s="147">
        <f t="shared" si="66"/>
        <v>149.85000000000002</v>
      </c>
      <c r="AF44" s="122">
        <f t="shared" si="57"/>
        <v>0.25</v>
      </c>
      <c r="AG44" s="147">
        <f t="shared" si="60"/>
        <v>149.85000000000002</v>
      </c>
      <c r="AH44" s="123">
        <f t="shared" si="61"/>
        <v>1</v>
      </c>
      <c r="AI44" s="112">
        <f t="shared" si="61"/>
        <v>599.40000000000009</v>
      </c>
      <c r="AJ44" s="148">
        <f t="shared" si="62"/>
        <v>299.70000000000005</v>
      </c>
      <c r="AK44" s="147">
        <f t="shared" si="63"/>
        <v>299.70000000000005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Formal Employment (conservancies, etc.)</v>
      </c>
      <c r="B45" s="217">
        <f>IF([1]Summ!E1080="",0,[1]Summ!E1080)</f>
        <v>0</v>
      </c>
      <c r="C45" s="217">
        <f>IF([1]Summ!F1080="",0,[1]Summ!F1080)</f>
        <v>0</v>
      </c>
      <c r="D45" s="38">
        <f t="shared" si="58"/>
        <v>0</v>
      </c>
      <c r="E45" s="26">
        <v>0.6</v>
      </c>
      <c r="F45" s="26">
        <v>1.18</v>
      </c>
      <c r="G45" s="22">
        <f t="shared" si="59"/>
        <v>1.65</v>
      </c>
      <c r="H45" s="24">
        <f t="shared" si="51"/>
        <v>0.70799999999999996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61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Small business -- see Data2</v>
      </c>
      <c r="B46" s="217">
        <f>IF([1]Summ!E1081="",0,[1]Summ!E1081)</f>
        <v>2800</v>
      </c>
      <c r="C46" s="217">
        <f>IF([1]Summ!F1081="",0,[1]Summ!F1081)</f>
        <v>0</v>
      </c>
      <c r="D46" s="38">
        <f t="shared" si="58"/>
        <v>2800</v>
      </c>
      <c r="E46" s="26">
        <v>0.8</v>
      </c>
      <c r="F46" s="26">
        <v>1.18</v>
      </c>
      <c r="G46" s="22">
        <f t="shared" si="59"/>
        <v>1.65</v>
      </c>
      <c r="H46" s="24">
        <f t="shared" si="51"/>
        <v>0.94399999999999995</v>
      </c>
      <c r="I46" s="39">
        <f t="shared" si="52"/>
        <v>2643.2</v>
      </c>
      <c r="J46" s="38">
        <f t="shared" si="53"/>
        <v>2643.2</v>
      </c>
      <c r="K46" s="40">
        <f t="shared" si="54"/>
        <v>6.5540002808857259E-2</v>
      </c>
      <c r="L46" s="22">
        <f t="shared" si="55"/>
        <v>6.1869762651561251E-2</v>
      </c>
      <c r="M46" s="24">
        <f t="shared" si="56"/>
        <v>6.1869762651561251E-2</v>
      </c>
      <c r="N46" s="2"/>
      <c r="O46" s="2"/>
      <c r="P46" s="2"/>
      <c r="Q46" s="261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660.8</v>
      </c>
      <c r="AB46" s="116">
        <v>0.25</v>
      </c>
      <c r="AC46" s="147">
        <f t="shared" si="65"/>
        <v>660.8</v>
      </c>
      <c r="AD46" s="116">
        <v>0.25</v>
      </c>
      <c r="AE46" s="147">
        <f t="shared" si="66"/>
        <v>660.8</v>
      </c>
      <c r="AF46" s="122">
        <f t="shared" si="57"/>
        <v>0.25</v>
      </c>
      <c r="AG46" s="147">
        <f t="shared" si="60"/>
        <v>660.8</v>
      </c>
      <c r="AH46" s="123">
        <f t="shared" si="61"/>
        <v>1</v>
      </c>
      <c r="AI46" s="112">
        <f t="shared" si="61"/>
        <v>2643.2</v>
      </c>
      <c r="AJ46" s="148">
        <f t="shared" si="62"/>
        <v>1321.6</v>
      </c>
      <c r="AK46" s="147">
        <f t="shared" si="63"/>
        <v>1321.6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Social development -- see Data2</v>
      </c>
      <c r="B47" s="217">
        <f>IF([1]Summ!E1082="",0,[1]Summ!E1082)</f>
        <v>21582</v>
      </c>
      <c r="C47" s="217">
        <f>IF([1]Summ!F1082="",0,[1]Summ!F1082)</f>
        <v>0</v>
      </c>
      <c r="D47" s="38">
        <f t="shared" si="58"/>
        <v>21582</v>
      </c>
      <c r="E47" s="26">
        <v>1</v>
      </c>
      <c r="F47" s="26">
        <v>1.18</v>
      </c>
      <c r="G47" s="22">
        <f t="shared" si="59"/>
        <v>1.65</v>
      </c>
      <c r="H47" s="24">
        <f t="shared" si="51"/>
        <v>1.18</v>
      </c>
      <c r="I47" s="39">
        <f t="shared" si="52"/>
        <v>25466.76</v>
      </c>
      <c r="J47" s="38">
        <f t="shared" si="53"/>
        <v>25466.76</v>
      </c>
      <c r="K47" s="40">
        <f t="shared" si="54"/>
        <v>0.50517297879312761</v>
      </c>
      <c r="L47" s="22">
        <f t="shared" si="55"/>
        <v>0.59610411497589055</v>
      </c>
      <c r="M47" s="24">
        <f t="shared" si="56"/>
        <v>0.59610411497589055</v>
      </c>
      <c r="N47" s="2"/>
      <c r="O47" s="2"/>
      <c r="P47" s="59"/>
      <c r="R47" s="248"/>
      <c r="U47" s="56"/>
      <c r="V47" s="56"/>
      <c r="W47" s="110"/>
      <c r="X47" s="118"/>
      <c r="Y47" s="110"/>
      <c r="Z47" s="116">
        <v>0.25</v>
      </c>
      <c r="AA47" s="147">
        <f t="shared" si="64"/>
        <v>6366.69</v>
      </c>
      <c r="AB47" s="116">
        <v>0.25</v>
      </c>
      <c r="AC47" s="147">
        <f t="shared" si="65"/>
        <v>6366.69</v>
      </c>
      <c r="AD47" s="116">
        <v>0.25</v>
      </c>
      <c r="AE47" s="147">
        <f t="shared" si="66"/>
        <v>6366.69</v>
      </c>
      <c r="AF47" s="122">
        <f t="shared" si="57"/>
        <v>0.25</v>
      </c>
      <c r="AG47" s="147">
        <f t="shared" si="60"/>
        <v>6366.69</v>
      </c>
      <c r="AH47" s="123">
        <f t="shared" si="61"/>
        <v>1</v>
      </c>
      <c r="AI47" s="112">
        <f t="shared" si="61"/>
        <v>25466.76</v>
      </c>
      <c r="AJ47" s="148">
        <f t="shared" si="62"/>
        <v>12733.38</v>
      </c>
      <c r="AK47" s="147">
        <f t="shared" si="63"/>
        <v>12733.38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Public works -- see Data2</v>
      </c>
      <c r="B48" s="217">
        <f>IF([1]Summ!E1083="",0,[1]Summ!E1083)</f>
        <v>7200</v>
      </c>
      <c r="C48" s="217">
        <f>IF([1]Summ!F1083="",0,[1]Summ!F1083)</f>
        <v>0</v>
      </c>
      <c r="D48" s="38">
        <f>SUM(B48,C48)</f>
        <v>7200</v>
      </c>
      <c r="E48" s="26">
        <v>1</v>
      </c>
      <c r="F48" s="26">
        <v>1.18</v>
      </c>
      <c r="G48" s="22">
        <f t="shared" si="59"/>
        <v>1.65</v>
      </c>
      <c r="H48" s="24">
        <f t="shared" si="51"/>
        <v>1.18</v>
      </c>
      <c r="I48" s="39">
        <f t="shared" si="52"/>
        <v>8496</v>
      </c>
      <c r="J48" s="38">
        <f t="shared" si="53"/>
        <v>8496</v>
      </c>
      <c r="K48" s="40">
        <f t="shared" si="54"/>
        <v>0.1685314357942044</v>
      </c>
      <c r="L48" s="22">
        <f t="shared" si="55"/>
        <v>0.19886709423716117</v>
      </c>
      <c r="M48" s="24">
        <f t="shared" si="56"/>
        <v>0.19886709423716117</v>
      </c>
      <c r="N48" s="2"/>
      <c r="O48" s="2"/>
      <c r="P48" s="59"/>
      <c r="Q48" s="261"/>
      <c r="R48" s="180"/>
      <c r="S48" s="41"/>
      <c r="T48" s="22"/>
      <c r="U48" s="56"/>
      <c r="V48" s="56"/>
      <c r="W48" s="110"/>
      <c r="X48" s="118"/>
      <c r="Y48" s="110"/>
      <c r="Z48" s="116">
        <v>0.25</v>
      </c>
      <c r="AA48" s="147">
        <f t="shared" si="64"/>
        <v>2124</v>
      </c>
      <c r="AB48" s="116">
        <v>0.25</v>
      </c>
      <c r="AC48" s="147">
        <f t="shared" si="65"/>
        <v>2124</v>
      </c>
      <c r="AD48" s="116">
        <v>0.25</v>
      </c>
      <c r="AE48" s="147">
        <f t="shared" si="66"/>
        <v>2124</v>
      </c>
      <c r="AF48" s="122">
        <f t="shared" si="57"/>
        <v>0.25</v>
      </c>
      <c r="AG48" s="147">
        <f t="shared" si="60"/>
        <v>2124</v>
      </c>
      <c r="AH48" s="123">
        <f t="shared" si="61"/>
        <v>1</v>
      </c>
      <c r="AI48" s="112">
        <f t="shared" si="61"/>
        <v>8496</v>
      </c>
      <c r="AJ48" s="148">
        <f t="shared" si="62"/>
        <v>4248</v>
      </c>
      <c r="AK48" s="147">
        <f t="shared" si="63"/>
        <v>4248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/>
      </c>
      <c r="B49" s="217">
        <f>IF([1]Summ!E1084="",0,[1]Summ!E1084)</f>
        <v>0</v>
      </c>
      <c r="C49" s="217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1.65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61"/>
      <c r="R49" s="180"/>
      <c r="S49" s="41"/>
      <c r="T49" s="22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7">
        <f>IF([1]Summ!E1085="",0,[1]Summ!E1085)</f>
        <v>0</v>
      </c>
      <c r="C50" s="217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261"/>
      <c r="R50" s="180"/>
      <c r="S50" s="41"/>
      <c r="T50" s="22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7">
        <f>IF([1]Summ!E1086="",0,[1]Summ!E1086)</f>
        <v>0</v>
      </c>
      <c r="C51" s="217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61"/>
      <c r="R51" s="180"/>
      <c r="S51" s="41"/>
      <c r="T51" s="22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7">
        <f>IF([1]Summ!E1087="",0,[1]Summ!E1087)</f>
        <v>0</v>
      </c>
      <c r="C52" s="217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7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7">
        <f>IF([1]Summ!E1088="",0,[1]Summ!E1088)</f>
        <v>0</v>
      </c>
      <c r="C53" s="217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7">
        <f>IF([1]Summ!E1089="",0,[1]Summ!E1089)</f>
        <v>0</v>
      </c>
      <c r="C54" s="217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7">
        <f>IF([1]Summ!E1090="",0,[1]Summ!E1090)</f>
        <v>0</v>
      </c>
      <c r="C55" s="217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7">
        <f>IF([1]Summ!E1091="",0,[1]Summ!E1091)</f>
        <v>0</v>
      </c>
      <c r="C56" s="217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7">
        <f>IF([1]Summ!E1092="",0,[1]Summ!E1092)</f>
        <v>0</v>
      </c>
      <c r="C57" s="217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7">
        <f>IF([1]Summ!E1093="",0,[1]Summ!E1093)</f>
        <v>0</v>
      </c>
      <c r="C58" s="217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7">
        <f>IF([1]Summ!E1094="",0,[1]Summ!E1094)</f>
        <v>0</v>
      </c>
      <c r="C59" s="217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7">
        <f>IF([1]Summ!E1095="",0,[1]Summ!E1095)</f>
        <v>0</v>
      </c>
      <c r="C60" s="217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7">
        <f>IF([1]Summ!E1096="",0,[1]Summ!E1096)</f>
        <v>0</v>
      </c>
      <c r="C61" s="217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7">
        <f>IF([1]Summ!E1097="",0,[1]Summ!E1097)</f>
        <v>0</v>
      </c>
      <c r="C62" s="217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7">
        <f>IF([1]Summ!E1098="",0,[1]Summ!E1098)</f>
        <v>0</v>
      </c>
      <c r="C63" s="217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7">
        <f>IF([1]Summ!E1099="",0,[1]Summ!E1099)</f>
        <v>0</v>
      </c>
      <c r="C64" s="217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42722</v>
      </c>
      <c r="C65" s="41">
        <f>SUM(C37:C64)</f>
        <v>90</v>
      </c>
      <c r="D65" s="42">
        <f>SUM(D37:D64)</f>
        <v>42812</v>
      </c>
      <c r="E65" s="32"/>
      <c r="F65" s="32"/>
      <c r="G65" s="32"/>
      <c r="H65" s="31"/>
      <c r="I65" s="39">
        <f>SUM(I37:I64)</f>
        <v>43116.36</v>
      </c>
      <c r="J65" s="39">
        <f>SUM(J37:J64)</f>
        <v>43116.36</v>
      </c>
      <c r="K65" s="40">
        <f>SUM(K37:K64)</f>
        <v>0.99999999999999989</v>
      </c>
      <c r="L65" s="22">
        <f>SUM(L37:L64)</f>
        <v>1.0086409812274704</v>
      </c>
      <c r="M65" s="24">
        <f>SUM(M37:M64)</f>
        <v>1.0092308412527502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9371.34</v>
      </c>
      <c r="AB65" s="137"/>
      <c r="AC65" s="153">
        <f>SUM(AC37:AC64)</f>
        <v>9301.34</v>
      </c>
      <c r="AD65" s="137"/>
      <c r="AE65" s="153">
        <f>SUM(AE37:AE64)</f>
        <v>9301.34</v>
      </c>
      <c r="AF65" s="137"/>
      <c r="AG65" s="153">
        <f>SUM(AG37:AG64)</f>
        <v>15142.34</v>
      </c>
      <c r="AH65" s="137"/>
      <c r="AI65" s="153">
        <f>SUM(AI37:AI64)</f>
        <v>43116.36</v>
      </c>
      <c r="AJ65" s="153">
        <f>SUM(AJ37:AJ64)</f>
        <v>18672.68</v>
      </c>
      <c r="AK65" s="153">
        <f>SUM(AK37:AK64)</f>
        <v>24443.68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15486.543496873714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21681.160895623198</v>
      </c>
      <c r="J70" s="51">
        <f t="shared" ref="J70:J77" si="75">J124*I$83</f>
        <v>21681.160895623198</v>
      </c>
      <c r="K70" s="40">
        <f>B70/B$76</f>
        <v>0.36249575153021191</v>
      </c>
      <c r="L70" s="22">
        <f t="shared" ref="L70:L75" si="76">(L124*G$37*F$9/F$7)/B$130</f>
        <v>0.5074940521422967</v>
      </c>
      <c r="M70" s="24">
        <f>J70/B$76</f>
        <v>0.5074940521422967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5420.2902239057994</v>
      </c>
      <c r="AB70" s="116">
        <v>0.25</v>
      </c>
      <c r="AC70" s="147">
        <f>$J70*AB70</f>
        <v>5420.2902239057994</v>
      </c>
      <c r="AD70" s="116">
        <v>0.25</v>
      </c>
      <c r="AE70" s="147">
        <f>$J70*AD70</f>
        <v>5420.2902239057994</v>
      </c>
      <c r="AF70" s="122">
        <f>1-SUM(Z70,AB70,AD70)</f>
        <v>0.25</v>
      </c>
      <c r="AG70" s="147">
        <f>$J70*AF70</f>
        <v>5420.2902239057994</v>
      </c>
      <c r="AH70" s="155">
        <f>SUM(Z70,AB70,AD70,AF70)</f>
        <v>1</v>
      </c>
      <c r="AI70" s="147">
        <f>SUM(AA70,AC70,AE70,AG70)</f>
        <v>21681.160895623198</v>
      </c>
      <c r="AJ70" s="148">
        <f>(AA70+AC70)</f>
        <v>10840.580447811599</v>
      </c>
      <c r="AK70" s="147">
        <f>(AE70+AG70)</f>
        <v>10840.580447811599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15578.666666666668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18382.826666666668</v>
      </c>
      <c r="J71" s="51">
        <f t="shared" si="75"/>
        <v>18382.826666666668</v>
      </c>
      <c r="K71" s="40">
        <f t="shared" ref="K71:K72" si="78">B71/B$76</f>
        <v>0.36465209181842301</v>
      </c>
      <c r="L71" s="22">
        <f t="shared" si="76"/>
        <v>0.43028946834573928</v>
      </c>
      <c r="M71" s="24">
        <f t="shared" ref="M71:M72" si="79">J71/B$76</f>
        <v>0.43028946834573917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0.64940779926033421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1650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3.8621787369505174E-2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175.23</v>
      </c>
      <c r="AB73" s="116">
        <v>0.09</v>
      </c>
      <c r="AC73" s="147">
        <f>$H$73*$B$73*AB73</f>
        <v>175.23</v>
      </c>
      <c r="AD73" s="116">
        <v>0.23</v>
      </c>
      <c r="AE73" s="147">
        <f>$H$73*$B$73*AD73</f>
        <v>447.81</v>
      </c>
      <c r="AF73" s="122">
        <f>1-SUM(Z73,AB73,AD73)</f>
        <v>0.59</v>
      </c>
      <c r="AG73" s="147">
        <f>$H$73*$B$73*AF73</f>
        <v>1148.73</v>
      </c>
      <c r="AH73" s="155">
        <f>SUM(Z73,AB73,AD73,AF73)</f>
        <v>1</v>
      </c>
      <c r="AI73" s="147">
        <f>SUM(AA73,AC73,AE73,AG73)</f>
        <v>1947</v>
      </c>
      <c r="AJ73" s="148">
        <f>(AA73+AC73)</f>
        <v>350.46</v>
      </c>
      <c r="AK73" s="147">
        <f>(AE73+AG73)</f>
        <v>1596.54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4867.9999999999991</v>
      </c>
      <c r="C74" s="46"/>
      <c r="D74" s="38"/>
      <c r="E74" s="32"/>
      <c r="F74" s="32"/>
      <c r="G74" s="32"/>
      <c r="H74" s="31"/>
      <c r="I74" s="39">
        <f>I128*I$83</f>
        <v>21435.199104376796</v>
      </c>
      <c r="J74" s="51">
        <f t="shared" si="75"/>
        <v>8045.5426648899202</v>
      </c>
      <c r="K74" s="40">
        <f>B74/B$76</f>
        <v>0.1139459763119704</v>
      </c>
      <c r="L74" s="22">
        <f t="shared" si="76"/>
        <v>8.9573796954958124E-2</v>
      </c>
      <c r="M74" s="24">
        <f>J74/B$76</f>
        <v>0.1883231745913094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1290.794406566439</v>
      </c>
      <c r="AB74" s="156"/>
      <c r="AC74" s="147">
        <f>AC30*$I$83/4</f>
        <v>2084.0031550140843</v>
      </c>
      <c r="AD74" s="156"/>
      <c r="AE74" s="147">
        <f>AE30*$I$83/4</f>
        <v>2077.8917852456434</v>
      </c>
      <c r="AF74" s="156"/>
      <c r="AG74" s="147">
        <f>AG30*$I$83/4</f>
        <v>2592.8533180637542</v>
      </c>
      <c r="AH74" s="155"/>
      <c r="AI74" s="147">
        <f>SUM(AA74,AC74,AE74,AG74)</f>
        <v>8045.5426648899211</v>
      </c>
      <c r="AJ74" s="148">
        <f>(AA74+AC74)</f>
        <v>3374.7975615805235</v>
      </c>
      <c r="AK74" s="147">
        <f>(AE74+AG74)</f>
        <v>4670.7451033093976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9789.4518275582086</v>
      </c>
      <c r="AB75" s="158"/>
      <c r="AC75" s="149">
        <f>AA75+AC65-SUM(AC70,AC74)</f>
        <v>11586.498448638325</v>
      </c>
      <c r="AD75" s="158"/>
      <c r="AE75" s="149">
        <f>AC75+AE65-SUM(AE70,AE74)</f>
        <v>13389.656439486884</v>
      </c>
      <c r="AF75" s="158"/>
      <c r="AG75" s="149">
        <f>IF(SUM(AG6:AG29)+((AG65-AG70-$J$75)*4/I$83)&lt;1,0,AG65-AG70-$J$75-(1-SUM(AG6:AG29))*I$83/4)</f>
        <v>7129.1964580304475</v>
      </c>
      <c r="AH75" s="134"/>
      <c r="AI75" s="149">
        <f>AI76-SUM(AI70,AI74)</f>
        <v>13389.656439486884</v>
      </c>
      <c r="AJ75" s="151">
        <f>AJ76-SUM(AJ70,AJ74)</f>
        <v>4457.3019906078771</v>
      </c>
      <c r="AK75" s="149">
        <f>AJ75+AK76-SUM(AK70,AK74)</f>
        <v>13389.65643948688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42722</v>
      </c>
      <c r="C76" s="46"/>
      <c r="D76" s="38"/>
      <c r="E76" s="32"/>
      <c r="F76" s="32"/>
      <c r="G76" s="32"/>
      <c r="H76" s="31"/>
      <c r="I76" s="39">
        <f>I130*I$83</f>
        <v>43116.359999999993</v>
      </c>
      <c r="J76" s="51">
        <f t="shared" si="75"/>
        <v>43116.359999999993</v>
      </c>
      <c r="K76" s="40">
        <f>SUM(K70:K75)</f>
        <v>1.5291234062904446</v>
      </c>
      <c r="L76" s="22">
        <f>SUM(L70:L75)</f>
        <v>1.0273573174429942</v>
      </c>
      <c r="M76" s="24">
        <f>SUM(M70:M75)</f>
        <v>1.1261066950793452</v>
      </c>
      <c r="O76" s="2"/>
      <c r="P76" s="2"/>
      <c r="Q76" s="56"/>
      <c r="R76" s="56"/>
      <c r="S76" s="56"/>
      <c r="T76" s="56"/>
      <c r="U76" s="56"/>
      <c r="V76" s="56"/>
      <c r="W76" s="110"/>
      <c r="X76" s="190"/>
      <c r="Y76" s="190"/>
      <c r="Z76" s="137"/>
      <c r="AA76" s="154">
        <f>AA65</f>
        <v>9371.34</v>
      </c>
      <c r="AB76" s="137"/>
      <c r="AC76" s="153">
        <f>AC65</f>
        <v>9301.34</v>
      </c>
      <c r="AD76" s="137"/>
      <c r="AE76" s="153">
        <f>AE65</f>
        <v>9301.34</v>
      </c>
      <c r="AF76" s="137"/>
      <c r="AG76" s="153">
        <f>AG65</f>
        <v>15142.34</v>
      </c>
      <c r="AH76" s="137"/>
      <c r="AI76" s="153">
        <f>SUM(AA76,AC76,AE76,AG76)</f>
        <v>43116.36</v>
      </c>
      <c r="AJ76" s="154">
        <f>SUM(AA76,AC76)</f>
        <v>18672.68</v>
      </c>
      <c r="AK76" s="154">
        <f>SUM(AE76,AG76)</f>
        <v>24443.68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18382.826666666664</v>
      </c>
      <c r="J77" s="100">
        <f t="shared" si="75"/>
        <v>4993.1702271798003</v>
      </c>
      <c r="K77" s="40"/>
      <c r="L77" s="22">
        <f>-(L131*G$37*F$9/F$7)/B$130</f>
        <v>-0.43028946834573917</v>
      </c>
      <c r="M77" s="24">
        <f>-J77/B$76</f>
        <v>-0.11687585382659521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7129.1964580304475</v>
      </c>
      <c r="AB78" s="112"/>
      <c r="AC78" s="112">
        <f>IF(AA75&lt;0,0,AA75)</f>
        <v>9789.4518275582086</v>
      </c>
      <c r="AD78" s="112"/>
      <c r="AE78" s="112">
        <f>AC75</f>
        <v>11586.498448638325</v>
      </c>
      <c r="AF78" s="112"/>
      <c r="AG78" s="112">
        <f>AE75</f>
        <v>13389.656439486884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3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11080.246234124648</v>
      </c>
      <c r="AB79" s="112"/>
      <c r="AC79" s="112">
        <f>AA79-AA74+AC65-AC70</f>
        <v>13670.50160365241</v>
      </c>
      <c r="AD79" s="112"/>
      <c r="AE79" s="112">
        <f>AC79-AC74+AE65-AE70</f>
        <v>15467.548224732527</v>
      </c>
      <c r="AF79" s="112"/>
      <c r="AG79" s="112">
        <f>AE79-AE74+AG65-AG70</f>
        <v>23111.706215581085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0.65272799689315064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3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4.8428173497811375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9230.2440066827512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15229.902611026539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3807.4756527566346</v>
      </c>
      <c r="AB83" s="112"/>
      <c r="AC83" s="165">
        <f>$I$83*AB82/4</f>
        <v>3807.4756527566346</v>
      </c>
      <c r="AD83" s="112"/>
      <c r="AE83" s="165">
        <f>$I$83*AD82/4</f>
        <v>3807.4756527566346</v>
      </c>
      <c r="AF83" s="112"/>
      <c r="AG83" s="165">
        <f>$I$83*AF82/4</f>
        <v>3807.4756527566346</v>
      </c>
      <c r="AH83" s="165">
        <f>SUM(AA83,AC83,AE83,AG83)</f>
        <v>15229.902611026539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7">
        <f>B70+((1-D29)*B83)</f>
        <v>22643.335267197799</v>
      </c>
      <c r="C84" s="46"/>
      <c r="D84" s="238"/>
      <c r="E84" s="64"/>
      <c r="F84" s="64"/>
      <c r="G84" s="64"/>
      <c r="H84" s="239">
        <f>IF(B84=0,0,I84/B84)</f>
        <v>1.4790165371606245</v>
      </c>
      <c r="I84" s="237">
        <f>(B70*H70)+((1-(D29*H29))*I83)</f>
        <v>33489.867316657932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6"/>
      <c r="AB87" s="186"/>
      <c r="AC87" s="186"/>
      <c r="AD87" s="186"/>
      <c r="AE87" s="186"/>
      <c r="AF87" s="186"/>
      <c r="AG87" s="186"/>
      <c r="AH87" s="187"/>
      <c r="AI87" s="189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0.97505547995090347</v>
      </c>
      <c r="C91" s="60">
        <f t="shared" si="81"/>
        <v>0</v>
      </c>
      <c r="D91" s="24">
        <f>SUM(B91,C91)</f>
        <v>0.97505547995090347</v>
      </c>
      <c r="H91" s="24">
        <f>(E37*F37/G37*F$7/F$9)</f>
        <v>0.3575757575757576</v>
      </c>
      <c r="I91" s="22">
        <f t="shared" ref="I91" si="82">(D91*H91)</f>
        <v>0.34865620192183822</v>
      </c>
      <c r="J91" s="24">
        <f>IF(I$32&lt;=1+I$131,I91,L91+J$33*(I91-L91))</f>
        <v>0.34865620192183822</v>
      </c>
      <c r="K91" s="22">
        <f t="shared" ref="K91" si="83">IF(B91="",0,B91)</f>
        <v>0.97505547995090347</v>
      </c>
      <c r="L91" s="22">
        <f t="shared" ref="L91" si="84">(K91*H91)</f>
        <v>0.34865620192183822</v>
      </c>
      <c r="M91" s="230">
        <f t="shared" si="80"/>
        <v>0.34865620192183822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9.7505547995090341E-2</v>
      </c>
      <c r="C92" s="60">
        <f t="shared" si="81"/>
        <v>0</v>
      </c>
      <c r="D92" s="24">
        <f t="shared" ref="D92:D118" si="86">SUM(B92,C92)</f>
        <v>9.7505547995090341E-2</v>
      </c>
      <c r="H92" s="24">
        <f t="shared" ref="H92:H118" si="87">(E38*F38/G38*F$7/F$9)</f>
        <v>0.3575757575757576</v>
      </c>
      <c r="I92" s="22">
        <f t="shared" ref="I92:I118" si="88">(D92*H92)</f>
        <v>3.4865620192183824E-2</v>
      </c>
      <c r="J92" s="24">
        <f t="shared" ref="J92:J118" si="89">IF(I$32&lt;=1+I$131,I92,L92+J$33*(I92-L92))</f>
        <v>3.4865620192183824E-2</v>
      </c>
      <c r="K92" s="22">
        <f t="shared" ref="K92:K118" si="90">IF(B92="",0,B92)</f>
        <v>9.7505547995090341E-2</v>
      </c>
      <c r="L92" s="22">
        <f t="shared" ref="L92:L118" si="91">(K92*H92)</f>
        <v>3.4865620192183824E-2</v>
      </c>
      <c r="M92" s="230">
        <f t="shared" ref="M92:M118" si="92">(J92)</f>
        <v>3.4865620192183824E-2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Beans: kg produced</v>
      </c>
      <c r="B93" s="60">
        <f t="shared" si="81"/>
        <v>1.083394977723226E-2</v>
      </c>
      <c r="C93" s="60">
        <f t="shared" si="81"/>
        <v>1.625092466584839E-2</v>
      </c>
      <c r="D93" s="24">
        <f t="shared" si="86"/>
        <v>2.708487444308065E-2</v>
      </c>
      <c r="H93" s="24">
        <f t="shared" si="87"/>
        <v>0.16969696969696968</v>
      </c>
      <c r="I93" s="22">
        <f t="shared" si="88"/>
        <v>4.5962211176136854E-3</v>
      </c>
      <c r="J93" s="24">
        <f t="shared" si="89"/>
        <v>4.5962211176136854E-3</v>
      </c>
      <c r="K93" s="22">
        <f t="shared" si="90"/>
        <v>1.083394977723226E-2</v>
      </c>
      <c r="L93" s="22">
        <f t="shared" si="91"/>
        <v>1.8384884470454743E-3</v>
      </c>
      <c r="M93" s="230">
        <f t="shared" si="92"/>
        <v>4.5962211176136854E-3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Cabbage: no. local meas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0.16969696969696968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30">
        <f t="shared" si="92"/>
        <v>0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beetroot: no. local meas</v>
      </c>
      <c r="B95" s="60">
        <f t="shared" si="81"/>
        <v>3.250184933169678E-3</v>
      </c>
      <c r="C95" s="60">
        <f t="shared" si="81"/>
        <v>-3.250184933169678E-3</v>
      </c>
      <c r="D95" s="24">
        <f t="shared" si="86"/>
        <v>0</v>
      </c>
      <c r="H95" s="24">
        <f t="shared" si="87"/>
        <v>0.16969696969696968</v>
      </c>
      <c r="I95" s="22">
        <f t="shared" si="88"/>
        <v>0</v>
      </c>
      <c r="J95" s="24">
        <f t="shared" si="89"/>
        <v>0</v>
      </c>
      <c r="K95" s="22">
        <f t="shared" si="90"/>
        <v>3.250184933169678E-3</v>
      </c>
      <c r="L95" s="22">
        <f t="shared" si="91"/>
        <v>5.5154653411364229E-4</v>
      </c>
      <c r="M95" s="230">
        <f t="shared" si="92"/>
        <v>0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Other crop: Spinach</v>
      </c>
      <c r="B96" s="60">
        <f t="shared" si="81"/>
        <v>3.250184933169678E-3</v>
      </c>
      <c r="C96" s="60">
        <f t="shared" si="81"/>
        <v>-3.250184933169678E-3</v>
      </c>
      <c r="D96" s="24">
        <f t="shared" si="86"/>
        <v>0</v>
      </c>
      <c r="H96" s="24">
        <f t="shared" si="87"/>
        <v>0.16969696969696968</v>
      </c>
      <c r="I96" s="22">
        <f t="shared" si="88"/>
        <v>0</v>
      </c>
      <c r="J96" s="24">
        <f t="shared" si="89"/>
        <v>0</v>
      </c>
      <c r="K96" s="22">
        <f t="shared" si="90"/>
        <v>3.250184933169678E-3</v>
      </c>
      <c r="L96" s="22">
        <f t="shared" si="91"/>
        <v>5.5154653411364229E-4</v>
      </c>
      <c r="M96" s="230">
        <f t="shared" si="92"/>
        <v>0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Other crop: pumpkin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0.16969696969696968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30">
        <f t="shared" si="92"/>
        <v>0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Agricultural cash income -- see Data2</v>
      </c>
      <c r="B98" s="60">
        <f t="shared" si="81"/>
        <v>0.11700665759410842</v>
      </c>
      <c r="C98" s="60">
        <f t="shared" si="81"/>
        <v>0</v>
      </c>
      <c r="D98" s="24">
        <f t="shared" si="86"/>
        <v>0.11700665759410842</v>
      </c>
      <c r="H98" s="24">
        <f t="shared" si="87"/>
        <v>0.33636363636363642</v>
      </c>
      <c r="I98" s="22">
        <f t="shared" si="88"/>
        <v>3.9356784827109199E-2</v>
      </c>
      <c r="J98" s="24">
        <f t="shared" si="89"/>
        <v>3.9356784827109199E-2</v>
      </c>
      <c r="K98" s="22">
        <f t="shared" si="90"/>
        <v>0.11700665759410842</v>
      </c>
      <c r="L98" s="22">
        <f t="shared" si="91"/>
        <v>3.9356784827109199E-2</v>
      </c>
      <c r="M98" s="230">
        <f t="shared" si="92"/>
        <v>3.9356784827109199E-2</v>
      </c>
      <c r="N98" s="232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Formal Employment (conservancies, etc.)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0.42909090909090908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30">
        <f t="shared" si="92"/>
        <v>0</v>
      </c>
      <c r="N99" s="232">
        <v>8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Small business -- see Data2</v>
      </c>
      <c r="B100" s="60">
        <f t="shared" si="81"/>
        <v>0.30335059376250328</v>
      </c>
      <c r="C100" s="60">
        <f t="shared" si="81"/>
        <v>0</v>
      </c>
      <c r="D100" s="24">
        <f t="shared" si="86"/>
        <v>0.30335059376250328</v>
      </c>
      <c r="H100" s="24">
        <f t="shared" si="87"/>
        <v>0.57212121212121214</v>
      </c>
      <c r="I100" s="22">
        <f t="shared" si="88"/>
        <v>0.17355330940109279</v>
      </c>
      <c r="J100" s="24">
        <f t="shared" si="89"/>
        <v>0.17355330940109279</v>
      </c>
      <c r="K100" s="22">
        <f t="shared" si="90"/>
        <v>0.30335059376250328</v>
      </c>
      <c r="L100" s="22">
        <f t="shared" si="91"/>
        <v>0.17355330940109279</v>
      </c>
      <c r="M100" s="230">
        <f t="shared" si="92"/>
        <v>0.17355330940109279</v>
      </c>
      <c r="N100" s="232">
        <v>11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Social development -- see Data2</v>
      </c>
      <c r="B101" s="60">
        <f t="shared" si="81"/>
        <v>2.3381830409222664</v>
      </c>
      <c r="C101" s="60">
        <f t="shared" si="81"/>
        <v>0</v>
      </c>
      <c r="D101" s="24">
        <f t="shared" si="86"/>
        <v>2.3381830409222664</v>
      </c>
      <c r="H101" s="24">
        <f t="shared" si="87"/>
        <v>0.7151515151515152</v>
      </c>
      <c r="I101" s="22">
        <f t="shared" si="88"/>
        <v>1.6721551444171361</v>
      </c>
      <c r="J101" s="24">
        <f t="shared" si="89"/>
        <v>1.6721551444171361</v>
      </c>
      <c r="K101" s="22">
        <f t="shared" si="90"/>
        <v>2.3381830409222664</v>
      </c>
      <c r="L101" s="22">
        <f t="shared" si="91"/>
        <v>1.6721551444171361</v>
      </c>
      <c r="M101" s="230">
        <f t="shared" si="92"/>
        <v>1.6721551444171361</v>
      </c>
      <c r="N101" s="232">
        <v>14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Public works -- see Data2</v>
      </c>
      <c r="B102" s="60">
        <f t="shared" si="81"/>
        <v>0.78004438396072273</v>
      </c>
      <c r="C102" s="60">
        <f t="shared" si="81"/>
        <v>0</v>
      </c>
      <c r="D102" s="24">
        <f t="shared" si="86"/>
        <v>0.78004438396072273</v>
      </c>
      <c r="H102" s="24">
        <f t="shared" si="87"/>
        <v>0.7151515151515152</v>
      </c>
      <c r="I102" s="22">
        <f t="shared" si="88"/>
        <v>0.55784992307494119</v>
      </c>
      <c r="J102" s="24">
        <f t="shared" si="89"/>
        <v>0.55784992307494119</v>
      </c>
      <c r="K102" s="22">
        <f t="shared" si="90"/>
        <v>0.78004438396072273</v>
      </c>
      <c r="L102" s="22">
        <f t="shared" si="91"/>
        <v>0.55784992307494119</v>
      </c>
      <c r="M102" s="230">
        <f t="shared" si="92"/>
        <v>0.55784992307494119</v>
      </c>
      <c r="N102" s="232">
        <v>9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/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0.60606060606060608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30">
        <f t="shared" si="92"/>
        <v>0</v>
      </c>
      <c r="N103" s="23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30">
        <f t="shared" si="92"/>
        <v>0</v>
      </c>
      <c r="N104" s="23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30">
        <f t="shared" si="92"/>
        <v>0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30">
        <f t="shared" si="92"/>
        <v>0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30">
        <f t="shared" si="92"/>
        <v>0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30">
        <f t="shared" si="92"/>
        <v>0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30">
        <f t="shared" si="92"/>
        <v>0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30">
        <f t="shared" si="92"/>
        <v>0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30">
        <f t="shared" si="92"/>
        <v>0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30">
        <f t="shared" si="92"/>
        <v>0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30">
        <f t="shared" si="92"/>
        <v>0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30">
        <f t="shared" si="92"/>
        <v>0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30">
        <f t="shared" si="92"/>
        <v>0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30">
        <f t="shared" si="92"/>
        <v>0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30">
        <f t="shared" si="92"/>
        <v>0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30">
        <f t="shared" si="92"/>
        <v>0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4.6284800238291659</v>
      </c>
      <c r="C119" s="29">
        <f>SUM(C91:C118)</f>
        <v>9.7505547995090334E-3</v>
      </c>
      <c r="D119" s="24">
        <f>SUM(D91:D118)</f>
        <v>4.6382305786286757</v>
      </c>
      <c r="E119" s="22"/>
      <c r="F119" s="2"/>
      <c r="G119" s="2"/>
      <c r="H119" s="31"/>
      <c r="I119" s="22">
        <f>SUM(I91:I118)</f>
        <v>2.8310332049519147</v>
      </c>
      <c r="J119" s="24">
        <f>SUM(J91:J118)</f>
        <v>2.8310332049519147</v>
      </c>
      <c r="K119" s="22">
        <f>SUM(K91:K118)</f>
        <v>4.6284800238291659</v>
      </c>
      <c r="L119" s="22">
        <f>SUM(L91:L118)</f>
        <v>2.8293785653495744</v>
      </c>
      <c r="M119" s="57">
        <f t="shared" si="80"/>
        <v>2.8310332049519147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1.6778043446805269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1.4235915651834774</v>
      </c>
      <c r="J124" s="240">
        <f>IF(SUMPRODUCT($B$124:$B124,$H$124:$H124)&lt;J$119,($B124*$H124),J$119)</f>
        <v>1.4235915651834774</v>
      </c>
      <c r="K124" s="29">
        <f>(B124)</f>
        <v>1.6778043446805269</v>
      </c>
      <c r="L124" s="29">
        <f>IF(SUMPRODUCT($B$124:$B124,$H$124:$H124)&lt;L$119,($B124*$H124),L$119)</f>
        <v>1.4235915651834774</v>
      </c>
      <c r="M124" s="243">
        <f t="shared" si="93"/>
        <v>1.4235915651834774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1.68778492262909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1.2070219446680766</v>
      </c>
      <c r="J125" s="240">
        <f>IF(SUMPRODUCT($B$124:$B125,$H$124:$H125)&lt;J$119,($B125*$H125),IF(SUMPRODUCT($B$124:$B124,$H$124:$H124)&lt;J$119,J$119-SUMPRODUCT($B$124:$B124,$H$124:$H124),0))</f>
        <v>1.2070219446680766</v>
      </c>
      <c r="K125" s="29">
        <f>(B125)</f>
        <v>1.68778492262909</v>
      </c>
      <c r="L125" s="29">
        <f>IF(SUMPRODUCT($B$124:$B125,$H$124:$H125)&lt;L$119,($B125*$H125),IF(SUMPRODUCT($B$124:$B124,$H$124:$H124)&lt;L$119,L$119-SUMPRODUCT($B$124:$B124,$H$124:$H124),0))</f>
        <v>1.2070219446680766</v>
      </c>
      <c r="M125" s="243">
        <f t="shared" si="93"/>
        <v>1.2070219446680766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3.0057710261953186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0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3.0057710261953186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3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0.17876017132433231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0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0.17876017132433231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3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0.52739667515566635</v>
      </c>
      <c r="C128" s="56"/>
      <c r="D128" s="31"/>
      <c r="E128" s="2"/>
      <c r="F128" s="2"/>
      <c r="G128" s="2"/>
      <c r="H128" s="24"/>
      <c r="I128" s="29">
        <f>(I30)</f>
        <v>1.4074416397684373</v>
      </c>
      <c r="J128" s="231">
        <f>(J30)</f>
        <v>0.5282727585575564</v>
      </c>
      <c r="K128" s="29">
        <f>(B128)</f>
        <v>0.52739667515566635</v>
      </c>
      <c r="L128" s="29">
        <f>IF(L124=L119,0,(L119-L124)/(B119-B124)*K128)</f>
        <v>0.25126698779669904</v>
      </c>
      <c r="M128" s="243">
        <f t="shared" si="93"/>
        <v>0.5282727585575564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31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3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4.6284800238291659</v>
      </c>
      <c r="C130" s="56"/>
      <c r="D130" s="31"/>
      <c r="E130" s="2"/>
      <c r="F130" s="2"/>
      <c r="G130" s="2"/>
      <c r="H130" s="24"/>
      <c r="I130" s="29">
        <f>(I119)</f>
        <v>2.8310332049519147</v>
      </c>
      <c r="J130" s="231">
        <f>(J119)</f>
        <v>2.8310332049519147</v>
      </c>
      <c r="K130" s="29">
        <f>(B130)</f>
        <v>4.6284800238291659</v>
      </c>
      <c r="L130" s="29">
        <f>(L119)</f>
        <v>2.8293785653495744</v>
      </c>
      <c r="M130" s="243">
        <f t="shared" si="93"/>
        <v>2.8310332049519147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1.2070219446680763</v>
      </c>
      <c r="J131" s="240">
        <f>IF(SUMPRODUCT($B124:$B125,$H124:$H125)&gt;(J119-J128),SUMPRODUCT($B124:$B125,$H124:$H125)+J128-J119,0)</f>
        <v>0.32785306345719611</v>
      </c>
      <c r="K131" s="29"/>
      <c r="L131" s="29">
        <f>IF(I131&lt;SUM(L126:L127),0,I131-(SUM(L126:L127)))</f>
        <v>1.2070219446680763</v>
      </c>
      <c r="M131" s="240">
        <f>IF(I131&lt;SUM(M126:M127),0,I131-(SUM(M126:M127)))</f>
        <v>1.2070219446680763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40" priority="550" operator="equal">
      <formula>16</formula>
    </cfRule>
    <cfRule type="cellIs" dxfId="439" priority="551" operator="equal">
      <formula>15</formula>
    </cfRule>
    <cfRule type="cellIs" dxfId="438" priority="552" operator="equal">
      <formula>14</formula>
    </cfRule>
    <cfRule type="cellIs" dxfId="437" priority="553" operator="equal">
      <formula>13</formula>
    </cfRule>
    <cfRule type="cellIs" dxfId="436" priority="554" operator="equal">
      <formula>12</formula>
    </cfRule>
    <cfRule type="cellIs" dxfId="435" priority="555" operator="equal">
      <formula>11</formula>
    </cfRule>
    <cfRule type="cellIs" dxfId="434" priority="556" operator="equal">
      <formula>10</formula>
    </cfRule>
    <cfRule type="cellIs" dxfId="433" priority="557" operator="equal">
      <formula>9</formula>
    </cfRule>
    <cfRule type="cellIs" dxfId="432" priority="558" operator="equal">
      <formula>8</formula>
    </cfRule>
    <cfRule type="cellIs" dxfId="431" priority="559" operator="equal">
      <formula>7</formula>
    </cfRule>
    <cfRule type="cellIs" dxfId="430" priority="560" operator="equal">
      <formula>6</formula>
    </cfRule>
    <cfRule type="cellIs" dxfId="429" priority="561" operator="equal">
      <formula>5</formula>
    </cfRule>
    <cfRule type="cellIs" dxfId="428" priority="562" operator="equal">
      <formula>4</formula>
    </cfRule>
    <cfRule type="cellIs" dxfId="427" priority="563" operator="equal">
      <formula>3</formula>
    </cfRule>
    <cfRule type="cellIs" dxfId="426" priority="564" operator="equal">
      <formula>2</formula>
    </cfRule>
    <cfRule type="cellIs" dxfId="425" priority="565" operator="equal">
      <formula>1</formula>
    </cfRule>
  </conditionalFormatting>
  <conditionalFormatting sqref="N114:N118">
    <cfRule type="cellIs" dxfId="424" priority="294" operator="equal">
      <formula>16</formula>
    </cfRule>
    <cfRule type="cellIs" dxfId="423" priority="295" operator="equal">
      <formula>15</formula>
    </cfRule>
    <cfRule type="cellIs" dxfId="422" priority="296" operator="equal">
      <formula>14</formula>
    </cfRule>
    <cfRule type="cellIs" dxfId="421" priority="297" operator="equal">
      <formula>13</formula>
    </cfRule>
    <cfRule type="cellIs" dxfId="420" priority="298" operator="equal">
      <formula>12</formula>
    </cfRule>
    <cfRule type="cellIs" dxfId="419" priority="299" operator="equal">
      <formula>11</formula>
    </cfRule>
    <cfRule type="cellIs" dxfId="418" priority="300" operator="equal">
      <formula>10</formula>
    </cfRule>
    <cfRule type="cellIs" dxfId="417" priority="301" operator="equal">
      <formula>9</formula>
    </cfRule>
    <cfRule type="cellIs" dxfId="416" priority="302" operator="equal">
      <formula>8</formula>
    </cfRule>
    <cfRule type="cellIs" dxfId="415" priority="303" operator="equal">
      <formula>7</formula>
    </cfRule>
    <cfRule type="cellIs" dxfId="414" priority="304" operator="equal">
      <formula>6</formula>
    </cfRule>
    <cfRule type="cellIs" dxfId="413" priority="305" operator="equal">
      <formula>5</formula>
    </cfRule>
    <cfRule type="cellIs" dxfId="412" priority="306" operator="equal">
      <formula>4</formula>
    </cfRule>
    <cfRule type="cellIs" dxfId="411" priority="307" operator="equal">
      <formula>3</formula>
    </cfRule>
    <cfRule type="cellIs" dxfId="410" priority="308" operator="equal">
      <formula>2</formula>
    </cfRule>
    <cfRule type="cellIs" dxfId="409" priority="309" operator="equal">
      <formula>1</formula>
    </cfRule>
  </conditionalFormatting>
  <conditionalFormatting sqref="N6:N26">
    <cfRule type="cellIs" dxfId="408" priority="86" operator="equal">
      <formula>16</formula>
    </cfRule>
    <cfRule type="cellIs" dxfId="407" priority="87" operator="equal">
      <formula>15</formula>
    </cfRule>
    <cfRule type="cellIs" dxfId="406" priority="88" operator="equal">
      <formula>14</formula>
    </cfRule>
    <cfRule type="cellIs" dxfId="405" priority="89" operator="equal">
      <formula>13</formula>
    </cfRule>
    <cfRule type="cellIs" dxfId="404" priority="90" operator="equal">
      <formula>12</formula>
    </cfRule>
    <cfRule type="cellIs" dxfId="403" priority="91" operator="equal">
      <formula>11</formula>
    </cfRule>
    <cfRule type="cellIs" dxfId="402" priority="92" operator="equal">
      <formula>10</formula>
    </cfRule>
    <cfRule type="cellIs" dxfId="401" priority="93" operator="equal">
      <formula>9</formula>
    </cfRule>
    <cfRule type="cellIs" dxfId="400" priority="94" operator="equal">
      <formula>8</formula>
    </cfRule>
    <cfRule type="cellIs" dxfId="399" priority="95" operator="equal">
      <formula>7</formula>
    </cfRule>
    <cfRule type="cellIs" dxfId="398" priority="96" operator="equal">
      <formula>6</formula>
    </cfRule>
    <cfRule type="cellIs" dxfId="397" priority="97" operator="equal">
      <formula>5</formula>
    </cfRule>
    <cfRule type="cellIs" dxfId="396" priority="98" operator="equal">
      <formula>4</formula>
    </cfRule>
    <cfRule type="cellIs" dxfId="395" priority="99" operator="equal">
      <formula>3</formula>
    </cfRule>
    <cfRule type="cellIs" dxfId="394" priority="100" operator="equal">
      <formula>2</formula>
    </cfRule>
    <cfRule type="cellIs" dxfId="393" priority="101" operator="equal">
      <formula>1</formula>
    </cfRule>
  </conditionalFormatting>
  <conditionalFormatting sqref="N113">
    <cfRule type="cellIs" dxfId="392" priority="70" operator="equal">
      <formula>16</formula>
    </cfRule>
    <cfRule type="cellIs" dxfId="391" priority="71" operator="equal">
      <formula>15</formula>
    </cfRule>
    <cfRule type="cellIs" dxfId="390" priority="72" operator="equal">
      <formula>14</formula>
    </cfRule>
    <cfRule type="cellIs" dxfId="389" priority="73" operator="equal">
      <formula>13</formula>
    </cfRule>
    <cfRule type="cellIs" dxfId="388" priority="74" operator="equal">
      <formula>12</formula>
    </cfRule>
    <cfRule type="cellIs" dxfId="387" priority="75" operator="equal">
      <formula>11</formula>
    </cfRule>
    <cfRule type="cellIs" dxfId="386" priority="76" operator="equal">
      <formula>10</formula>
    </cfRule>
    <cfRule type="cellIs" dxfId="385" priority="77" operator="equal">
      <formula>9</formula>
    </cfRule>
    <cfRule type="cellIs" dxfId="384" priority="78" operator="equal">
      <formula>8</formula>
    </cfRule>
    <cfRule type="cellIs" dxfId="383" priority="79" operator="equal">
      <formula>7</formula>
    </cfRule>
    <cfRule type="cellIs" dxfId="382" priority="80" operator="equal">
      <formula>6</formula>
    </cfRule>
    <cfRule type="cellIs" dxfId="381" priority="81" operator="equal">
      <formula>5</formula>
    </cfRule>
    <cfRule type="cellIs" dxfId="380" priority="82" operator="equal">
      <formula>4</formula>
    </cfRule>
    <cfRule type="cellIs" dxfId="379" priority="83" operator="equal">
      <formula>3</formula>
    </cfRule>
    <cfRule type="cellIs" dxfId="378" priority="84" operator="equal">
      <formula>2</formula>
    </cfRule>
    <cfRule type="cellIs" dxfId="377" priority="85" operator="equal">
      <formula>1</formula>
    </cfRule>
  </conditionalFormatting>
  <conditionalFormatting sqref="N112">
    <cfRule type="cellIs" dxfId="376" priority="54" operator="equal">
      <formula>16</formula>
    </cfRule>
    <cfRule type="cellIs" dxfId="375" priority="55" operator="equal">
      <formula>15</formula>
    </cfRule>
    <cfRule type="cellIs" dxfId="374" priority="56" operator="equal">
      <formula>14</formula>
    </cfRule>
    <cfRule type="cellIs" dxfId="373" priority="57" operator="equal">
      <formula>13</formula>
    </cfRule>
    <cfRule type="cellIs" dxfId="372" priority="58" operator="equal">
      <formula>12</formula>
    </cfRule>
    <cfRule type="cellIs" dxfId="371" priority="59" operator="equal">
      <formula>11</formula>
    </cfRule>
    <cfRule type="cellIs" dxfId="370" priority="60" operator="equal">
      <formula>10</formula>
    </cfRule>
    <cfRule type="cellIs" dxfId="369" priority="61" operator="equal">
      <formula>9</formula>
    </cfRule>
    <cfRule type="cellIs" dxfId="368" priority="62" operator="equal">
      <formula>8</formula>
    </cfRule>
    <cfRule type="cellIs" dxfId="367" priority="63" operator="equal">
      <formula>7</formula>
    </cfRule>
    <cfRule type="cellIs" dxfId="366" priority="64" operator="equal">
      <formula>6</formula>
    </cfRule>
    <cfRule type="cellIs" dxfId="365" priority="65" operator="equal">
      <formula>5</formula>
    </cfRule>
    <cfRule type="cellIs" dxfId="364" priority="66" operator="equal">
      <formula>4</formula>
    </cfRule>
    <cfRule type="cellIs" dxfId="363" priority="67" operator="equal">
      <formula>3</formula>
    </cfRule>
    <cfRule type="cellIs" dxfId="362" priority="68" operator="equal">
      <formula>2</formula>
    </cfRule>
    <cfRule type="cellIs" dxfId="361" priority="69" operator="equal">
      <formula>1</formula>
    </cfRule>
  </conditionalFormatting>
  <conditionalFormatting sqref="N111">
    <cfRule type="cellIs" dxfId="360" priority="38" operator="equal">
      <formula>16</formula>
    </cfRule>
    <cfRule type="cellIs" dxfId="359" priority="39" operator="equal">
      <formula>15</formula>
    </cfRule>
    <cfRule type="cellIs" dxfId="358" priority="40" operator="equal">
      <formula>14</formula>
    </cfRule>
    <cfRule type="cellIs" dxfId="357" priority="41" operator="equal">
      <formula>13</formula>
    </cfRule>
    <cfRule type="cellIs" dxfId="356" priority="42" operator="equal">
      <formula>12</formula>
    </cfRule>
    <cfRule type="cellIs" dxfId="355" priority="43" operator="equal">
      <formula>11</formula>
    </cfRule>
    <cfRule type="cellIs" dxfId="354" priority="44" operator="equal">
      <formula>10</formula>
    </cfRule>
    <cfRule type="cellIs" dxfId="353" priority="45" operator="equal">
      <formula>9</formula>
    </cfRule>
    <cfRule type="cellIs" dxfId="352" priority="46" operator="equal">
      <formula>8</formula>
    </cfRule>
    <cfRule type="cellIs" dxfId="351" priority="47" operator="equal">
      <formula>7</formula>
    </cfRule>
    <cfRule type="cellIs" dxfId="350" priority="48" operator="equal">
      <formula>6</formula>
    </cfRule>
    <cfRule type="cellIs" dxfId="349" priority="49" operator="equal">
      <formula>5</formula>
    </cfRule>
    <cfRule type="cellIs" dxfId="348" priority="50" operator="equal">
      <formula>4</formula>
    </cfRule>
    <cfRule type="cellIs" dxfId="347" priority="51" operator="equal">
      <formula>3</formula>
    </cfRule>
    <cfRule type="cellIs" dxfId="346" priority="52" operator="equal">
      <formula>2</formula>
    </cfRule>
    <cfRule type="cellIs" dxfId="345" priority="53" operator="equal">
      <formula>1</formula>
    </cfRule>
  </conditionalFormatting>
  <conditionalFormatting sqref="N91:N104">
    <cfRule type="cellIs" dxfId="344" priority="22" operator="equal">
      <formula>16</formula>
    </cfRule>
    <cfRule type="cellIs" dxfId="343" priority="23" operator="equal">
      <formula>15</formula>
    </cfRule>
    <cfRule type="cellIs" dxfId="342" priority="24" operator="equal">
      <formula>14</formula>
    </cfRule>
    <cfRule type="cellIs" dxfId="341" priority="25" operator="equal">
      <formula>13</formula>
    </cfRule>
    <cfRule type="cellIs" dxfId="340" priority="26" operator="equal">
      <formula>12</formula>
    </cfRule>
    <cfRule type="cellIs" dxfId="339" priority="27" operator="equal">
      <formula>11</formula>
    </cfRule>
    <cfRule type="cellIs" dxfId="338" priority="28" operator="equal">
      <formula>10</formula>
    </cfRule>
    <cfRule type="cellIs" dxfId="337" priority="29" operator="equal">
      <formula>9</formula>
    </cfRule>
    <cfRule type="cellIs" dxfId="336" priority="30" operator="equal">
      <formula>8</formula>
    </cfRule>
    <cfRule type="cellIs" dxfId="335" priority="31" operator="equal">
      <formula>7</formula>
    </cfRule>
    <cfRule type="cellIs" dxfId="334" priority="32" operator="equal">
      <formula>6</formula>
    </cfRule>
    <cfRule type="cellIs" dxfId="333" priority="33" operator="equal">
      <formula>5</formula>
    </cfRule>
    <cfRule type="cellIs" dxfId="332" priority="34" operator="equal">
      <formula>4</formula>
    </cfRule>
    <cfRule type="cellIs" dxfId="331" priority="35" operator="equal">
      <formula>3</formula>
    </cfRule>
    <cfRule type="cellIs" dxfId="330" priority="36" operator="equal">
      <formula>2</formula>
    </cfRule>
    <cfRule type="cellIs" dxfId="329" priority="37" operator="equal">
      <formula>1</formula>
    </cfRule>
  </conditionalFormatting>
  <conditionalFormatting sqref="N105:N110">
    <cfRule type="cellIs" dxfId="328" priority="6" operator="equal">
      <formula>16</formula>
    </cfRule>
    <cfRule type="cellIs" dxfId="327" priority="7" operator="equal">
      <formula>15</formula>
    </cfRule>
    <cfRule type="cellIs" dxfId="326" priority="8" operator="equal">
      <formula>14</formula>
    </cfRule>
    <cfRule type="cellIs" dxfId="325" priority="9" operator="equal">
      <formula>13</formula>
    </cfRule>
    <cfRule type="cellIs" dxfId="324" priority="10" operator="equal">
      <formula>12</formula>
    </cfRule>
    <cfRule type="cellIs" dxfId="323" priority="11" operator="equal">
      <formula>11</formula>
    </cfRule>
    <cfRule type="cellIs" dxfId="322" priority="12" operator="equal">
      <formula>10</formula>
    </cfRule>
    <cfRule type="cellIs" dxfId="321" priority="13" operator="equal">
      <formula>9</formula>
    </cfRule>
    <cfRule type="cellIs" dxfId="320" priority="14" operator="equal">
      <formula>8</formula>
    </cfRule>
    <cfRule type="cellIs" dxfId="319" priority="15" operator="equal">
      <formula>7</formula>
    </cfRule>
    <cfRule type="cellIs" dxfId="318" priority="16" operator="equal">
      <formula>6</formula>
    </cfRule>
    <cfRule type="cellIs" dxfId="317" priority="17" operator="equal">
      <formula>5</formula>
    </cfRule>
    <cfRule type="cellIs" dxfId="316" priority="18" operator="equal">
      <formula>4</formula>
    </cfRule>
    <cfRule type="cellIs" dxfId="315" priority="19" operator="equal">
      <formula>3</formula>
    </cfRule>
    <cfRule type="cellIs" dxfId="314" priority="20" operator="equal">
      <formula>2</formula>
    </cfRule>
    <cfRule type="cellIs" dxfId="313" priority="21" operator="equal">
      <formula>1</formula>
    </cfRule>
  </conditionalFormatting>
  <conditionalFormatting sqref="R31:T31">
    <cfRule type="cellIs" dxfId="312" priority="3" operator="greaterThan">
      <formula>0</formula>
    </cfRule>
  </conditionalFormatting>
  <conditionalFormatting sqref="R32:T32">
    <cfRule type="cellIs" dxfId="311" priority="2" operator="greaterThan">
      <formula>0</formula>
    </cfRule>
  </conditionalFormatting>
  <conditionalFormatting sqref="R30:T30">
    <cfRule type="cellIs" dxfId="31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N103" sqref="N103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ZATGL: 59105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9" t="str">
        <f>Poor!Z2</f>
        <v>Q1</v>
      </c>
      <c r="AA2" s="270"/>
      <c r="AB2" s="269" t="str">
        <f>Poor!AB2</f>
        <v>Q2</v>
      </c>
      <c r="AC2" s="270"/>
      <c r="AD2" s="269" t="str">
        <f>Poor!AD2</f>
        <v>Q3</v>
      </c>
      <c r="AE2" s="270"/>
      <c r="AF2" s="269" t="str">
        <f>Poor!AF2</f>
        <v>Q4</v>
      </c>
      <c r="AG2" s="27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0.12871002312755736</v>
      </c>
      <c r="C6" s="102">
        <f>IF([1]Summ!$I1044="",0,[1]Summ!$I1044)</f>
        <v>0</v>
      </c>
      <c r="D6" s="24">
        <f t="shared" ref="D6:D29" si="0">(B6+C6)</f>
        <v>0.12871002312755736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2.5742004625511475E-2</v>
      </c>
      <c r="J6" s="24">
        <f t="shared" ref="J6:J13" si="3">IF(I$32&lt;=1+I$131,I6,B6*H6+J$33*(I6-B6*H6))</f>
        <v>2.5742004625511475E-2</v>
      </c>
      <c r="K6" s="22">
        <f t="shared" ref="K6:K31" si="4">B6</f>
        <v>0.12871002312755736</v>
      </c>
      <c r="L6" s="22">
        <f t="shared" ref="L6:L29" si="5">IF(K6="","",K6*H6)</f>
        <v>2.5742004625511475E-2</v>
      </c>
      <c r="M6" s="227">
        <f t="shared" ref="M6:M31" si="6">J6</f>
        <v>2.5742004625511475E-2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0.1029680185020459</v>
      </c>
      <c r="Z6" s="156">
        <f>Poor!Z6</f>
        <v>0.17</v>
      </c>
      <c r="AA6" s="121">
        <f>$M6*Z6*4</f>
        <v>1.7504563145347804E-2</v>
      </c>
      <c r="AB6" s="156">
        <f>Poor!AB6</f>
        <v>0.17</v>
      </c>
      <c r="AC6" s="121">
        <f t="shared" ref="AC6:AC29" si="7">$M6*AB6*4</f>
        <v>1.7504563145347804E-2</v>
      </c>
      <c r="AD6" s="156">
        <f>Poor!AD6</f>
        <v>0.33</v>
      </c>
      <c r="AE6" s="121">
        <f t="shared" ref="AE6:AE29" si="8">$M6*AD6*4</f>
        <v>3.3979446105675146E-2</v>
      </c>
      <c r="AF6" s="122">
        <f>1-SUM(Z6,AB6,AD6)</f>
        <v>0.32999999999999996</v>
      </c>
      <c r="AG6" s="121">
        <f>$M6*AF6*4</f>
        <v>3.3979446105675146E-2</v>
      </c>
      <c r="AH6" s="123">
        <f>SUM(Z6,AB6,AD6,AF6)</f>
        <v>1</v>
      </c>
      <c r="AI6" s="184">
        <f>SUM(AA6,AC6,AE6,AG6)/4</f>
        <v>2.5742004625511475E-2</v>
      </c>
      <c r="AJ6" s="120">
        <f>(AA6+AC6)/2</f>
        <v>1.7504563145347804E-2</v>
      </c>
      <c r="AK6" s="119">
        <f>(AE6+AG6)/2</f>
        <v>3.3979446105675146E-2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4.6320338907667673E-2</v>
      </c>
      <c r="C7" s="102">
        <f>IF([1]Summ!$I1045="",0,[1]Summ!$I1045)</f>
        <v>0</v>
      </c>
      <c r="D7" s="24">
        <f t="shared" si="0"/>
        <v>4.6320338907667673E-2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9.2640677815335349E-3</v>
      </c>
      <c r="J7" s="24">
        <f t="shared" si="3"/>
        <v>9.2640677815335349E-3</v>
      </c>
      <c r="K7" s="22">
        <f t="shared" si="4"/>
        <v>4.6320338907667673E-2</v>
      </c>
      <c r="L7" s="22">
        <f t="shared" si="5"/>
        <v>9.2640677815335349E-3</v>
      </c>
      <c r="M7" s="227">
        <f t="shared" si="6"/>
        <v>9.2640677815335349E-3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3010.7887259041863</v>
      </c>
      <c r="S7" s="225">
        <f>IF($B$81=0,0,(SUMIF($N$6:$N$28,$U7,L$6:L$28)+SUMIF($N$91:$N$118,$U7,L$91:L$118))*$I$83*Poor!$B$81/$B$81)</f>
        <v>826.19094219716578</v>
      </c>
      <c r="T7" s="225">
        <f>IF($B$81=0,0,(SUMIF($N$6:$N$28,$U7,M$6:M$28)+SUMIF($N$91:$N$118,$U7,M$91:M$118))*$I$83*Poor!$B$81/$B$81)</f>
        <v>827.5040697700698</v>
      </c>
      <c r="U7" s="226">
        <v>1</v>
      </c>
      <c r="V7" s="56"/>
      <c r="W7" s="115"/>
      <c r="X7" s="118">
        <f>Poor!X7</f>
        <v>4</v>
      </c>
      <c r="Y7" s="184">
        <f t="shared" ref="Y7:Y29" si="9">M7*4</f>
        <v>3.705627112613414E-2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3.705627112613414E-2</v>
      </c>
      <c r="AH7" s="123">
        <f t="shared" ref="AH7:AH30" si="12">SUM(Z7,AB7,AD7,AF7)</f>
        <v>1</v>
      </c>
      <c r="AI7" s="184">
        <f t="shared" ref="AI7:AI30" si="13">SUM(AA7,AC7,AE7,AG7)/4</f>
        <v>9.2640677815335349E-3</v>
      </c>
      <c r="AJ7" s="120">
        <f t="shared" ref="AJ7:AJ31" si="14">(AA7+AC7)/2</f>
        <v>0</v>
      </c>
      <c r="AK7" s="119">
        <f t="shared" ref="AK7:AK31" si="15">(AE7+AG7)/2</f>
        <v>1.852813556306707E-2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3.3333333333333333E-2</v>
      </c>
      <c r="C8" s="102">
        <f>IF([1]Summ!$I1046="",0,[1]Summ!$I1046)</f>
        <v>0</v>
      </c>
      <c r="D8" s="24">
        <f t="shared" si="0"/>
        <v>3.3333333333333333E-2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6.6666666666666671E-3</v>
      </c>
      <c r="J8" s="24">
        <f t="shared" si="3"/>
        <v>6.6666666666666671E-3</v>
      </c>
      <c r="K8" s="22">
        <f t="shared" si="4"/>
        <v>3.3333333333333333E-2</v>
      </c>
      <c r="L8" s="22">
        <f t="shared" si="5"/>
        <v>6.6666666666666671E-3</v>
      </c>
      <c r="M8" s="227">
        <f t="shared" si="6"/>
        <v>6.6666666666666671E-3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219.73959980672137</v>
      </c>
      <c r="S8" s="225">
        <f>IF($B$81=0,0,(SUMIF($N$6:$N$28,$U8,L$6:L$28)+SUMIF($N$91:$N$118,$U8,L$91:L$118))*$I$83*Poor!$B$81/$B$81)</f>
        <v>41.599999999999987</v>
      </c>
      <c r="T8" s="225">
        <f>IF($B$81=0,0,(SUMIF($N$6:$N$28,$U8,M$6:M$28)+SUMIF($N$91:$N$118,$U8,M$91:M$118))*$I$83*Poor!$B$81/$B$81)</f>
        <v>30.593822261277555</v>
      </c>
      <c r="U8" s="226">
        <v>2</v>
      </c>
      <c r="V8" s="56"/>
      <c r="W8" s="115"/>
      <c r="X8" s="118">
        <f>Poor!X8</f>
        <v>1</v>
      </c>
      <c r="Y8" s="184">
        <f t="shared" si="9"/>
        <v>2.6666666666666668E-2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2.6666666666666668E-2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6.6666666666666671E-3</v>
      </c>
      <c r="AJ8" s="120">
        <f t="shared" si="14"/>
        <v>1.3333333333333334E-2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0.10139266144814088</v>
      </c>
      <c r="C9" s="102">
        <f>IF([1]Summ!$I1047="",0,[1]Summ!$I1047)</f>
        <v>0</v>
      </c>
      <c r="D9" s="24">
        <f t="shared" si="0"/>
        <v>0.10139266144814088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3.0417798434442263E-2</v>
      </c>
      <c r="J9" s="24">
        <f t="shared" si="3"/>
        <v>3.0417798434442263E-2</v>
      </c>
      <c r="K9" s="22">
        <f t="shared" si="4"/>
        <v>0.10139266144814088</v>
      </c>
      <c r="L9" s="22">
        <f t="shared" si="5"/>
        <v>3.0417798434442263E-2</v>
      </c>
      <c r="M9" s="227">
        <f t="shared" si="6"/>
        <v>3.0417798434442263E-2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2389.4591102806739</v>
      </c>
      <c r="S9" s="225">
        <f>IF($B$81=0,0,(SUMIF($N$6:$N$28,$U9,L$6:L$28)+SUMIF($N$91:$N$118,$U9,L$91:L$118))*$I$83*Poor!$B$81/$B$81)</f>
        <v>533.1390735538389</v>
      </c>
      <c r="T9" s="225">
        <f>IF($B$81=0,0,(SUMIF($N$6:$N$28,$U9,M$6:M$28)+SUMIF($N$91:$N$118,$U9,M$91:M$118))*$I$83*Poor!$B$81/$B$81)</f>
        <v>533.1390735538389</v>
      </c>
      <c r="U9" s="226">
        <v>3</v>
      </c>
      <c r="V9" s="56"/>
      <c r="W9" s="115"/>
      <c r="X9" s="118">
        <f>Poor!X9</f>
        <v>1</v>
      </c>
      <c r="Y9" s="184">
        <f t="shared" si="9"/>
        <v>0.12167119373776905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0.12167119373776905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3.0417798434442263E-2</v>
      </c>
      <c r="AJ9" s="120">
        <f t="shared" si="14"/>
        <v>6.0835596868884526E-2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101">
        <f>IF([1]Summ!$H1048="",0,[1]Summ!$H1048)</f>
        <v>1.2625201921366307E-2</v>
      </c>
      <c r="C10" s="102">
        <f>IF([1]Summ!$I1048="",0,[1]Summ!$I1048)</f>
        <v>0</v>
      </c>
      <c r="D10" s="24">
        <f t="shared" si="0"/>
        <v>1.2625201921366307E-2</v>
      </c>
      <c r="E10" s="75">
        <f>Poor!E10</f>
        <v>0.2</v>
      </c>
      <c r="H10" s="24">
        <f t="shared" si="1"/>
        <v>0.2</v>
      </c>
      <c r="I10" s="22">
        <f t="shared" si="2"/>
        <v>2.5250403842732617E-3</v>
      </c>
      <c r="J10" s="24">
        <f t="shared" si="3"/>
        <v>2.5250403842732617E-3</v>
      </c>
      <c r="K10" s="22">
        <f t="shared" si="4"/>
        <v>1.2625201921366307E-2</v>
      </c>
      <c r="L10" s="22">
        <f t="shared" si="5"/>
        <v>2.5250403842732617E-3</v>
      </c>
      <c r="M10" s="227">
        <f t="shared" si="6"/>
        <v>2.5250403842732617E-3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IF($B$81=0,0,(SUMIF($N$6:$N$28,$U10,L$6:L$28)+SUMIF($N$91:$N$118,$U10,L$91:L$118))*$I$83*Poor!$B$81/$B$81)</f>
        <v>0</v>
      </c>
      <c r="T10" s="225">
        <f>IF($B$81=0,0,(SUMIF($N$6:$N$28,$U10,M$6:M$28)+SUMIF($N$91:$N$118,$U10,M$91:M$118))*$I$83*Poor!$B$81/$B$81)</f>
        <v>0</v>
      </c>
      <c r="U10" s="226">
        <v>4</v>
      </c>
      <c r="V10" s="56"/>
      <c r="W10" s="115"/>
      <c r="X10" s="118">
        <f>Poor!X10</f>
        <v>1</v>
      </c>
      <c r="Y10" s="184">
        <f t="shared" si="9"/>
        <v>1.0100161537093047E-2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1.0100161537093047E-2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2.5250403842732617E-3</v>
      </c>
      <c r="AJ10" s="120">
        <f t="shared" si="14"/>
        <v>5.0500807685465235E-3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Potatoes: no. local meas</v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0.2</v>
      </c>
      <c r="H11" s="24">
        <f t="shared" si="1"/>
        <v>0.2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7">
        <f t="shared" si="6"/>
        <v>0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21804.929519282352</v>
      </c>
      <c r="S11" s="225">
        <f>IF($B$81=0,0,(SUMIF($N$6:$N$28,$U11,L$6:L$28)+SUMIF($N$91:$N$118,$U11,L$91:L$118))*$I$83*Poor!$B$81/$B$81)</f>
        <v>8698.2857142857156</v>
      </c>
      <c r="T11" s="225">
        <f>IF($B$81=0,0,(SUMIF($N$6:$N$28,$U11,M$6:M$28)+SUMIF($N$91:$N$118,$U11,M$91:M$118))*$I$83*Poor!$B$81/$B$81)</f>
        <v>8805.3238164699924</v>
      </c>
      <c r="U11" s="226">
        <v>5</v>
      </c>
      <c r="V11" s="56"/>
      <c r="W11" s="115"/>
      <c r="X11" s="118">
        <f>Poor!X11</f>
        <v>1</v>
      </c>
      <c r="Y11" s="184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4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no. local meas</v>
      </c>
      <c r="B12" s="101">
        <f>IF([1]Summ!$H1050="",0,[1]Summ!$H1050)</f>
        <v>6.0053504714463616E-3</v>
      </c>
      <c r="C12" s="102">
        <f>IF([1]Summ!$I1050="",0,[1]Summ!$I1050)</f>
        <v>6.9829656644725124E-4</v>
      </c>
      <c r="D12" s="24">
        <f t="shared" si="0"/>
        <v>6.7036470378936128E-3</v>
      </c>
      <c r="E12" s="75">
        <f>Poor!E12</f>
        <v>0.2</v>
      </c>
      <c r="H12" s="24">
        <f t="shared" si="1"/>
        <v>0.2</v>
      </c>
      <c r="I12" s="22">
        <f t="shared" si="2"/>
        <v>1.3407294075787226E-3</v>
      </c>
      <c r="J12" s="24">
        <f t="shared" si="3"/>
        <v>1.2380199795039746E-3</v>
      </c>
      <c r="K12" s="22">
        <f t="shared" si="4"/>
        <v>6.0053504714463616E-3</v>
      </c>
      <c r="L12" s="22">
        <f t="shared" si="5"/>
        <v>1.2010700942892724E-3</v>
      </c>
      <c r="M12" s="227">
        <f t="shared" si="6"/>
        <v>1.2380199795039746E-3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205.46743043254153</v>
      </c>
      <c r="S12" s="225">
        <f>IF($B$81=0,0,(SUMIF($N$6:$N$28,$U12,L$6:L$28)+SUMIF($N$91:$N$118,$U12,L$91:L$118))*$I$83*Poor!$B$81/$B$81)</f>
        <v>229.22073668259125</v>
      </c>
      <c r="T12" s="225">
        <f>IF($B$81=0,0,(SUMIF($N$6:$N$28,$U12,M$6:M$28)+SUMIF($N$91:$N$118,$U12,M$91:M$118))*$I$83*Poor!$B$81/$B$81)</f>
        <v>244.38205981558099</v>
      </c>
      <c r="U12" s="226">
        <v>6</v>
      </c>
      <c r="V12" s="56"/>
      <c r="W12" s="117"/>
      <c r="X12" s="118"/>
      <c r="Y12" s="184">
        <f t="shared" si="9"/>
        <v>4.9520799180158984E-3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3.317893545070652E-3</v>
      </c>
      <c r="AF12" s="122">
        <f>1-SUM(Z12,AB12,AD12)</f>
        <v>0.32999999999999996</v>
      </c>
      <c r="AG12" s="121">
        <f>$M12*AF12*4</f>
        <v>1.6341863729452462E-3</v>
      </c>
      <c r="AH12" s="123">
        <f t="shared" si="12"/>
        <v>1</v>
      </c>
      <c r="AI12" s="184">
        <f t="shared" si="13"/>
        <v>1.2380199795039746E-3</v>
      </c>
      <c r="AJ12" s="120">
        <f t="shared" si="14"/>
        <v>0</v>
      </c>
      <c r="AK12" s="119">
        <f t="shared" si="15"/>
        <v>2.4760399590079492E-3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beetroot: no. local meas</v>
      </c>
      <c r="B13" s="101">
        <f>IF([1]Summ!$H1051="",0,[1]Summ!$H1051)</f>
        <v>1.2488880982031668E-3</v>
      </c>
      <c r="C13" s="102">
        <f>IF([1]Summ!$I1051="",0,[1]Summ!$I1051)</f>
        <v>0</v>
      </c>
      <c r="D13" s="24">
        <f t="shared" si="0"/>
        <v>1.2488880982031668E-3</v>
      </c>
      <c r="E13" s="75">
        <f>Poor!E13</f>
        <v>0.2</v>
      </c>
      <c r="H13" s="24">
        <f t="shared" si="1"/>
        <v>0.2</v>
      </c>
      <c r="I13" s="22">
        <f t="shared" si="2"/>
        <v>2.4977761964063336E-4</v>
      </c>
      <c r="J13" s="24">
        <f t="shared" si="3"/>
        <v>2.4977761964063336E-4</v>
      </c>
      <c r="K13" s="22">
        <f t="shared" si="4"/>
        <v>1.2488880982031668E-3</v>
      </c>
      <c r="L13" s="22">
        <f t="shared" si="5"/>
        <v>2.4977761964063336E-4</v>
      </c>
      <c r="M13" s="228">
        <f t="shared" si="6"/>
        <v>2.4977761964063336E-4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0</v>
      </c>
      <c r="S13" s="225">
        <f>IF($B$81=0,0,(SUMIF($N$6:$N$28,$U13,L$6:L$28)+SUMIF($N$91:$N$118,$U13,L$91:L$118))*$I$83*Poor!$B$81/$B$81)</f>
        <v>0</v>
      </c>
      <c r="T13" s="225">
        <f>IF($B$81=0,0,(SUMIF($N$6:$N$28,$U13,M$6:M$28)+SUMIF($N$91:$N$118,$U13,M$91:M$118))*$I$83*Poor!$B$81/$B$81)</f>
        <v>0</v>
      </c>
      <c r="U13" s="226">
        <v>7</v>
      </c>
      <c r="V13" s="56"/>
      <c r="W13" s="110"/>
      <c r="X13" s="118"/>
      <c r="Y13" s="184">
        <f t="shared" si="9"/>
        <v>9.9911047856253345E-4</v>
      </c>
      <c r="Z13" s="156">
        <f>Poor!Z13</f>
        <v>1</v>
      </c>
      <c r="AA13" s="121">
        <f>$M13*Z13*4</f>
        <v>9.9911047856253345E-4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2.4977761964063336E-4</v>
      </c>
      <c r="AJ13" s="120">
        <f t="shared" si="14"/>
        <v>4.9955523928126673E-4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Groundnuts (dry): no. local meas</v>
      </c>
      <c r="B14" s="101">
        <f>IF([1]Summ!$H1052="",0,[1]Summ!$H1052)</f>
        <v>5.390849492972781E-2</v>
      </c>
      <c r="C14" s="102">
        <f>IF([1]Summ!$I1052="",0,[1]Summ!$I1052)</f>
        <v>0</v>
      </c>
      <c r="D14" s="24">
        <f t="shared" si="0"/>
        <v>5.390849492972781E-2</v>
      </c>
      <c r="E14" s="75">
        <f>Poor!E14</f>
        <v>0.2</v>
      </c>
      <c r="F14" s="22"/>
      <c r="H14" s="24">
        <f t="shared" si="1"/>
        <v>0.2</v>
      </c>
      <c r="I14" s="22">
        <f t="shared" si="2"/>
        <v>1.0781698985945562E-2</v>
      </c>
      <c r="J14" s="24">
        <f>IF(I$32&lt;=1+I131,I14,B14*H14+J$33*(I14-B14*H14))</f>
        <v>1.0781698985945562E-2</v>
      </c>
      <c r="K14" s="22">
        <f t="shared" si="4"/>
        <v>5.390849492972781E-2</v>
      </c>
      <c r="L14" s="22">
        <f t="shared" si="5"/>
        <v>1.0781698985945562E-2</v>
      </c>
      <c r="M14" s="228">
        <f t="shared" si="6"/>
        <v>1.0781698985945562E-2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74643.851749729351</v>
      </c>
      <c r="S14" s="225">
        <f>IF($B$81=0,0,(SUMIF($N$6:$N$28,$U14,L$6:L$28)+SUMIF($N$91:$N$118,$U14,L$91:L$118))*$I$83*Poor!$B$81/$B$81)</f>
        <v>35731.748571428572</v>
      </c>
      <c r="T14" s="225">
        <f>IF($B$81=0,0,(SUMIF($N$6:$N$28,$U14,M$6:M$28)+SUMIF($N$91:$N$118,$U14,M$91:M$118))*$I$83*Poor!$B$81/$B$81)</f>
        <v>35731.748571428572</v>
      </c>
      <c r="U14" s="226">
        <v>8</v>
      </c>
      <c r="V14" s="56"/>
      <c r="W14" s="110"/>
      <c r="X14" s="118"/>
      <c r="Y14" s="184">
        <f>M14*4</f>
        <v>4.3126795943782249E-2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4.3126795943782249E-2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1.0781698985945562E-2</v>
      </c>
      <c r="AJ14" s="120">
        <f t="shared" si="14"/>
        <v>2.1563397971891125E-2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Cow peas</v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0.2</v>
      </c>
      <c r="F15" s="22"/>
      <c r="H15" s="24">
        <f t="shared" si="1"/>
        <v>0.2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9">
        <f t="shared" si="6"/>
        <v>0</v>
      </c>
      <c r="N15" s="232">
        <v>1</v>
      </c>
      <c r="O15" s="2"/>
      <c r="P15" s="22"/>
      <c r="Q15" s="59" t="s">
        <v>126</v>
      </c>
      <c r="R15" s="225">
        <f>IF($B$81=0,0,(SUMIF($N$6:$N$28,$U15,K$6:K$28)+SUMIF($N$91:$N$118,$U15,K$91:K$118))*$B$83*$H$84*Poor!$B$81/$B$81)</f>
        <v>0</v>
      </c>
      <c r="S15" s="225">
        <f>IF($B$81=0,0,(SUMIF($N$6:$N$28,$U15,L$6:L$28)+SUMIF($N$91:$N$118,$U15,L$91:L$118))*$I$83*Poor!$B$81/$B$81)</f>
        <v>0</v>
      </c>
      <c r="T15" s="225">
        <f>IF($B$81=0,0,(SUMIF($N$6:$N$28,$U15,M$6:M$28)+SUMIF($N$91:$N$118,$U15,M$91:M$118))*$I$83*Poor!$B$81/$B$81)</f>
        <v>0</v>
      </c>
      <c r="U15" s="226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</v>
      </c>
      <c r="B16" s="101">
        <f>IF([1]Summ!$H1054="",0,[1]Summ!$H1054)</f>
        <v>8.9396904465397615E-4</v>
      </c>
      <c r="C16" s="102">
        <f>IF([1]Summ!$I1054="",0,[1]Summ!$I1054)</f>
        <v>4.4698452232698796E-4</v>
      </c>
      <c r="D16" s="24">
        <f t="shared" si="0"/>
        <v>1.3409535669809641E-3</v>
      </c>
      <c r="E16" s="75">
        <f>Poor!E16</f>
        <v>0.2</v>
      </c>
      <c r="F16" s="22"/>
      <c r="H16" s="24">
        <f t="shared" si="1"/>
        <v>0.2</v>
      </c>
      <c r="I16" s="22">
        <f t="shared" si="2"/>
        <v>2.6819071339619283E-4</v>
      </c>
      <c r="J16" s="24">
        <f>IF(I$32&lt;=1+I131,I16,B16*H16+J$33*(I16-B16*H16))</f>
        <v>2.0244568921535665E-4</v>
      </c>
      <c r="K16" s="22">
        <f t="shared" si="4"/>
        <v>8.9396904465397615E-4</v>
      </c>
      <c r="L16" s="22">
        <f t="shared" si="5"/>
        <v>1.7879380893079524E-4</v>
      </c>
      <c r="M16" s="227">
        <f t="shared" si="6"/>
        <v>2.0244568921535665E-4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IF($B$81=0,0,(SUMIF($N$6:$N$28,$U16,L$6:L$28)+SUMIF($N$91:$N$118,$U16,L$91:L$118))*$I$83*Poor!$B$81/$B$81)</f>
        <v>0</v>
      </c>
      <c r="T16" s="225">
        <f>IF($B$81=0,0,(SUMIF($N$6:$N$28,$U16,M$6:M$28)+SUMIF($N$91:$N$118,$U16,M$91:M$118))*$I$83*Poor!$B$81/$B$81)</f>
        <v>0</v>
      </c>
      <c r="U16" s="226">
        <v>10</v>
      </c>
      <c r="V16" s="56"/>
      <c r="W16" s="110"/>
      <c r="X16" s="118"/>
      <c r="Y16" s="184">
        <f t="shared" si="9"/>
        <v>8.0978275686142661E-4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8.0978275686142661E-4</v>
      </c>
      <c r="AH16" s="123">
        <f t="shared" si="12"/>
        <v>1</v>
      </c>
      <c r="AI16" s="184">
        <f t="shared" si="13"/>
        <v>2.0244568921535665E-4</v>
      </c>
      <c r="AJ16" s="120">
        <f t="shared" si="14"/>
        <v>0</v>
      </c>
      <c r="AK16" s="119">
        <f t="shared" si="15"/>
        <v>4.048913784307133E-4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101">
        <f>IF([1]Summ!$H1055="",0,[1]Summ!$H1055)</f>
        <v>1.1135502579612169E-2</v>
      </c>
      <c r="C17" s="102">
        <f>IF([1]Summ!$I1055="",0,[1]Summ!$I1055)</f>
        <v>4.8415228607009454E-4</v>
      </c>
      <c r="D17" s="24">
        <f t="shared" si="0"/>
        <v>1.1619654865682264E-2</v>
      </c>
      <c r="E17" s="75">
        <f>Poor!E17</f>
        <v>0.2</v>
      </c>
      <c r="F17" s="22"/>
      <c r="H17" s="24">
        <f t="shared" si="1"/>
        <v>0.2</v>
      </c>
      <c r="I17" s="22">
        <f t="shared" si="2"/>
        <v>2.323930973136453E-3</v>
      </c>
      <c r="J17" s="24">
        <f t="shared" ref="J17:J25" si="17">IF(I$32&lt;=1+I131,I17,B17*H17+J$33*(I17-B17*H17))</f>
        <v>2.2527191030046272E-3</v>
      </c>
      <c r="K17" s="22">
        <f t="shared" si="4"/>
        <v>1.1135502579612169E-2</v>
      </c>
      <c r="L17" s="22">
        <f t="shared" si="5"/>
        <v>2.2271005159224338E-3</v>
      </c>
      <c r="M17" s="228">
        <f t="shared" si="6"/>
        <v>2.2527191030046272E-3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0</v>
      </c>
      <c r="S17" s="225">
        <f>IF($B$81=0,0,(SUMIF($N$6:$N$28,$U17,L$6:L$28)+SUMIF($N$91:$N$118,$U17,L$91:L$118))*$I$83*Poor!$B$81/$B$81)</f>
        <v>0</v>
      </c>
      <c r="T17" s="225">
        <f>IF($B$81=0,0,(SUMIF($N$6:$N$28,$U17,M$6:M$28)+SUMIF($N$91:$N$118,$U17,M$91:M$118))*$I$83*Poor!$B$81/$B$81)</f>
        <v>0</v>
      </c>
      <c r="U17" s="226">
        <v>11</v>
      </c>
      <c r="V17" s="56"/>
      <c r="W17" s="110"/>
      <c r="X17" s="118"/>
      <c r="Y17" s="184">
        <f t="shared" si="9"/>
        <v>9.0108764120185088E-3</v>
      </c>
      <c r="Z17" s="156">
        <f>Poor!Z17</f>
        <v>0.29409999999999997</v>
      </c>
      <c r="AA17" s="121">
        <f t="shared" si="16"/>
        <v>2.650098752774643E-3</v>
      </c>
      <c r="AB17" s="156">
        <f>Poor!AB17</f>
        <v>0.17649999999999999</v>
      </c>
      <c r="AC17" s="121">
        <f t="shared" si="7"/>
        <v>1.5904196867212667E-3</v>
      </c>
      <c r="AD17" s="156">
        <f>Poor!AD17</f>
        <v>0.23530000000000001</v>
      </c>
      <c r="AE17" s="121">
        <f t="shared" si="8"/>
        <v>2.1202592197479553E-3</v>
      </c>
      <c r="AF17" s="122">
        <f t="shared" si="10"/>
        <v>0.29410000000000003</v>
      </c>
      <c r="AG17" s="121">
        <f t="shared" si="11"/>
        <v>2.6500987527746439E-3</v>
      </c>
      <c r="AH17" s="123">
        <f t="shared" si="12"/>
        <v>1</v>
      </c>
      <c r="AI17" s="184">
        <f t="shared" si="13"/>
        <v>2.2527191030046272E-3</v>
      </c>
      <c r="AJ17" s="120">
        <f t="shared" si="14"/>
        <v>2.1202592197479548E-3</v>
      </c>
      <c r="AK17" s="119">
        <f t="shared" si="15"/>
        <v>2.3851789862612996E-3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FISHING -- see worksheet Data 3</v>
      </c>
      <c r="B18" s="101">
        <f>IF([1]Summ!$H1056="",0,[1]Summ!$H1056)</f>
        <v>1.5050702721935601E-2</v>
      </c>
      <c r="C18" s="102">
        <f>IF([1]Summ!$I1056="",0,[1]Summ!$I1056)</f>
        <v>3.762675680483895E-3</v>
      </c>
      <c r="D18" s="24">
        <f t="shared" ref="D18:D25" si="18">(B18+C18)</f>
        <v>1.8813378402419496E-2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1.8813378402419496E-2</v>
      </c>
      <c r="J18" s="24">
        <f t="shared" si="17"/>
        <v>1.6046199772718633E-2</v>
      </c>
      <c r="K18" s="22">
        <f t="shared" ref="K18:K25" si="21">B18</f>
        <v>1.5050702721935601E-2</v>
      </c>
      <c r="L18" s="22">
        <f t="shared" ref="L18:L25" si="22">IF(K18="","",K18*H18)</f>
        <v>1.5050702721935601E-2</v>
      </c>
      <c r="M18" s="228">
        <f t="shared" ref="M18:M25" si="23">J18</f>
        <v>1.6046199772718633E-2</v>
      </c>
      <c r="N18" s="232">
        <v>6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1857.3719085593918</v>
      </c>
      <c r="S18" s="225">
        <f>IF($B$81=0,0,(SUMIF($N$6:$N$28,$U18,L$6:L$28)+SUMIF($N$91:$N$118,$U18,L$91:L$118))*$I$83*Poor!$B$81/$B$81)</f>
        <v>2072.0955933369441</v>
      </c>
      <c r="T18" s="225">
        <f>IF($B$81=0,0,(SUMIF($N$6:$N$28,$U18,M$6:M$28)+SUMIF($N$91:$N$118,$U18,M$91:M$118))*$I$83*Poor!$B$81/$B$81)</f>
        <v>2072.0955933369441</v>
      </c>
      <c r="U18" s="226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8">
        <f t="shared" si="23"/>
        <v>0</v>
      </c>
      <c r="N19" s="232"/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IF($B$81=0,0,(SUMIF($N$6:$N$28,$U19,L$6:L$28)+SUMIF($N$91:$N$118,$U19,L$91:L$118))*$I$83*Poor!$B$81/$B$81)</f>
        <v>0</v>
      </c>
      <c r="T19" s="225">
        <f>IF($B$81=0,0,(SUMIF($N$6:$N$28,$U19,M$6:M$28)+SUMIF($N$91:$N$118,$U19,M$91:M$118))*$I$83*Poor!$B$81/$B$81)</f>
        <v>0</v>
      </c>
      <c r="U19" s="226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8">
        <f t="shared" si="23"/>
        <v>0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33691.151564212087</v>
      </c>
      <c r="S20" s="225">
        <f>IF($B$81=0,0,(SUMIF($N$6:$N$28,$U20,L$6:L$28)+SUMIF($N$91:$N$118,$U20,L$91:L$118))*$I$83*Poor!$B$81/$B$81)</f>
        <v>26879.72571428572</v>
      </c>
      <c r="T20" s="225">
        <f>IF($B$81=0,0,(SUMIF($N$6:$N$28,$U20,M$6:M$28)+SUMIF($N$91:$N$118,$U20,M$91:M$118))*$I$83*Poor!$B$81/$B$81)</f>
        <v>26879.72571428572</v>
      </c>
      <c r="U20" s="226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8">
        <f t="shared" si="23"/>
        <v>0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IF($B$81=0,0,(SUMIF($N$6:$N$28,$U21,L$6:L$28)+SUMIF($N$91:$N$118,$U21,L$91:L$118))*$I$83*Poor!$B$81/$B$81)</f>
        <v>0</v>
      </c>
      <c r="T21" s="225">
        <f>IF($B$81=0,0,(SUMIF($N$6:$N$28,$U21,M$6:M$28)+SUMIF($N$91:$N$118,$U21,M$91:M$118))*$I$83*Poor!$B$81/$B$81)</f>
        <v>0</v>
      </c>
      <c r="U21" s="226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8">
        <f t="shared" si="23"/>
        <v>0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IF($B$81=0,0,(SUMIF($N$6:$N$28,$U22,L$6:L$28)+SUMIF($N$91:$N$118,$U22,L$91:L$118))*$I$83*Poor!$B$81/$B$81)</f>
        <v>0</v>
      </c>
      <c r="T22" s="225">
        <f>IF($B$81=0,0,(SUMIF($N$6:$N$28,$U22,M$6:M$28)+SUMIF($N$91:$N$118,$U22,M$91:M$118))*$I$83*Poor!$B$81/$B$81)</f>
        <v>0</v>
      </c>
      <c r="U22" s="226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8">
        <f t="shared" si="23"/>
        <v>0</v>
      </c>
      <c r="N23" s="232"/>
      <c r="O23" s="2"/>
      <c r="P23" s="22"/>
      <c r="Q23" s="171" t="s">
        <v>100</v>
      </c>
      <c r="R23" s="179">
        <f>SUM(R7:R22)</f>
        <v>137822.7596082073</v>
      </c>
      <c r="S23" s="179">
        <f>SUM(S7:S22)</f>
        <v>75012.006345770555</v>
      </c>
      <c r="T23" s="179">
        <f>SUM(T7:T22)</f>
        <v>75124.512720922008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8">
        <f t="shared" si="23"/>
        <v>0</v>
      </c>
      <c r="N24" s="232"/>
      <c r="O24" s="2"/>
      <c r="P24" s="22"/>
      <c r="Q24" s="59" t="s">
        <v>137</v>
      </c>
      <c r="R24" s="41">
        <f>IF($B$81=0,0,(SUM(($B$70*$H$70))+((1-$D$29)*$I$83))*Poor!$B$81/$B$81)</f>
        <v>33489.867316657939</v>
      </c>
      <c r="S24" s="41">
        <f>IF($B$81=0,0,(SUM(($B$70*$H$70))+((1-$D$29)*$I$83))*Poor!$B$81/$B$81)</f>
        <v>33489.867316657939</v>
      </c>
      <c r="T24" s="41">
        <f>IF($B$81=0,0,(SUM(($B$70*$H$70))+((1-$D$29)*$I$83))*Poor!$B$81/$B$81)</f>
        <v>33489.867316657939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8">
        <f t="shared" si="23"/>
        <v>0</v>
      </c>
      <c r="N25" s="232"/>
      <c r="O25" s="2"/>
      <c r="P25" s="22"/>
      <c r="Q25" s="142" t="s">
        <v>138</v>
      </c>
      <c r="R25" s="41">
        <f>IF($B$81=0,0,(SUM(($B$70*$H$70),($B$71*$H$71))+((1-$D$29)*$I$83))*Poor!$B$81/$B$81)</f>
        <v>51872.693983324607</v>
      </c>
      <c r="S25" s="41">
        <f>IF($B$81=0,0,(SUM(($B$70*$H$70),($B$71*$H$71))+((1-$D$29)*$I$83))*Poor!$B$81/$B$81)</f>
        <v>51872.693983324607</v>
      </c>
      <c r="T25" s="41">
        <f>IF($B$81=0,0,(SUM(($B$70*$H$70),($B$71*$H$71))+((1-$D$29)*$I$83))*Poor!$B$81/$B$81)</f>
        <v>51872.693983324607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0.13605442176870747</v>
      </c>
      <c r="C26" s="102">
        <f>IF([1]Summ!$I1064="",0,[1]Summ!$I1064)</f>
        <v>0</v>
      </c>
      <c r="D26" s="24">
        <f t="shared" si="0"/>
        <v>0.13605442176870747</v>
      </c>
      <c r="E26" s="75">
        <f>Poor!E26</f>
        <v>1</v>
      </c>
      <c r="F26" s="22"/>
      <c r="H26" s="24">
        <f t="shared" si="1"/>
        <v>1</v>
      </c>
      <c r="I26" s="22">
        <f t="shared" si="2"/>
        <v>0.13605442176870747</v>
      </c>
      <c r="J26" s="24">
        <f>IF(I$32&lt;=1+I131,I26,B26*H26+J$33*(I26-B26*H26))</f>
        <v>0.13605442176870747</v>
      </c>
      <c r="K26" s="22">
        <f t="shared" si="4"/>
        <v>0.13605442176870747</v>
      </c>
      <c r="L26" s="22">
        <f t="shared" si="5"/>
        <v>0.13605442176870747</v>
      </c>
      <c r="M26" s="227">
        <f t="shared" si="6"/>
        <v>0.13605442176870747</v>
      </c>
      <c r="N26" s="232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84610.613983324612</v>
      </c>
      <c r="S26" s="41">
        <f>IF($B$81=0,0,(SUM(($B$70*$H$70),($B$71*$H$71),($B$72*$H$72))+((1-$D$29)*$I$83))*Poor!$B$81/$B$81)</f>
        <v>84610.613983324612</v>
      </c>
      <c r="T26" s="41">
        <f>IF($B$81=0,0,(SUM(($B$70*$H$70),($B$71*$H$71),($B$72*$H$72))+((1-$D$29)*$I$83))*Poor!$B$81/$B$81)</f>
        <v>84610.613983324612</v>
      </c>
      <c r="U26" s="56"/>
      <c r="V26" s="56"/>
      <c r="W26" s="110"/>
      <c r="X26" s="118"/>
      <c r="Y26" s="184">
        <f t="shared" si="9"/>
        <v>0.54421768707482987</v>
      </c>
      <c r="Z26" s="156">
        <f>Poor!Z26</f>
        <v>0.25</v>
      </c>
      <c r="AA26" s="121">
        <f t="shared" si="16"/>
        <v>0.13605442176870747</v>
      </c>
      <c r="AB26" s="156">
        <f>Poor!AB26</f>
        <v>0.25</v>
      </c>
      <c r="AC26" s="121">
        <f t="shared" si="7"/>
        <v>0.13605442176870747</v>
      </c>
      <c r="AD26" s="156">
        <f>Poor!AD26</f>
        <v>0.25</v>
      </c>
      <c r="AE26" s="121">
        <f t="shared" si="8"/>
        <v>0.13605442176870747</v>
      </c>
      <c r="AF26" s="122">
        <f t="shared" si="10"/>
        <v>0.25</v>
      </c>
      <c r="AG26" s="121">
        <f t="shared" si="11"/>
        <v>0.13605442176870747</v>
      </c>
      <c r="AH26" s="123">
        <f t="shared" si="12"/>
        <v>1</v>
      </c>
      <c r="AI26" s="184">
        <f t="shared" si="13"/>
        <v>0.13605442176870747</v>
      </c>
      <c r="AJ26" s="120">
        <f t="shared" si="14"/>
        <v>0.13605442176870747</v>
      </c>
      <c r="AK26" s="119">
        <f t="shared" si="15"/>
        <v>0.13605442176870747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9.4969144280377157E-2</v>
      </c>
      <c r="C27" s="102">
        <f>IF([1]Summ!$I1065="",0,[1]Summ!$I1065)</f>
        <v>-9.4969144280377157E-2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6.9843007702391435E-2</v>
      </c>
      <c r="K27" s="22">
        <f t="shared" si="4"/>
        <v>9.4969144280377157E-2</v>
      </c>
      <c r="L27" s="22">
        <f t="shared" si="5"/>
        <v>9.4969144280377157E-2</v>
      </c>
      <c r="M27" s="229">
        <f t="shared" si="6"/>
        <v>6.9843007702391435E-2</v>
      </c>
      <c r="N27" s="232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0.27937203080956574</v>
      </c>
      <c r="Z27" s="156">
        <f>Poor!Z27</f>
        <v>0.25</v>
      </c>
      <c r="AA27" s="121">
        <f t="shared" si="16"/>
        <v>6.9843007702391435E-2</v>
      </c>
      <c r="AB27" s="156">
        <f>Poor!AB27</f>
        <v>0.25</v>
      </c>
      <c r="AC27" s="121">
        <f t="shared" si="7"/>
        <v>6.9843007702391435E-2</v>
      </c>
      <c r="AD27" s="156">
        <f>Poor!AD27</f>
        <v>0.25</v>
      </c>
      <c r="AE27" s="121">
        <f t="shared" si="8"/>
        <v>6.9843007702391435E-2</v>
      </c>
      <c r="AF27" s="122">
        <f t="shared" si="10"/>
        <v>0.25</v>
      </c>
      <c r="AG27" s="121">
        <f t="shared" si="11"/>
        <v>6.9843007702391435E-2</v>
      </c>
      <c r="AH27" s="123">
        <f t="shared" si="12"/>
        <v>1</v>
      </c>
      <c r="AI27" s="184">
        <f t="shared" si="13"/>
        <v>6.9843007702391435E-2</v>
      </c>
      <c r="AJ27" s="120">
        <f t="shared" si="14"/>
        <v>6.9843007702391435E-2</v>
      </c>
      <c r="AK27" s="119">
        <f t="shared" si="15"/>
        <v>6.9843007702391435E-2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7">
        <f t="shared" si="6"/>
        <v>0</v>
      </c>
      <c r="N28" s="232"/>
      <c r="O28" s="2"/>
      <c r="P28" s="22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0.21490775128980608</v>
      </c>
      <c r="C29" s="102">
        <f>IF([1]Summ!$I1067="",0,[1]Summ!$I1067)</f>
        <v>9.7290226521910012E-3</v>
      </c>
      <c r="D29" s="24">
        <f t="shared" si="0"/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0.2174817741872597</v>
      </c>
      <c r="K29" s="22">
        <f t="shared" si="4"/>
        <v>0.21490775128980608</v>
      </c>
      <c r="L29" s="22">
        <f t="shared" si="5"/>
        <v>0.21490775128980608</v>
      </c>
      <c r="M29" s="227">
        <f t="shared" si="6"/>
        <v>0.2174817741872597</v>
      </c>
      <c r="N29" s="232"/>
      <c r="P29" s="22"/>
      <c r="V29" s="56"/>
      <c r="W29" s="110"/>
      <c r="X29" s="118"/>
      <c r="Y29" s="184">
        <f t="shared" si="9"/>
        <v>0.86992709674903879</v>
      </c>
      <c r="Z29" s="156">
        <f>Poor!Z29</f>
        <v>0.25</v>
      </c>
      <c r="AA29" s="121">
        <f t="shared" si="16"/>
        <v>0.2174817741872597</v>
      </c>
      <c r="AB29" s="156">
        <f>Poor!AB29</f>
        <v>0.25</v>
      </c>
      <c r="AC29" s="121">
        <f t="shared" si="7"/>
        <v>0.2174817741872597</v>
      </c>
      <c r="AD29" s="156">
        <f>Poor!AD29</f>
        <v>0.25</v>
      </c>
      <c r="AE29" s="121">
        <f t="shared" si="8"/>
        <v>0.2174817741872597</v>
      </c>
      <c r="AF29" s="122">
        <f t="shared" si="10"/>
        <v>0.25</v>
      </c>
      <c r="AG29" s="121">
        <f t="shared" si="11"/>
        <v>0.2174817741872597</v>
      </c>
      <c r="AH29" s="123">
        <f t="shared" si="12"/>
        <v>1</v>
      </c>
      <c r="AI29" s="184">
        <f t="shared" si="13"/>
        <v>0.2174817741872597</v>
      </c>
      <c r="AJ29" s="120">
        <f t="shared" si="14"/>
        <v>0.2174817741872597</v>
      </c>
      <c r="AK29" s="119">
        <f t="shared" si="15"/>
        <v>0.2174817741872597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0.60906730012453303</v>
      </c>
      <c r="C30" s="103"/>
      <c r="D30" s="24">
        <f>(D119-B124)</f>
        <v>7.9293708680623931</v>
      </c>
      <c r="E30" s="75">
        <f>Poor!E30</f>
        <v>1</v>
      </c>
      <c r="H30" s="96">
        <f>(E30*F$7/F$9)</f>
        <v>1</v>
      </c>
      <c r="I30" s="29">
        <f>IF(E30&gt;=1,I119-I124,MIN(I119-I124,B30*H30))</f>
        <v>3.2851930712100494</v>
      </c>
      <c r="J30" s="234">
        <f>IF(I$32&lt;=1,I30,1-SUM(J6:J29))</f>
        <v>0.47123435729918539</v>
      </c>
      <c r="K30" s="22">
        <f t="shared" si="4"/>
        <v>0.60906730012453303</v>
      </c>
      <c r="L30" s="22">
        <f>IF(L124=L119,0,IF(K30="",0,(L119-L124)/(B119-B124)*K30))</f>
        <v>0.25236224093723653</v>
      </c>
      <c r="M30" s="175">
        <f t="shared" si="6"/>
        <v>0.47123435729918539</v>
      </c>
      <c r="N30" s="166" t="s">
        <v>86</v>
      </c>
      <c r="O30" s="2"/>
      <c r="P30" s="22"/>
      <c r="Q30" s="237" t="s">
        <v>141</v>
      </c>
      <c r="R30" s="237">
        <f t="shared" ref="R30:T32" si="24">IF(R24&gt;R$23,R24-R$23,0)</f>
        <v>0</v>
      </c>
      <c r="S30" s="237">
        <f t="shared" si="24"/>
        <v>0</v>
      </c>
      <c r="T30" s="237">
        <f t="shared" si="24"/>
        <v>0</v>
      </c>
      <c r="V30" s="56"/>
      <c r="W30" s="110"/>
      <c r="X30" s="118"/>
      <c r="Y30" s="184">
        <f>M30*4</f>
        <v>1.8849374291967416</v>
      </c>
      <c r="Z30" s="122">
        <f>IF($Y30=0,0,AA30/($Y$30))</f>
        <v>0.21063245701085156</v>
      </c>
      <c r="AA30" s="188">
        <f>IF(AA79*4/$I$84+SUM(AA6:AA29)&lt;1,AA79*4/$I$84,1-SUM(AA6:AA29))</f>
        <v>0.39702900202342772</v>
      </c>
      <c r="AB30" s="122">
        <f>IF($Y30=0,0,AC30/($Y$30))</f>
        <v>0.27289978415092492</v>
      </c>
      <c r="AC30" s="188">
        <f>IF(AC79*4/$I$84+SUM(AC6:AC29)&lt;1,AC79*4/$I$84,1-SUM(AC6:AC29))</f>
        <v>0.5143990175657901</v>
      </c>
      <c r="AD30" s="122">
        <f>IF($Y30=0,0,AE30/($Y$30))</f>
        <v>0.28499789390891062</v>
      </c>
      <c r="AE30" s="188">
        <f>IF(AE79*4/$I$84+SUM(AE6:AE29)&lt;1,AE79*4/$I$84,1-SUM(AE6:AE29))</f>
        <v>0.53720319747114764</v>
      </c>
      <c r="AF30" s="122">
        <f>IF($Y30=0,0,AG30/($Y$30))</f>
        <v>0.2655212865291412</v>
      </c>
      <c r="AG30" s="188">
        <f>IF(AG79*4/$I$84+SUM(AG6:AG29)&lt;1,AG79*4/$I$84,1-SUM(AG6:AG29))</f>
        <v>0.50049101122725081</v>
      </c>
      <c r="AH30" s="123">
        <f t="shared" si="12"/>
        <v>1.0340514215998282</v>
      </c>
      <c r="AI30" s="184">
        <f t="shared" si="13"/>
        <v>0.4872805570719041</v>
      </c>
      <c r="AJ30" s="120">
        <f t="shared" si="14"/>
        <v>0.45571400979460891</v>
      </c>
      <c r="AK30" s="119">
        <f t="shared" si="15"/>
        <v>0.51884710434919923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5">
        <f>(1-SUM(J6:J30))</f>
        <v>0</v>
      </c>
      <c r="K31" s="22" t="str">
        <f t="shared" si="4"/>
        <v/>
      </c>
      <c r="L31" s="22">
        <f>(1-SUM(L6:L30))</f>
        <v>0.1974017200847813</v>
      </c>
      <c r="M31" s="178">
        <f t="shared" si="6"/>
        <v>0</v>
      </c>
      <c r="N31" s="167">
        <f>M31*I83</f>
        <v>0</v>
      </c>
      <c r="P31" s="22"/>
      <c r="Q31" s="241" t="s">
        <v>142</v>
      </c>
      <c r="R31" s="237">
        <f t="shared" si="24"/>
        <v>0</v>
      </c>
      <c r="S31" s="237">
        <f t="shared" si="24"/>
        <v>0</v>
      </c>
      <c r="T31" s="237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1.4656230840470683</v>
      </c>
      <c r="C32" s="77">
        <f>SUM(C6:C31)</f>
        <v>-7.9848012572857924E-2</v>
      </c>
      <c r="D32" s="24">
        <f>SUM(D6:D30)</f>
        <v>8.7060786394120697</v>
      </c>
      <c r="E32" s="2"/>
      <c r="F32" s="2"/>
      <c r="H32" s="17"/>
      <c r="I32" s="22">
        <f>SUM(I6:I30)</f>
        <v>3.7542775509152984</v>
      </c>
      <c r="J32" s="17"/>
      <c r="L32" s="22">
        <f>SUM(L6:L30)</f>
        <v>0.8025982799152187</v>
      </c>
      <c r="M32" s="23"/>
      <c r="N32" s="56"/>
      <c r="O32" s="2"/>
      <c r="P32" s="22"/>
      <c r="Q32" s="237" t="s">
        <v>143</v>
      </c>
      <c r="R32" s="237">
        <f t="shared" si="24"/>
        <v>0</v>
      </c>
      <c r="S32" s="237">
        <f t="shared" si="24"/>
        <v>9598.6076375540579</v>
      </c>
      <c r="T32" s="237">
        <f t="shared" si="24"/>
        <v>9486.1012624026043</v>
      </c>
      <c r="V32" s="56"/>
      <c r="W32" s="110"/>
      <c r="X32" s="118"/>
      <c r="Y32" s="115">
        <f>SUM(Y6:Y31)</f>
        <v>3.9358152009091256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0.26457158025775085</v>
      </c>
      <c r="K33" s="14"/>
      <c r="L33" s="11"/>
      <c r="M33" s="30"/>
      <c r="N33" s="168" t="s">
        <v>87</v>
      </c>
      <c r="O33" s="2"/>
      <c r="P33" s="2"/>
      <c r="Q33" s="241"/>
      <c r="R33" s="237"/>
      <c r="S33" s="237"/>
      <c r="T33" s="237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180"/>
      <c r="S36" s="180"/>
      <c r="T36" s="18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12000</v>
      </c>
      <c r="C37" s="104">
        <f>IF([1]Summ!$I1072="",0,[1]Summ!$I1072)</f>
        <v>0</v>
      </c>
      <c r="D37" s="38">
        <f t="shared" ref="D37:D64" si="25">B37+C37</f>
        <v>12000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7080</v>
      </c>
      <c r="J37" s="38">
        <f>J91*I$83</f>
        <v>7080</v>
      </c>
      <c r="K37" s="40">
        <f>(B37/B$65)</f>
        <v>0.15559762454293197</v>
      </c>
      <c r="L37" s="22">
        <f t="shared" ref="L37" si="28">(K37*H37)</f>
        <v>9.1802598480329858E-2</v>
      </c>
      <c r="M37" s="24">
        <f>J37/B$65</f>
        <v>9.1802598480329872E-2</v>
      </c>
      <c r="N37" s="2"/>
      <c r="O37" s="2"/>
      <c r="P37" s="2"/>
      <c r="Q37" s="2"/>
      <c r="R37" s="180"/>
      <c r="S37" s="180"/>
      <c r="T37" s="180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7080</v>
      </c>
      <c r="AH37" s="123">
        <f>SUM(Z37,AB37,AD37,AF37)</f>
        <v>1</v>
      </c>
      <c r="AI37" s="112">
        <f>SUM(AA37,AC37,AE37,AG37)</f>
        <v>7080</v>
      </c>
      <c r="AJ37" s="148">
        <f>(AA37+AC37)</f>
        <v>0</v>
      </c>
      <c r="AK37" s="147">
        <f>(AE37+AG37)</f>
        <v>7080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900</v>
      </c>
      <c r="C38" s="104">
        <f>IF([1]Summ!$I1073="",0,[1]Summ!$I1073)</f>
        <v>600</v>
      </c>
      <c r="D38" s="38">
        <f t="shared" si="25"/>
        <v>1500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885</v>
      </c>
      <c r="J38" s="38">
        <f t="shared" ref="J38:J64" si="32">J92*I$83</f>
        <v>624.65833941124379</v>
      </c>
      <c r="K38" s="40">
        <f t="shared" ref="K38:K64" si="33">(B38/B$65)</f>
        <v>1.1669821840719899E-2</v>
      </c>
      <c r="L38" s="22">
        <f t="shared" ref="L38:L64" si="34">(K38*H38)</f>
        <v>6.8851948860247396E-3</v>
      </c>
      <c r="M38" s="24">
        <f t="shared" ref="M38:M64" si="35">J38/B$65</f>
        <v>8.0996128136101731E-3</v>
      </c>
      <c r="N38" s="2"/>
      <c r="O38" s="2"/>
      <c r="P38" s="2"/>
      <c r="Q38" s="59"/>
      <c r="R38" s="180"/>
      <c r="S38" s="180"/>
      <c r="T38" s="180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624.65833941124379</v>
      </c>
      <c r="AH38" s="123">
        <f t="shared" ref="AH38:AI58" si="37">SUM(Z38,AB38,AD38,AF38)</f>
        <v>1</v>
      </c>
      <c r="AI38" s="112">
        <f t="shared" si="37"/>
        <v>624.65833941124379</v>
      </c>
      <c r="AJ38" s="148">
        <f t="shared" ref="AJ38:AJ64" si="38">(AA38+AC38)</f>
        <v>0</v>
      </c>
      <c r="AK38" s="147">
        <f t="shared" ref="AK38:AK64" si="39">(AE38+AG38)</f>
        <v>624.65833941124379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Beans: kg produced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0.2</v>
      </c>
      <c r="F39" s="75">
        <f>Poor!F39</f>
        <v>1.4</v>
      </c>
      <c r="G39" s="75">
        <f>Poor!G39</f>
        <v>1.65</v>
      </c>
      <c r="H39" s="24">
        <f t="shared" si="30"/>
        <v>0.27999999999999997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180"/>
      <c r="S39" s="180"/>
      <c r="T39" s="180"/>
      <c r="U39" s="56"/>
      <c r="V39" s="56"/>
      <c r="W39" s="115"/>
      <c r="X39" s="195">
        <f>X8</f>
        <v>1</v>
      </c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Cabbage: no. local meas</v>
      </c>
      <c r="B40" s="104">
        <f>IF([1]Summ!$H1075="",0,[1]Summ!$H1075)</f>
        <v>25</v>
      </c>
      <c r="C40" s="104">
        <f>IF([1]Summ!$I1075="",0,[1]Summ!$I1075)</f>
        <v>-25</v>
      </c>
      <c r="D40" s="38">
        <f t="shared" si="25"/>
        <v>0</v>
      </c>
      <c r="E40" s="75">
        <f>Poor!E40</f>
        <v>0.2</v>
      </c>
      <c r="F40" s="75">
        <f>Poor!F40</f>
        <v>1.4</v>
      </c>
      <c r="G40" s="75">
        <f>Poor!G40</f>
        <v>1.65</v>
      </c>
      <c r="H40" s="24">
        <f t="shared" si="30"/>
        <v>0.27999999999999997</v>
      </c>
      <c r="I40" s="39">
        <f t="shared" si="31"/>
        <v>0</v>
      </c>
      <c r="J40" s="38">
        <f t="shared" si="32"/>
        <v>5.1479989381957436</v>
      </c>
      <c r="K40" s="40">
        <f t="shared" si="33"/>
        <v>3.2416171779777494E-4</v>
      </c>
      <c r="L40" s="22">
        <f t="shared" si="34"/>
        <v>9.0765280983376976E-5</v>
      </c>
      <c r="M40" s="24">
        <f t="shared" si="35"/>
        <v>6.6751367161066157E-5</v>
      </c>
      <c r="N40" s="2"/>
      <c r="O40" s="2"/>
      <c r="P40" s="2"/>
      <c r="Q40" s="56"/>
      <c r="R40" s="68"/>
      <c r="S40" s="68"/>
      <c r="T40" s="68"/>
      <c r="U40" s="56"/>
      <c r="V40" s="56"/>
      <c r="W40" s="115"/>
      <c r="X40" s="195">
        <f>X9</f>
        <v>1</v>
      </c>
      <c r="Y40" s="110"/>
      <c r="Z40" s="122">
        <f>Z9</f>
        <v>1</v>
      </c>
      <c r="AA40" s="147">
        <f t="shared" si="40"/>
        <v>5.1479989381957436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5.1479989381957436</v>
      </c>
      <c r="AJ40" s="148">
        <f t="shared" si="38"/>
        <v>5.1479989381957436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beetroot: no. local meas</v>
      </c>
      <c r="B41" s="104">
        <f>IF([1]Summ!$H1076="",0,[1]Summ!$H1076)</f>
        <v>0</v>
      </c>
      <c r="C41" s="104">
        <f>IF([1]Summ!$I1076="",0,[1]Summ!$I1076)</f>
        <v>0</v>
      </c>
      <c r="D41" s="38">
        <f t="shared" si="25"/>
        <v>0</v>
      </c>
      <c r="E41" s="75">
        <f>Poor!E41</f>
        <v>0.2</v>
      </c>
      <c r="F41" s="75">
        <f>Poor!F41</f>
        <v>1.4</v>
      </c>
      <c r="G41" s="75">
        <f>Poor!G41</f>
        <v>1.65</v>
      </c>
      <c r="H41" s="24">
        <f t="shared" si="30"/>
        <v>0.27999999999999997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19"/>
      <c r="S41" s="219"/>
      <c r="T41" s="219"/>
      <c r="U41" s="56"/>
      <c r="V41" s="56"/>
      <c r="W41" s="115"/>
      <c r="X41" s="195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Other crop: Spinach</v>
      </c>
      <c r="B42" s="104">
        <f>IF([1]Summ!$H1077="",0,[1]Summ!$H1077)</f>
        <v>25</v>
      </c>
      <c r="C42" s="104">
        <f>IF([1]Summ!$I1077="",0,[1]Summ!$I1077)</f>
        <v>-25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5.1479989381957436</v>
      </c>
      <c r="K42" s="40">
        <f t="shared" si="33"/>
        <v>3.2416171779777494E-4</v>
      </c>
      <c r="L42" s="22">
        <f t="shared" si="34"/>
        <v>9.0765280983376976E-5</v>
      </c>
      <c r="M42" s="24">
        <f t="shared" si="35"/>
        <v>6.6751367161066157E-5</v>
      </c>
      <c r="N42" s="2"/>
      <c r="O42" s="2"/>
      <c r="P42" s="2"/>
      <c r="Q42" s="59"/>
      <c r="R42" s="219"/>
      <c r="S42" s="219"/>
      <c r="T42" s="219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1.2869997345489359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2.5739994690978718</v>
      </c>
      <c r="AF42" s="122">
        <f t="shared" si="29"/>
        <v>0.25</v>
      </c>
      <c r="AG42" s="147">
        <f t="shared" si="36"/>
        <v>1.2869997345489359</v>
      </c>
      <c r="AH42" s="123">
        <f t="shared" si="37"/>
        <v>1</v>
      </c>
      <c r="AI42" s="112">
        <f t="shared" si="37"/>
        <v>5.1479989381957436</v>
      </c>
      <c r="AJ42" s="148">
        <f t="shared" si="38"/>
        <v>1.2869997345489359</v>
      </c>
      <c r="AK42" s="147">
        <f t="shared" si="39"/>
        <v>3.8609992036468075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Other crop: pumpkin</v>
      </c>
      <c r="B43" s="104">
        <f>IF([1]Summ!$H1078="",0,[1]Summ!$H1078)</f>
        <v>80</v>
      </c>
      <c r="C43" s="104">
        <f>IF([1]Summ!$I1078="",0,[1]Summ!$I1078)</f>
        <v>-80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16.47359660222638</v>
      </c>
      <c r="K43" s="40">
        <f t="shared" si="33"/>
        <v>1.0373174969528799E-3</v>
      </c>
      <c r="L43" s="22">
        <f t="shared" si="34"/>
        <v>2.9044889914680633E-4</v>
      </c>
      <c r="M43" s="24">
        <f t="shared" si="35"/>
        <v>2.1360437491541167E-4</v>
      </c>
      <c r="N43" s="2"/>
      <c r="O43" s="2"/>
      <c r="P43" s="2"/>
      <c r="Q43" s="56"/>
      <c r="R43" s="56"/>
      <c r="S43" s="56"/>
      <c r="T43" s="56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4.1183991505565949</v>
      </c>
      <c r="AB43" s="156">
        <f>Poor!AB43</f>
        <v>0.25</v>
      </c>
      <c r="AC43" s="147">
        <f t="shared" si="41"/>
        <v>4.1183991505565949</v>
      </c>
      <c r="AD43" s="156">
        <f>Poor!AD43</f>
        <v>0.25</v>
      </c>
      <c r="AE43" s="147">
        <f t="shared" si="42"/>
        <v>4.1183991505565949</v>
      </c>
      <c r="AF43" s="122">
        <f t="shared" si="29"/>
        <v>0.25</v>
      </c>
      <c r="AG43" s="147">
        <f t="shared" si="36"/>
        <v>4.1183991505565949</v>
      </c>
      <c r="AH43" s="123">
        <f t="shared" si="37"/>
        <v>1</v>
      </c>
      <c r="AI43" s="112">
        <f t="shared" si="37"/>
        <v>16.47359660222638</v>
      </c>
      <c r="AJ43" s="148">
        <f t="shared" si="38"/>
        <v>8.2367983011131898</v>
      </c>
      <c r="AK43" s="147">
        <f t="shared" si="39"/>
        <v>8.2367983011131898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Agricultural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59"/>
      <c r="R44" s="219"/>
      <c r="S44" s="219"/>
      <c r="T44" s="219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Formal Employment (conservancies, etc.)</v>
      </c>
      <c r="B45" s="104">
        <f>IF([1]Summ!$H1080="",0,[1]Summ!$H1080)</f>
        <v>44160</v>
      </c>
      <c r="C45" s="104">
        <f>IF([1]Summ!$I1080="",0,[1]Summ!$I1080)</f>
        <v>0</v>
      </c>
      <c r="D45" s="38">
        <f t="shared" si="25"/>
        <v>44160</v>
      </c>
      <c r="E45" s="75">
        <f>Poor!E45</f>
        <v>0.6</v>
      </c>
      <c r="F45" s="75">
        <f>Poor!F45</f>
        <v>1.18</v>
      </c>
      <c r="G45" s="75">
        <f>Poor!G45</f>
        <v>1.65</v>
      </c>
      <c r="H45" s="24">
        <f t="shared" si="30"/>
        <v>0.70799999999999996</v>
      </c>
      <c r="I45" s="39">
        <f t="shared" si="31"/>
        <v>31265.279999999999</v>
      </c>
      <c r="J45" s="38">
        <f t="shared" si="32"/>
        <v>31265.279999999999</v>
      </c>
      <c r="K45" s="40">
        <f t="shared" si="33"/>
        <v>0.57259925831798963</v>
      </c>
      <c r="L45" s="22">
        <f t="shared" si="34"/>
        <v>0.40540027488913666</v>
      </c>
      <c r="M45" s="24">
        <f t="shared" si="35"/>
        <v>0.40540027488913666</v>
      </c>
      <c r="N45" s="2"/>
      <c r="O45" s="2"/>
      <c r="P45" s="2"/>
      <c r="Q45" s="2"/>
      <c r="R45" s="2"/>
      <c r="S45" s="2"/>
      <c r="T45" s="69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7816.32</v>
      </c>
      <c r="AB45" s="156">
        <f>Poor!AB45</f>
        <v>0.25</v>
      </c>
      <c r="AC45" s="147">
        <f t="shared" si="41"/>
        <v>7816.32</v>
      </c>
      <c r="AD45" s="156">
        <f>Poor!AD45</f>
        <v>0.25</v>
      </c>
      <c r="AE45" s="147">
        <f t="shared" si="42"/>
        <v>7816.32</v>
      </c>
      <c r="AF45" s="122">
        <f t="shared" si="29"/>
        <v>0.25</v>
      </c>
      <c r="AG45" s="147">
        <f t="shared" si="36"/>
        <v>7816.32</v>
      </c>
      <c r="AH45" s="123">
        <f t="shared" si="37"/>
        <v>1</v>
      </c>
      <c r="AI45" s="112">
        <f t="shared" si="37"/>
        <v>31265.279999999999</v>
      </c>
      <c r="AJ45" s="148">
        <f t="shared" si="38"/>
        <v>15632.64</v>
      </c>
      <c r="AK45" s="147">
        <f t="shared" si="39"/>
        <v>15632.64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Small business -- see Data2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30"/>
        <v>0.94399999999999995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"/>
      <c r="R46" s="2"/>
      <c r="S46" s="2"/>
      <c r="T46" s="69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Social development -- see Data2</v>
      </c>
      <c r="B47" s="104">
        <f>IF([1]Summ!$H1082="",0,[1]Summ!$H1082)</f>
        <v>19932</v>
      </c>
      <c r="C47" s="104">
        <f>IF([1]Summ!$I1082="",0,[1]Summ!$I1082)</f>
        <v>0</v>
      </c>
      <c r="D47" s="38">
        <f t="shared" si="25"/>
        <v>19932</v>
      </c>
      <c r="E47" s="75">
        <f>Poor!E47</f>
        <v>1</v>
      </c>
      <c r="F47" s="75">
        <f>Poor!F47</f>
        <v>1.18</v>
      </c>
      <c r="G47" s="75">
        <f>Poor!G47</f>
        <v>1.65</v>
      </c>
      <c r="H47" s="24">
        <f t="shared" si="30"/>
        <v>1.18</v>
      </c>
      <c r="I47" s="39">
        <f t="shared" si="31"/>
        <v>23519.759999999998</v>
      </c>
      <c r="J47" s="38">
        <f t="shared" si="32"/>
        <v>23519.760000000006</v>
      </c>
      <c r="K47" s="40">
        <f t="shared" si="33"/>
        <v>0.25844765436581002</v>
      </c>
      <c r="L47" s="22">
        <f t="shared" si="34"/>
        <v>0.3049682321516558</v>
      </c>
      <c r="M47" s="24">
        <f t="shared" si="35"/>
        <v>0.30496823215165592</v>
      </c>
      <c r="N47" s="2"/>
      <c r="O47" s="2"/>
      <c r="P47" s="2"/>
      <c r="Q47" s="2"/>
      <c r="R47" s="2"/>
      <c r="S47" s="2"/>
      <c r="T47" s="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5879.9400000000014</v>
      </c>
      <c r="AB47" s="156">
        <f>Poor!AB47</f>
        <v>0.25</v>
      </c>
      <c r="AC47" s="147">
        <f t="shared" si="41"/>
        <v>5879.9400000000014</v>
      </c>
      <c r="AD47" s="156">
        <f>Poor!AD47</f>
        <v>0.25</v>
      </c>
      <c r="AE47" s="147">
        <f t="shared" si="42"/>
        <v>5879.9400000000014</v>
      </c>
      <c r="AF47" s="122">
        <f t="shared" si="29"/>
        <v>0.25</v>
      </c>
      <c r="AG47" s="147">
        <f t="shared" si="36"/>
        <v>5879.9400000000014</v>
      </c>
      <c r="AH47" s="123">
        <f t="shared" si="37"/>
        <v>1</v>
      </c>
      <c r="AI47" s="112">
        <f t="shared" si="37"/>
        <v>23519.760000000006</v>
      </c>
      <c r="AJ47" s="148">
        <f t="shared" si="38"/>
        <v>11759.880000000003</v>
      </c>
      <c r="AK47" s="147">
        <f t="shared" si="39"/>
        <v>11759.880000000003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Public works -- see Data2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"/>
      <c r="R48" s="2"/>
      <c r="S48" s="2"/>
      <c r="T48" s="2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/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"/>
      <c r="R49" s="2"/>
      <c r="S49" s="2"/>
      <c r="T49" s="2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"/>
      <c r="R50" s="2"/>
      <c r="S50" s="2"/>
      <c r="T50" s="2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"/>
      <c r="R51" s="2"/>
      <c r="S51" s="2"/>
      <c r="T51" s="2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"/>
      <c r="S52" s="2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"/>
      <c r="S53" s="2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77122</v>
      </c>
      <c r="C65" s="39">
        <f>SUM(C37:C64)</f>
        <v>470</v>
      </c>
      <c r="D65" s="42">
        <f>SUM(D37:D64)</f>
        <v>77592</v>
      </c>
      <c r="E65" s="32"/>
      <c r="F65" s="32"/>
      <c r="G65" s="32"/>
      <c r="H65" s="31"/>
      <c r="I65" s="39">
        <f>SUM(I37:I64)</f>
        <v>62750.039999999994</v>
      </c>
      <c r="J65" s="39">
        <f>SUM(J37:J64)</f>
        <v>62516.467933889871</v>
      </c>
      <c r="K65" s="40">
        <f>SUM(K37:K64)</f>
        <v>1</v>
      </c>
      <c r="L65" s="22">
        <f>SUM(L37:L64)</f>
        <v>0.80952827986826059</v>
      </c>
      <c r="M65" s="24">
        <f>SUM(M37:M64)</f>
        <v>0.81061782544397021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13706.813397823302</v>
      </c>
      <c r="AB65" s="137"/>
      <c r="AC65" s="153">
        <f>SUM(AC37:AC64)</f>
        <v>13700.378399150559</v>
      </c>
      <c r="AD65" s="137"/>
      <c r="AE65" s="153">
        <f>SUM(AE37:AE64)</f>
        <v>13702.952398619655</v>
      </c>
      <c r="AF65" s="137"/>
      <c r="AG65" s="153">
        <f>SUM(AG37:AG64)</f>
        <v>21406.323738296353</v>
      </c>
      <c r="AH65" s="137"/>
      <c r="AI65" s="153">
        <f>SUM(AI37:AI64)</f>
        <v>62516.467933889871</v>
      </c>
      <c r="AJ65" s="153">
        <f>SUM(AJ37:AJ64)</f>
        <v>27407.191796973861</v>
      </c>
      <c r="AK65" s="153">
        <f>SUM(AK37:AK64)</f>
        <v>35109.276136916007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13550.7255597645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18971.0157836703</v>
      </c>
      <c r="J70" s="51">
        <f t="shared" ref="J70:J77" si="44">J124*I$83</f>
        <v>18971.0157836703</v>
      </c>
      <c r="K70" s="40">
        <f>B70/B$76</f>
        <v>0.17570505899437902</v>
      </c>
      <c r="L70" s="22">
        <f t="shared" ref="L70:L75" si="45">(L124*G$37*F$9/F$7)/B$130</f>
        <v>0.24598708259213065</v>
      </c>
      <c r="M70" s="24">
        <f>J70/B$76</f>
        <v>0.24598708259213065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4742.753945917575</v>
      </c>
      <c r="AB70" s="156">
        <f>Poor!AB70</f>
        <v>0.25</v>
      </c>
      <c r="AC70" s="147">
        <f>$J70*AB70</f>
        <v>4742.753945917575</v>
      </c>
      <c r="AD70" s="156">
        <f>Poor!AD70</f>
        <v>0.25</v>
      </c>
      <c r="AE70" s="147">
        <f>$J70*AD70</f>
        <v>4742.753945917575</v>
      </c>
      <c r="AF70" s="156">
        <f>Poor!AF70</f>
        <v>0.25</v>
      </c>
      <c r="AG70" s="147">
        <f>$J70*AF70</f>
        <v>4742.753945917575</v>
      </c>
      <c r="AH70" s="155">
        <f>SUM(Z70,AB70,AD70,AF70)</f>
        <v>1</v>
      </c>
      <c r="AI70" s="147">
        <f>SUM(AA70,AC70,AE70,AG70)</f>
        <v>18971.0157836703</v>
      </c>
      <c r="AJ70" s="148">
        <f>(AA70+AC70)</f>
        <v>9485.5078918351501</v>
      </c>
      <c r="AK70" s="147">
        <f>(AE70+AG70)</f>
        <v>9485.5078918351501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13631.333333333334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16084.973333333335</v>
      </c>
      <c r="J71" s="51">
        <f t="shared" si="44"/>
        <v>16084.973333333335</v>
      </c>
      <c r="K71" s="40">
        <f t="shared" ref="K71:K72" si="47">B71/B$76</f>
        <v>0.17675025716829612</v>
      </c>
      <c r="L71" s="22">
        <f t="shared" si="45"/>
        <v>0.20856530345858942</v>
      </c>
      <c r="M71" s="24">
        <f t="shared" ref="M71:M72" si="48">J71/B$76</f>
        <v>0.20856530345858945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21180.732119329485</v>
      </c>
      <c r="K72" s="40">
        <f t="shared" si="47"/>
        <v>0.31477399445035137</v>
      </c>
      <c r="L72" s="22">
        <f t="shared" si="45"/>
        <v>0.31136938973112283</v>
      </c>
      <c r="M72" s="24">
        <f t="shared" si="48"/>
        <v>0.27463930032065409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6590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8.544902881149348E-2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699.85799999999995</v>
      </c>
      <c r="AB73" s="156">
        <f>Poor!AB73</f>
        <v>0.09</v>
      </c>
      <c r="AC73" s="147">
        <f>$H$73*$B$73*AB73</f>
        <v>699.85799999999995</v>
      </c>
      <c r="AD73" s="156">
        <f>Poor!AD73</f>
        <v>0.23</v>
      </c>
      <c r="AE73" s="147">
        <f>$H$73*$B$73*AD73</f>
        <v>1788.5260000000001</v>
      </c>
      <c r="AF73" s="156">
        <f>Poor!AF73</f>
        <v>0.59</v>
      </c>
      <c r="AG73" s="147">
        <f>$H$73*$B$73*AF73</f>
        <v>4587.9579999999996</v>
      </c>
      <c r="AH73" s="155">
        <f>SUM(Z73,AB73,AD73,AF73)</f>
        <v>1</v>
      </c>
      <c r="AI73" s="147">
        <f>SUM(AA73,AC73,AE73,AG73)</f>
        <v>7776.2</v>
      </c>
      <c r="AJ73" s="148">
        <f>(AA73+AC73)</f>
        <v>1399.7159999999999</v>
      </c>
      <c r="AK73" s="147">
        <f>(AE73+AG73)</f>
        <v>6376.4839999999995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4919.109822060801</v>
      </c>
      <c r="C74" s="39"/>
      <c r="D74" s="38"/>
      <c r="E74" s="32"/>
      <c r="F74" s="32"/>
      <c r="G74" s="32"/>
      <c r="H74" s="31"/>
      <c r="I74" s="39">
        <f>I128*I$83</f>
        <v>43779.024216329701</v>
      </c>
      <c r="J74" s="51">
        <f t="shared" si="44"/>
        <v>6279.7466975567422</v>
      </c>
      <c r="K74" s="40">
        <f>B74/B$76</f>
        <v>6.3783483598205459E-2</v>
      </c>
      <c r="L74" s="22">
        <f t="shared" si="45"/>
        <v>4.3606504086417766E-2</v>
      </c>
      <c r="M74" s="24">
        <f>J74/B$76</f>
        <v>8.142613907259591E-2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2908.5981309502495</v>
      </c>
      <c r="AB74" s="156"/>
      <c r="AC74" s="147">
        <f>AC30*$I$84/4</f>
        <v>3768.4401225838296</v>
      </c>
      <c r="AD74" s="156"/>
      <c r="AE74" s="147">
        <f>AE30*$I$84/4</f>
        <v>3935.501457429747</v>
      </c>
      <c r="AF74" s="156"/>
      <c r="AG74" s="147">
        <f>AG30*$I$84/4</f>
        <v>3666.551341070754</v>
      </c>
      <c r="AH74" s="155"/>
      <c r="AI74" s="147">
        <f>SUM(AA74,AC74,AE74,AG74)</f>
        <v>14279.091052034581</v>
      </c>
      <c r="AJ74" s="148">
        <f>(AA74+AC74)</f>
        <v>6677.0382535340796</v>
      </c>
      <c r="AK74" s="147">
        <f>(AE74+AG74)</f>
        <v>7602.052798500501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14154.831284841368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0.18353817697727456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21051.624691121862</v>
      </c>
      <c r="AB75" s="158"/>
      <c r="AC75" s="149">
        <f>AA75+AC65-SUM(AC70,AC74)</f>
        <v>26240.80902177102</v>
      </c>
      <c r="AD75" s="158"/>
      <c r="AE75" s="149">
        <f>AC75+AE65-SUM(AE70,AE74)</f>
        <v>31265.50601704335</v>
      </c>
      <c r="AF75" s="158"/>
      <c r="AG75" s="149">
        <f>IF(SUM(AG6:AG29)+((AG65-AG70-$J$75)*4/I$83)&lt;1,0,AG65-AG70-$J$75-(1-SUM(AG6:AG29))*I$83/4)</f>
        <v>14996.163370166385</v>
      </c>
      <c r="AH75" s="134"/>
      <c r="AI75" s="149">
        <f>AI76-SUM(AI70,AI74)</f>
        <v>29266.361098184992</v>
      </c>
      <c r="AJ75" s="151">
        <f>AJ76-SUM(AJ70,AJ74)</f>
        <v>11244.645651604631</v>
      </c>
      <c r="AK75" s="149">
        <f>AJ75+AK76-SUM(AK70,AK74)</f>
        <v>29266.361098184985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77122</v>
      </c>
      <c r="C76" s="39"/>
      <c r="D76" s="38"/>
      <c r="E76" s="32"/>
      <c r="F76" s="32"/>
      <c r="G76" s="32"/>
      <c r="H76" s="31"/>
      <c r="I76" s="39">
        <f>I130*I$83</f>
        <v>62750.04</v>
      </c>
      <c r="J76" s="51">
        <f t="shared" si="44"/>
        <v>62516.467933889864</v>
      </c>
      <c r="K76" s="40">
        <f>SUM(K70:K75)</f>
        <v>1</v>
      </c>
      <c r="L76" s="22">
        <f>SUM(L70:L75)</f>
        <v>0.80952827986826059</v>
      </c>
      <c r="M76" s="24">
        <f>SUM(M70:M75)</f>
        <v>0.8106178254439701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13706.813397823302</v>
      </c>
      <c r="AB76" s="137"/>
      <c r="AC76" s="153">
        <f>AC65</f>
        <v>13700.378399150559</v>
      </c>
      <c r="AD76" s="137"/>
      <c r="AE76" s="153">
        <f>AE65</f>
        <v>13702.952398619655</v>
      </c>
      <c r="AF76" s="137"/>
      <c r="AG76" s="153">
        <f>AG65</f>
        <v>21406.323738296353</v>
      </c>
      <c r="AH76" s="137"/>
      <c r="AI76" s="153">
        <f>SUM(AA76,AC76,AE76,AG76)</f>
        <v>62516.467933889871</v>
      </c>
      <c r="AJ76" s="154">
        <f>SUM(AA76,AC76)</f>
        <v>27407.191796973861</v>
      </c>
      <c r="AK76" s="154">
        <f>SUM(AE76,AG76)</f>
        <v>35109.276136916007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16084.973333333335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14996.163370166385</v>
      </c>
      <c r="AB78" s="112"/>
      <c r="AC78" s="112">
        <f>IF(AA75&lt;0,0,AA75)</f>
        <v>21051.624691121862</v>
      </c>
      <c r="AD78" s="112"/>
      <c r="AE78" s="112">
        <f>AC75</f>
        <v>26240.80902177102</v>
      </c>
      <c r="AF78" s="112"/>
      <c r="AG78" s="112">
        <f>AE75</f>
        <v>31265.50601704335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3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23960.222822072112</v>
      </c>
      <c r="AB79" s="112"/>
      <c r="AC79" s="112">
        <f>AA79-AA74+AC65-AC70</f>
        <v>30009.24914435485</v>
      </c>
      <c r="AD79" s="112"/>
      <c r="AE79" s="112">
        <f>AC79-AC74+AE65-AE70</f>
        <v>35201.007474473095</v>
      </c>
      <c r="AF79" s="112"/>
      <c r="AG79" s="112">
        <f>AE79-AE74+AG65-AG70</f>
        <v>47929.075809422124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0.65272799689315064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3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4.8428173497811375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8076.4635058474078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13326.164784648223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7325.9084755189242</v>
      </c>
      <c r="AB83" s="112"/>
      <c r="AC83" s="165">
        <f>$I$84*AB82/4</f>
        <v>7325.9084755189242</v>
      </c>
      <c r="AD83" s="112"/>
      <c r="AE83" s="165">
        <f>$I$84*AD82/4</f>
        <v>7325.9084755189242</v>
      </c>
      <c r="AF83" s="112"/>
      <c r="AG83" s="165">
        <f>$I$84*AF82/4</f>
        <v>7325.9084755189242</v>
      </c>
      <c r="AH83" s="165">
        <f>SUM(AA83,AC83,AE83,AG83)</f>
        <v>29303.633902075697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7">
        <f>B70+((1-D29)*B83)</f>
        <v>19812.918358798073</v>
      </c>
      <c r="C84" s="46"/>
      <c r="D84" s="238"/>
      <c r="E84" s="64"/>
      <c r="F84" s="64"/>
      <c r="G84" s="64"/>
      <c r="H84" s="239">
        <f>IF(B84=0,0,I84/B84)</f>
        <v>1.4790165371606248</v>
      </c>
      <c r="I84" s="237">
        <f>(B70*H70)+((1-(D29*H29))*I83)</f>
        <v>29303.633902075697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1.4857988265918527</v>
      </c>
      <c r="C91" s="75">
        <f t="shared" si="50"/>
        <v>0</v>
      </c>
      <c r="D91" s="24">
        <f t="shared" ref="D91" si="51">(B91+C91)</f>
        <v>1.4857988265918527</v>
      </c>
      <c r="H91" s="24">
        <f>(E37*F37/G37*F$7/F$9)</f>
        <v>0.3575757575757576</v>
      </c>
      <c r="I91" s="22">
        <f t="shared" ref="I91" si="52">(D91*H91)</f>
        <v>0.53128564102375342</v>
      </c>
      <c r="J91" s="24">
        <f>IF(I$32&lt;=1+I$131,I91,L91+J$33*(I91-L91))</f>
        <v>0.53128564102375342</v>
      </c>
      <c r="K91" s="22">
        <f t="shared" ref="K91" si="53">(B91)</f>
        <v>1.4857988265918527</v>
      </c>
      <c r="L91" s="22">
        <f t="shared" ref="L91" si="54">(K91*H91)</f>
        <v>0.53128564102375342</v>
      </c>
      <c r="M91" s="230">
        <f t="shared" si="49"/>
        <v>0.53128564102375342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0.11143491199438896</v>
      </c>
      <c r="C92" s="75">
        <f t="shared" si="50"/>
        <v>7.4289941329592643E-2</v>
      </c>
      <c r="D92" s="24">
        <f t="shared" ref="D92:D118" si="56">(B92+C92)</f>
        <v>0.18572485332398159</v>
      </c>
      <c r="H92" s="24">
        <f t="shared" ref="H92:H118" si="57">(E38*F38/G38*F$7/F$9)</f>
        <v>0.3575757575757576</v>
      </c>
      <c r="I92" s="22">
        <f t="shared" ref="I92:I118" si="58">(D92*H92)</f>
        <v>6.6410705127969177E-2</v>
      </c>
      <c r="J92" s="24">
        <f t="shared" ref="J92:J118" si="59">IF(I$32&lt;=1+I$131,I92,L92+J$33*(I92-L92))</f>
        <v>4.6874577157476838E-2</v>
      </c>
      <c r="K92" s="22">
        <f t="shared" ref="K92:K118" si="60">(B92)</f>
        <v>0.11143491199438896</v>
      </c>
      <c r="L92" s="22">
        <f t="shared" ref="L92:L118" si="61">(K92*H92)</f>
        <v>3.9846423076781511E-2</v>
      </c>
      <c r="M92" s="230">
        <f t="shared" ref="M92:M118" si="62">(J92)</f>
        <v>4.6874577157476838E-2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Beans: kg produced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0.16969696969696968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30">
        <f t="shared" si="62"/>
        <v>0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Cabbage: no. local meas</v>
      </c>
      <c r="B94" s="75">
        <f t="shared" si="50"/>
        <v>3.09541422206636E-3</v>
      </c>
      <c r="C94" s="75">
        <f t="shared" si="50"/>
        <v>-3.09541422206636E-3</v>
      </c>
      <c r="D94" s="24">
        <f t="shared" si="56"/>
        <v>0</v>
      </c>
      <c r="H94" s="24">
        <f t="shared" si="57"/>
        <v>0.16969696969696968</v>
      </c>
      <c r="I94" s="22">
        <f t="shared" si="58"/>
        <v>0</v>
      </c>
      <c r="J94" s="24">
        <f t="shared" si="59"/>
        <v>3.8630761523572425E-4</v>
      </c>
      <c r="K94" s="22">
        <f t="shared" si="60"/>
        <v>3.09541422206636E-3</v>
      </c>
      <c r="L94" s="22">
        <f t="shared" si="61"/>
        <v>5.2528241344156404E-4</v>
      </c>
      <c r="M94" s="230">
        <f t="shared" si="62"/>
        <v>3.8630761523572425E-4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beetroot: no. local meas</v>
      </c>
      <c r="B95" s="75">
        <f t="shared" si="50"/>
        <v>0</v>
      </c>
      <c r="C95" s="75">
        <f t="shared" si="50"/>
        <v>0</v>
      </c>
      <c r="D95" s="24">
        <f t="shared" si="56"/>
        <v>0</v>
      </c>
      <c r="H95" s="24">
        <f t="shared" si="57"/>
        <v>0.16969696969696968</v>
      </c>
      <c r="I95" s="22">
        <f t="shared" si="58"/>
        <v>0</v>
      </c>
      <c r="J95" s="24">
        <f t="shared" si="59"/>
        <v>0</v>
      </c>
      <c r="K95" s="22">
        <f t="shared" si="60"/>
        <v>0</v>
      </c>
      <c r="L95" s="22">
        <f t="shared" si="61"/>
        <v>0</v>
      </c>
      <c r="M95" s="230">
        <f t="shared" si="62"/>
        <v>0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Other crop: Spinach</v>
      </c>
      <c r="B96" s="75">
        <f t="shared" si="50"/>
        <v>3.09541422206636E-3</v>
      </c>
      <c r="C96" s="75">
        <f t="shared" si="50"/>
        <v>-3.09541422206636E-3</v>
      </c>
      <c r="D96" s="24">
        <f t="shared" si="56"/>
        <v>0</v>
      </c>
      <c r="H96" s="24">
        <f t="shared" si="57"/>
        <v>0.16969696969696968</v>
      </c>
      <c r="I96" s="22">
        <f t="shared" si="58"/>
        <v>0</v>
      </c>
      <c r="J96" s="24">
        <f t="shared" si="59"/>
        <v>3.8630761523572425E-4</v>
      </c>
      <c r="K96" s="22">
        <f t="shared" si="60"/>
        <v>3.09541422206636E-3</v>
      </c>
      <c r="L96" s="22">
        <f t="shared" si="61"/>
        <v>5.2528241344156404E-4</v>
      </c>
      <c r="M96" s="230">
        <f t="shared" si="62"/>
        <v>3.8630761523572425E-4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crop: pumpkin</v>
      </c>
      <c r="B97" s="75">
        <f t="shared" si="50"/>
        <v>9.9053255106123523E-3</v>
      </c>
      <c r="C97" s="75">
        <f t="shared" si="50"/>
        <v>-9.9053255106123523E-3</v>
      </c>
      <c r="D97" s="24">
        <f t="shared" si="56"/>
        <v>0</v>
      </c>
      <c r="H97" s="24">
        <f t="shared" si="57"/>
        <v>0.16969696969696968</v>
      </c>
      <c r="I97" s="22">
        <f t="shared" si="58"/>
        <v>0</v>
      </c>
      <c r="J97" s="24">
        <f t="shared" si="59"/>
        <v>1.2361843687543174E-3</v>
      </c>
      <c r="K97" s="22">
        <f t="shared" si="60"/>
        <v>9.9053255106123523E-3</v>
      </c>
      <c r="L97" s="22">
        <f t="shared" si="61"/>
        <v>1.680903723013005E-3</v>
      </c>
      <c r="M97" s="230">
        <f t="shared" si="62"/>
        <v>1.2361843687543174E-3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0.33636363636363642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30">
        <f t="shared" si="62"/>
        <v>0</v>
      </c>
      <c r="N98" s="232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Formal Employment (conservancies, etc.)</v>
      </c>
      <c r="B99" s="75">
        <f t="shared" si="50"/>
        <v>5.467739681858018</v>
      </c>
      <c r="C99" s="75">
        <f t="shared" si="50"/>
        <v>0</v>
      </c>
      <c r="D99" s="24">
        <f t="shared" si="56"/>
        <v>5.467739681858018</v>
      </c>
      <c r="H99" s="24">
        <f t="shared" si="57"/>
        <v>0.42909090909090908</v>
      </c>
      <c r="I99" s="22">
        <f t="shared" si="58"/>
        <v>2.346157390760895</v>
      </c>
      <c r="J99" s="24">
        <f t="shared" si="59"/>
        <v>2.346157390760895</v>
      </c>
      <c r="K99" s="22">
        <f t="shared" si="60"/>
        <v>5.467739681858018</v>
      </c>
      <c r="L99" s="22">
        <f t="shared" si="61"/>
        <v>2.346157390760895</v>
      </c>
      <c r="M99" s="230">
        <f t="shared" si="62"/>
        <v>2.346157390760895</v>
      </c>
      <c r="N99" s="232">
        <v>8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Small business -- see Data2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0.57212121212121214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30">
        <f t="shared" si="62"/>
        <v>0</v>
      </c>
      <c r="N100" s="232">
        <v>11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Social development -- see Data2</v>
      </c>
      <c r="B101" s="75">
        <f t="shared" si="50"/>
        <v>2.4679118509690676</v>
      </c>
      <c r="C101" s="75">
        <f t="shared" si="50"/>
        <v>0</v>
      </c>
      <c r="D101" s="24">
        <f t="shared" si="56"/>
        <v>2.4679118509690676</v>
      </c>
      <c r="H101" s="24">
        <f t="shared" si="57"/>
        <v>0.7151515151515152</v>
      </c>
      <c r="I101" s="22">
        <f t="shared" si="58"/>
        <v>1.7649308994809092</v>
      </c>
      <c r="J101" s="24">
        <f t="shared" si="59"/>
        <v>1.7649308994809092</v>
      </c>
      <c r="K101" s="22">
        <f t="shared" si="60"/>
        <v>2.4679118509690676</v>
      </c>
      <c r="L101" s="22">
        <f t="shared" si="61"/>
        <v>1.7649308994809092</v>
      </c>
      <c r="M101" s="230">
        <f t="shared" si="62"/>
        <v>1.7649308994809092</v>
      </c>
      <c r="N101" s="232">
        <v>14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Public works -- see Data2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0.7151515151515152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30">
        <f t="shared" si="62"/>
        <v>0</v>
      </c>
      <c r="N102" s="232">
        <v>9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0.60606060606060608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30">
        <f t="shared" si="62"/>
        <v>0</v>
      </c>
      <c r="N103" s="23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30">
        <f t="shared" si="62"/>
        <v>0</v>
      </c>
      <c r="N104" s="23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30">
        <f t="shared" si="62"/>
        <v>0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30">
        <f t="shared" si="62"/>
        <v>0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30">
        <f t="shared" si="62"/>
        <v>0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30">
        <f t="shared" si="62"/>
        <v>0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30">
        <f t="shared" si="62"/>
        <v>0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30">
        <f t="shared" si="62"/>
        <v>0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30">
        <f t="shared" si="62"/>
        <v>0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30">
        <f t="shared" si="62"/>
        <v>0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30">
        <f t="shared" si="62"/>
        <v>0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30">
        <f t="shared" si="62"/>
        <v>0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30">
        <f t="shared" si="62"/>
        <v>0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30">
        <f t="shared" si="62"/>
        <v>0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30">
        <f t="shared" si="62"/>
        <v>0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30">
        <f t="shared" si="62"/>
        <v>0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9.5489814253680727</v>
      </c>
      <c r="C119" s="22">
        <f>SUM(C91:C118)</f>
        <v>5.819378737484758E-2</v>
      </c>
      <c r="D119" s="24">
        <f>SUM(D91:D118)</f>
        <v>9.60717521274292</v>
      </c>
      <c r="E119" s="22"/>
      <c r="F119" s="2"/>
      <c r="G119" s="2"/>
      <c r="H119" s="31"/>
      <c r="I119" s="22">
        <f>SUM(I91:I118)</f>
        <v>4.7087846363935268</v>
      </c>
      <c r="J119" s="24">
        <f>SUM(J91:J118)</f>
        <v>4.6912573080222604</v>
      </c>
      <c r="K119" s="22">
        <f>SUM(K91:K118)</f>
        <v>9.5489814253680727</v>
      </c>
      <c r="L119" s="22">
        <f>SUM(L91:L118)</f>
        <v>4.6849518228922351</v>
      </c>
      <c r="M119" s="57">
        <f t="shared" si="49"/>
        <v>4.6912573080222604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1.6778043446805269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1.4235915651834774</v>
      </c>
      <c r="J124" s="240">
        <f>IF(SUMPRODUCT($B$124:$B124,$H$124:$H124)&lt;J$119,($B124*$H124),J$119)</f>
        <v>1.4235915651834774</v>
      </c>
      <c r="K124" s="22">
        <f>(B124)</f>
        <v>1.6778043446805269</v>
      </c>
      <c r="L124" s="29">
        <f>IF(SUMPRODUCT($B$124:$B124,$H$124:$H124)&lt;L$119,($B124*$H124),L$119)</f>
        <v>1.4235915651834774</v>
      </c>
      <c r="M124" s="57">
        <f t="shared" si="63"/>
        <v>1.4235915651834774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1.6877849226290897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1.2070219446680763</v>
      </c>
      <c r="J125" s="240">
        <f>IF(SUMPRODUCT($B$124:$B125,$H$124:$H125)&lt;J$119,($B125*$H125),IF(SUMPRODUCT($B$124:$B124,$H$124:$H124)&lt;J$119,J$119-SUMPRODUCT($B$124:$B124,$H$124:$H124),0))</f>
        <v>1.2070219446680763</v>
      </c>
      <c r="K125" s="22">
        <f t="shared" ref="K125:K126" si="64">(B125)</f>
        <v>1.6877849226290897</v>
      </c>
      <c r="L125" s="29">
        <f>IF(SUMPRODUCT($B$124:$B125,$H$124:$H125)&lt;L$119,($B125*$H125),IF(SUMPRODUCT($B$124:$B124,$H$124:$H124)&lt;L$119,L$119-SUMPRODUCT($B$124:$B124,$H$124:$H124),0))</f>
        <v>1.2070219446680763</v>
      </c>
      <c r="M125" s="57">
        <f t="shared" ref="M125:M126" si="65">(J125)</f>
        <v>1.2070219446680763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3.0057710261953181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0">
        <f>IF(SUMPRODUCT($B$124:$B126,$H$124:$H126)&lt;(J$119-J$128),($B126*$H126),IF(SUMPRODUCT($B$124:$B125,$H$124:$H125)&lt;(J$119-J$128),J$119-J$128-SUMPRODUCT($B$124:$B125,$H$124:$H125),0))</f>
        <v>1.5894094408715209</v>
      </c>
      <c r="K126" s="22">
        <f t="shared" si="64"/>
        <v>3.0057710261953181</v>
      </c>
      <c r="L126" s="29">
        <f>IF(SUMPRODUCT($B$124:$B126,$H$124:$H126)&lt;(L$119-L$128),($B126*$H126),IF(SUMPRODUCT($B$124:$B125,$H$124:$H125)&lt;(L$119-L$128),L$119-L$128-SUMPRODUCT($B$124:$B125,$H$124:$H125),0))</f>
        <v>1.8019760721034452</v>
      </c>
      <c r="M126" s="57">
        <f t="shared" si="65"/>
        <v>1.5894094408715209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0.8159511889366925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0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0.8159511889366925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0.60906730012453303</v>
      </c>
      <c r="C128" s="2"/>
      <c r="D128" s="31"/>
      <c r="E128" s="2"/>
      <c r="F128" s="2"/>
      <c r="G128" s="2"/>
      <c r="H128" s="24"/>
      <c r="I128" s="29">
        <f>(I30)</f>
        <v>3.2851930712100494</v>
      </c>
      <c r="J128" s="231">
        <f>(J30)</f>
        <v>0.47123435729918539</v>
      </c>
      <c r="K128" s="22">
        <f>(B128)</f>
        <v>0.60906730012453303</v>
      </c>
      <c r="L128" s="22">
        <f>IF(L124=L119,0,(L119-L124)/(B119-B124)*K128)</f>
        <v>0.25236224093723653</v>
      </c>
      <c r="M128" s="57">
        <f t="shared" si="63"/>
        <v>0.47123435729918539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1.7526026428019128</v>
      </c>
      <c r="C129" s="2"/>
      <c r="D129" s="31"/>
      <c r="E129" s="2"/>
      <c r="F129" s="2"/>
      <c r="G129" s="2"/>
      <c r="H129" s="24"/>
      <c r="I129" s="29"/>
      <c r="J129" s="231">
        <f>IF(SUM(J124:J128)&gt;J130,0,J130-SUM(J124:J128))</f>
        <v>0</v>
      </c>
      <c r="K129" s="29">
        <f>(B129)</f>
        <v>1.7526026428019128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9.5489814253680727</v>
      </c>
      <c r="C130" s="2"/>
      <c r="D130" s="31"/>
      <c r="E130" s="2"/>
      <c r="F130" s="2"/>
      <c r="G130" s="2"/>
      <c r="H130" s="24"/>
      <c r="I130" s="29">
        <f>(I119)</f>
        <v>4.7087846363935268</v>
      </c>
      <c r="J130" s="231">
        <f>(J119)</f>
        <v>4.6912573080222604</v>
      </c>
      <c r="K130" s="22">
        <f>(B130)</f>
        <v>9.5489814253680727</v>
      </c>
      <c r="L130" s="22">
        <f>(L119)</f>
        <v>4.6849518228922351</v>
      </c>
      <c r="M130" s="57">
        <f t="shared" si="63"/>
        <v>4.6912573080222604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1.2070219446680763</v>
      </c>
      <c r="J131" s="240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40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309" priority="630" operator="equal">
      <formula>16</formula>
    </cfRule>
    <cfRule type="cellIs" dxfId="308" priority="631" operator="equal">
      <formula>15</formula>
    </cfRule>
    <cfRule type="cellIs" dxfId="307" priority="632" operator="equal">
      <formula>14</formula>
    </cfRule>
    <cfRule type="cellIs" dxfId="306" priority="633" operator="equal">
      <formula>13</formula>
    </cfRule>
    <cfRule type="cellIs" dxfId="305" priority="634" operator="equal">
      <formula>12</formula>
    </cfRule>
    <cfRule type="cellIs" dxfId="304" priority="635" operator="equal">
      <formula>11</formula>
    </cfRule>
    <cfRule type="cellIs" dxfId="303" priority="636" operator="equal">
      <formula>10</formula>
    </cfRule>
    <cfRule type="cellIs" dxfId="302" priority="637" operator="equal">
      <formula>9</formula>
    </cfRule>
    <cfRule type="cellIs" dxfId="301" priority="638" operator="equal">
      <formula>8</formula>
    </cfRule>
    <cfRule type="cellIs" dxfId="300" priority="639" operator="equal">
      <formula>7</formula>
    </cfRule>
    <cfRule type="cellIs" dxfId="299" priority="640" operator="equal">
      <formula>6</formula>
    </cfRule>
    <cfRule type="cellIs" dxfId="298" priority="641" operator="equal">
      <formula>5</formula>
    </cfRule>
    <cfRule type="cellIs" dxfId="297" priority="642" operator="equal">
      <formula>4</formula>
    </cfRule>
    <cfRule type="cellIs" dxfId="296" priority="643" operator="equal">
      <formula>3</formula>
    </cfRule>
    <cfRule type="cellIs" dxfId="295" priority="644" operator="equal">
      <formula>2</formula>
    </cfRule>
    <cfRule type="cellIs" dxfId="294" priority="645" operator="equal">
      <formula>1</formula>
    </cfRule>
  </conditionalFormatting>
  <conditionalFormatting sqref="N29">
    <cfRule type="cellIs" dxfId="293" priority="614" operator="equal">
      <formula>16</formula>
    </cfRule>
    <cfRule type="cellIs" dxfId="292" priority="615" operator="equal">
      <formula>15</formula>
    </cfRule>
    <cfRule type="cellIs" dxfId="291" priority="616" operator="equal">
      <formula>14</formula>
    </cfRule>
    <cfRule type="cellIs" dxfId="290" priority="617" operator="equal">
      <formula>13</formula>
    </cfRule>
    <cfRule type="cellIs" dxfId="289" priority="618" operator="equal">
      <formula>12</formula>
    </cfRule>
    <cfRule type="cellIs" dxfId="288" priority="619" operator="equal">
      <formula>11</formula>
    </cfRule>
    <cfRule type="cellIs" dxfId="287" priority="620" operator="equal">
      <formula>10</formula>
    </cfRule>
    <cfRule type="cellIs" dxfId="286" priority="621" operator="equal">
      <formula>9</formula>
    </cfRule>
    <cfRule type="cellIs" dxfId="285" priority="622" operator="equal">
      <formula>8</formula>
    </cfRule>
    <cfRule type="cellIs" dxfId="284" priority="623" operator="equal">
      <formula>7</formula>
    </cfRule>
    <cfRule type="cellIs" dxfId="283" priority="624" operator="equal">
      <formula>6</formula>
    </cfRule>
    <cfRule type="cellIs" dxfId="282" priority="625" operator="equal">
      <formula>5</formula>
    </cfRule>
    <cfRule type="cellIs" dxfId="281" priority="626" operator="equal">
      <formula>4</formula>
    </cfRule>
    <cfRule type="cellIs" dxfId="280" priority="627" operator="equal">
      <formula>3</formula>
    </cfRule>
    <cfRule type="cellIs" dxfId="279" priority="628" operator="equal">
      <formula>2</formula>
    </cfRule>
    <cfRule type="cellIs" dxfId="278" priority="629" operator="equal">
      <formula>1</formula>
    </cfRule>
  </conditionalFormatting>
  <conditionalFormatting sqref="N27:N28">
    <cfRule type="cellIs" dxfId="277" priority="422" operator="equal">
      <formula>16</formula>
    </cfRule>
    <cfRule type="cellIs" dxfId="276" priority="423" operator="equal">
      <formula>15</formula>
    </cfRule>
    <cfRule type="cellIs" dxfId="275" priority="424" operator="equal">
      <formula>14</formula>
    </cfRule>
    <cfRule type="cellIs" dxfId="274" priority="425" operator="equal">
      <formula>13</formula>
    </cfRule>
    <cfRule type="cellIs" dxfId="273" priority="426" operator="equal">
      <formula>12</formula>
    </cfRule>
    <cfRule type="cellIs" dxfId="272" priority="427" operator="equal">
      <formula>11</formula>
    </cfRule>
    <cfRule type="cellIs" dxfId="271" priority="428" operator="equal">
      <formula>10</formula>
    </cfRule>
    <cfRule type="cellIs" dxfId="270" priority="429" operator="equal">
      <formula>9</formula>
    </cfRule>
    <cfRule type="cellIs" dxfId="269" priority="430" operator="equal">
      <formula>8</formula>
    </cfRule>
    <cfRule type="cellIs" dxfId="268" priority="431" operator="equal">
      <formula>7</formula>
    </cfRule>
    <cfRule type="cellIs" dxfId="267" priority="432" operator="equal">
      <formula>6</formula>
    </cfRule>
    <cfRule type="cellIs" dxfId="266" priority="433" operator="equal">
      <formula>5</formula>
    </cfRule>
    <cfRule type="cellIs" dxfId="265" priority="434" operator="equal">
      <formula>4</formula>
    </cfRule>
    <cfRule type="cellIs" dxfId="264" priority="435" operator="equal">
      <formula>3</formula>
    </cfRule>
    <cfRule type="cellIs" dxfId="263" priority="436" operator="equal">
      <formula>2</formula>
    </cfRule>
    <cfRule type="cellIs" dxfId="262" priority="437" operator="equal">
      <formula>1</formula>
    </cfRule>
  </conditionalFormatting>
  <conditionalFormatting sqref="N114:N118">
    <cfRule type="cellIs" dxfId="261" priority="294" operator="equal">
      <formula>16</formula>
    </cfRule>
    <cfRule type="cellIs" dxfId="260" priority="295" operator="equal">
      <formula>15</formula>
    </cfRule>
    <cfRule type="cellIs" dxfId="259" priority="296" operator="equal">
      <formula>14</formula>
    </cfRule>
    <cfRule type="cellIs" dxfId="258" priority="297" operator="equal">
      <formula>13</formula>
    </cfRule>
    <cfRule type="cellIs" dxfId="257" priority="298" operator="equal">
      <formula>12</formula>
    </cfRule>
    <cfRule type="cellIs" dxfId="256" priority="299" operator="equal">
      <formula>11</formula>
    </cfRule>
    <cfRule type="cellIs" dxfId="255" priority="300" operator="equal">
      <formula>10</formula>
    </cfRule>
    <cfRule type="cellIs" dxfId="254" priority="301" operator="equal">
      <formula>9</formula>
    </cfRule>
    <cfRule type="cellIs" dxfId="253" priority="302" operator="equal">
      <formula>8</formula>
    </cfRule>
    <cfRule type="cellIs" dxfId="252" priority="303" operator="equal">
      <formula>7</formula>
    </cfRule>
    <cfRule type="cellIs" dxfId="251" priority="304" operator="equal">
      <formula>6</formula>
    </cfRule>
    <cfRule type="cellIs" dxfId="250" priority="305" operator="equal">
      <formula>5</formula>
    </cfRule>
    <cfRule type="cellIs" dxfId="249" priority="306" operator="equal">
      <formula>4</formula>
    </cfRule>
    <cfRule type="cellIs" dxfId="248" priority="307" operator="equal">
      <formula>3</formula>
    </cfRule>
    <cfRule type="cellIs" dxfId="247" priority="308" operator="equal">
      <formula>2</formula>
    </cfRule>
    <cfRule type="cellIs" dxfId="246" priority="309" operator="equal">
      <formula>1</formula>
    </cfRule>
  </conditionalFormatting>
  <conditionalFormatting sqref="N6:N26">
    <cfRule type="cellIs" dxfId="245" priority="86" operator="equal">
      <formula>16</formula>
    </cfRule>
    <cfRule type="cellIs" dxfId="244" priority="87" operator="equal">
      <formula>15</formula>
    </cfRule>
    <cfRule type="cellIs" dxfId="243" priority="88" operator="equal">
      <formula>14</formula>
    </cfRule>
    <cfRule type="cellIs" dxfId="242" priority="89" operator="equal">
      <formula>13</formula>
    </cfRule>
    <cfRule type="cellIs" dxfId="241" priority="90" operator="equal">
      <formula>12</formula>
    </cfRule>
    <cfRule type="cellIs" dxfId="240" priority="91" operator="equal">
      <formula>11</formula>
    </cfRule>
    <cfRule type="cellIs" dxfId="239" priority="92" operator="equal">
      <formula>10</formula>
    </cfRule>
    <cfRule type="cellIs" dxfId="238" priority="93" operator="equal">
      <formula>9</formula>
    </cfRule>
    <cfRule type="cellIs" dxfId="237" priority="94" operator="equal">
      <formula>8</formula>
    </cfRule>
    <cfRule type="cellIs" dxfId="236" priority="95" operator="equal">
      <formula>7</formula>
    </cfRule>
    <cfRule type="cellIs" dxfId="235" priority="96" operator="equal">
      <formula>6</formula>
    </cfRule>
    <cfRule type="cellIs" dxfId="234" priority="97" operator="equal">
      <formula>5</formula>
    </cfRule>
    <cfRule type="cellIs" dxfId="233" priority="98" operator="equal">
      <formula>4</formula>
    </cfRule>
    <cfRule type="cellIs" dxfId="232" priority="99" operator="equal">
      <formula>3</formula>
    </cfRule>
    <cfRule type="cellIs" dxfId="231" priority="100" operator="equal">
      <formula>2</formula>
    </cfRule>
    <cfRule type="cellIs" dxfId="230" priority="101" operator="equal">
      <formula>1</formula>
    </cfRule>
  </conditionalFormatting>
  <conditionalFormatting sqref="N113">
    <cfRule type="cellIs" dxfId="229" priority="70" operator="equal">
      <formula>16</formula>
    </cfRule>
    <cfRule type="cellIs" dxfId="228" priority="71" operator="equal">
      <formula>15</formula>
    </cfRule>
    <cfRule type="cellIs" dxfId="227" priority="72" operator="equal">
      <formula>14</formula>
    </cfRule>
    <cfRule type="cellIs" dxfId="226" priority="73" operator="equal">
      <formula>13</formula>
    </cfRule>
    <cfRule type="cellIs" dxfId="225" priority="74" operator="equal">
      <formula>12</formula>
    </cfRule>
    <cfRule type="cellIs" dxfId="224" priority="75" operator="equal">
      <formula>11</formula>
    </cfRule>
    <cfRule type="cellIs" dxfId="223" priority="76" operator="equal">
      <formula>10</formula>
    </cfRule>
    <cfRule type="cellIs" dxfId="222" priority="77" operator="equal">
      <formula>9</formula>
    </cfRule>
    <cfRule type="cellIs" dxfId="221" priority="78" operator="equal">
      <formula>8</formula>
    </cfRule>
    <cfRule type="cellIs" dxfId="220" priority="79" operator="equal">
      <formula>7</formula>
    </cfRule>
    <cfRule type="cellIs" dxfId="219" priority="80" operator="equal">
      <formula>6</formula>
    </cfRule>
    <cfRule type="cellIs" dxfId="218" priority="81" operator="equal">
      <formula>5</formula>
    </cfRule>
    <cfRule type="cellIs" dxfId="217" priority="82" operator="equal">
      <formula>4</formula>
    </cfRule>
    <cfRule type="cellIs" dxfId="216" priority="83" operator="equal">
      <formula>3</formula>
    </cfRule>
    <cfRule type="cellIs" dxfId="215" priority="84" operator="equal">
      <formula>2</formula>
    </cfRule>
    <cfRule type="cellIs" dxfId="214" priority="85" operator="equal">
      <formula>1</formula>
    </cfRule>
  </conditionalFormatting>
  <conditionalFormatting sqref="N112">
    <cfRule type="cellIs" dxfId="213" priority="54" operator="equal">
      <formula>16</formula>
    </cfRule>
    <cfRule type="cellIs" dxfId="212" priority="55" operator="equal">
      <formula>15</formula>
    </cfRule>
    <cfRule type="cellIs" dxfId="211" priority="56" operator="equal">
      <formula>14</formula>
    </cfRule>
    <cfRule type="cellIs" dxfId="210" priority="57" operator="equal">
      <formula>13</formula>
    </cfRule>
    <cfRule type="cellIs" dxfId="209" priority="58" operator="equal">
      <formula>12</formula>
    </cfRule>
    <cfRule type="cellIs" dxfId="208" priority="59" operator="equal">
      <formula>11</formula>
    </cfRule>
    <cfRule type="cellIs" dxfId="207" priority="60" operator="equal">
      <formula>10</formula>
    </cfRule>
    <cfRule type="cellIs" dxfId="206" priority="61" operator="equal">
      <formula>9</formula>
    </cfRule>
    <cfRule type="cellIs" dxfId="205" priority="62" operator="equal">
      <formula>8</formula>
    </cfRule>
    <cfRule type="cellIs" dxfId="204" priority="63" operator="equal">
      <formula>7</formula>
    </cfRule>
    <cfRule type="cellIs" dxfId="203" priority="64" operator="equal">
      <formula>6</formula>
    </cfRule>
    <cfRule type="cellIs" dxfId="202" priority="65" operator="equal">
      <formula>5</formula>
    </cfRule>
    <cfRule type="cellIs" dxfId="201" priority="66" operator="equal">
      <formula>4</formula>
    </cfRule>
    <cfRule type="cellIs" dxfId="200" priority="67" operator="equal">
      <formula>3</formula>
    </cfRule>
    <cfRule type="cellIs" dxfId="199" priority="68" operator="equal">
      <formula>2</formula>
    </cfRule>
    <cfRule type="cellIs" dxfId="198" priority="69" operator="equal">
      <formula>1</formula>
    </cfRule>
  </conditionalFormatting>
  <conditionalFormatting sqref="N111">
    <cfRule type="cellIs" dxfId="197" priority="38" operator="equal">
      <formula>16</formula>
    </cfRule>
    <cfRule type="cellIs" dxfId="196" priority="39" operator="equal">
      <formula>15</formula>
    </cfRule>
    <cfRule type="cellIs" dxfId="195" priority="40" operator="equal">
      <formula>14</formula>
    </cfRule>
    <cfRule type="cellIs" dxfId="194" priority="41" operator="equal">
      <formula>13</formula>
    </cfRule>
    <cfRule type="cellIs" dxfId="193" priority="42" operator="equal">
      <formula>12</formula>
    </cfRule>
    <cfRule type="cellIs" dxfId="192" priority="43" operator="equal">
      <formula>11</formula>
    </cfRule>
    <cfRule type="cellIs" dxfId="191" priority="44" operator="equal">
      <formula>10</formula>
    </cfRule>
    <cfRule type="cellIs" dxfId="190" priority="45" operator="equal">
      <formula>9</formula>
    </cfRule>
    <cfRule type="cellIs" dxfId="189" priority="46" operator="equal">
      <formula>8</formula>
    </cfRule>
    <cfRule type="cellIs" dxfId="188" priority="47" operator="equal">
      <formula>7</formula>
    </cfRule>
    <cfRule type="cellIs" dxfId="187" priority="48" operator="equal">
      <formula>6</formula>
    </cfRule>
    <cfRule type="cellIs" dxfId="186" priority="49" operator="equal">
      <formula>5</formula>
    </cfRule>
    <cfRule type="cellIs" dxfId="185" priority="50" operator="equal">
      <formula>4</formula>
    </cfRule>
    <cfRule type="cellIs" dxfId="184" priority="51" operator="equal">
      <formula>3</formula>
    </cfRule>
    <cfRule type="cellIs" dxfId="183" priority="52" operator="equal">
      <formula>2</formula>
    </cfRule>
    <cfRule type="cellIs" dxfId="182" priority="53" operator="equal">
      <formula>1</formula>
    </cfRule>
  </conditionalFormatting>
  <conditionalFormatting sqref="N91:N104">
    <cfRule type="cellIs" dxfId="181" priority="22" operator="equal">
      <formula>16</formula>
    </cfRule>
    <cfRule type="cellIs" dxfId="180" priority="23" operator="equal">
      <formula>15</formula>
    </cfRule>
    <cfRule type="cellIs" dxfId="179" priority="24" operator="equal">
      <formula>14</formula>
    </cfRule>
    <cfRule type="cellIs" dxfId="178" priority="25" operator="equal">
      <formula>13</formula>
    </cfRule>
    <cfRule type="cellIs" dxfId="177" priority="26" operator="equal">
      <formula>12</formula>
    </cfRule>
    <cfRule type="cellIs" dxfId="176" priority="27" operator="equal">
      <formula>11</formula>
    </cfRule>
    <cfRule type="cellIs" dxfId="175" priority="28" operator="equal">
      <formula>10</formula>
    </cfRule>
    <cfRule type="cellIs" dxfId="174" priority="29" operator="equal">
      <formula>9</formula>
    </cfRule>
    <cfRule type="cellIs" dxfId="173" priority="30" operator="equal">
      <formula>8</formula>
    </cfRule>
    <cfRule type="cellIs" dxfId="172" priority="31" operator="equal">
      <formula>7</formula>
    </cfRule>
    <cfRule type="cellIs" dxfId="171" priority="32" operator="equal">
      <formula>6</formula>
    </cfRule>
    <cfRule type="cellIs" dxfId="170" priority="33" operator="equal">
      <formula>5</formula>
    </cfRule>
    <cfRule type="cellIs" dxfId="169" priority="34" operator="equal">
      <formula>4</formula>
    </cfRule>
    <cfRule type="cellIs" dxfId="168" priority="35" operator="equal">
      <formula>3</formula>
    </cfRule>
    <cfRule type="cellIs" dxfId="167" priority="36" operator="equal">
      <formula>2</formula>
    </cfRule>
    <cfRule type="cellIs" dxfId="166" priority="37" operator="equal">
      <formula>1</formula>
    </cfRule>
  </conditionalFormatting>
  <conditionalFormatting sqref="N105:N110">
    <cfRule type="cellIs" dxfId="165" priority="6" operator="equal">
      <formula>16</formula>
    </cfRule>
    <cfRule type="cellIs" dxfId="164" priority="7" operator="equal">
      <formula>15</formula>
    </cfRule>
    <cfRule type="cellIs" dxfId="163" priority="8" operator="equal">
      <formula>14</formula>
    </cfRule>
    <cfRule type="cellIs" dxfId="162" priority="9" operator="equal">
      <formula>13</formula>
    </cfRule>
    <cfRule type="cellIs" dxfId="161" priority="10" operator="equal">
      <formula>12</formula>
    </cfRule>
    <cfRule type="cellIs" dxfId="160" priority="11" operator="equal">
      <formula>11</formula>
    </cfRule>
    <cfRule type="cellIs" dxfId="159" priority="12" operator="equal">
      <formula>10</formula>
    </cfRule>
    <cfRule type="cellIs" dxfId="158" priority="13" operator="equal">
      <formula>9</formula>
    </cfRule>
    <cfRule type="cellIs" dxfId="157" priority="14" operator="equal">
      <formula>8</formula>
    </cfRule>
    <cfRule type="cellIs" dxfId="156" priority="15" operator="equal">
      <formula>7</formula>
    </cfRule>
    <cfRule type="cellIs" dxfId="155" priority="16" operator="equal">
      <formula>6</formula>
    </cfRule>
    <cfRule type="cellIs" dxfId="154" priority="17" operator="equal">
      <formula>5</formula>
    </cfRule>
    <cfRule type="cellIs" dxfId="153" priority="18" operator="equal">
      <formula>4</formula>
    </cfRule>
    <cfRule type="cellIs" dxfId="152" priority="19" operator="equal">
      <formula>3</formula>
    </cfRule>
    <cfRule type="cellIs" dxfId="151" priority="20" operator="equal">
      <formula>2</formula>
    </cfRule>
    <cfRule type="cellIs" dxfId="150" priority="21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72" activePane="bottomRight" state="frozen"/>
      <selection pane="topRight" activeCell="B1" sqref="B1"/>
      <selection pane="bottomLeft" activeCell="A3" sqref="A3"/>
      <selection pane="bottomRight" activeCell="N103" sqref="N103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ZATGL: 59105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9" t="str">
        <f>Poor!Z2</f>
        <v>Q1</v>
      </c>
      <c r="AA2" s="270"/>
      <c r="AB2" s="269" t="str">
        <f>Poor!AB2</f>
        <v>Q2</v>
      </c>
      <c r="AC2" s="270"/>
      <c r="AD2" s="269" t="str">
        <f>Poor!AD2</f>
        <v>Q3</v>
      </c>
      <c r="AE2" s="270"/>
      <c r="AF2" s="269" t="str">
        <f>Poor!AF2</f>
        <v>Q4</v>
      </c>
      <c r="AG2" s="27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0</v>
      </c>
      <c r="C6" s="102">
        <f>IF([1]Summ!$K1044="",0,[1]Summ!$K1044)</f>
        <v>0</v>
      </c>
      <c r="D6" s="24">
        <f t="shared" ref="D6:D29" si="0">(B6+C6)</f>
        <v>0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 t="e">
        <f t="shared" ref="J6:J13" si="3">IF(I$32&lt;=1+I$131,I6,B6*H6+J$33*(I6-B6*H6))</f>
        <v>#DIV/0!</v>
      </c>
      <c r="K6" s="22">
        <f t="shared" ref="K6:K31" si="4">B6</f>
        <v>0</v>
      </c>
      <c r="L6" s="22">
        <f t="shared" ref="L6:L29" si="5">IF(K6="","",K6*H6)</f>
        <v>0</v>
      </c>
      <c r="M6" s="177" t="e">
        <f t="shared" ref="M6:M31" si="6">J6</f>
        <v>#DIV/0!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 t="e">
        <f>M6*4</f>
        <v>#DIV/0!</v>
      </c>
      <c r="Z6" s="156">
        <f>Poor!Z6</f>
        <v>0.17</v>
      </c>
      <c r="AA6" s="121" t="e">
        <f>$M6*Z6*4</f>
        <v>#DIV/0!</v>
      </c>
      <c r="AB6" s="156">
        <f>Poor!AB6</f>
        <v>0.17</v>
      </c>
      <c r="AC6" s="121" t="e">
        <f t="shared" ref="AC6:AC29" si="7">$M6*AB6*4</f>
        <v>#DIV/0!</v>
      </c>
      <c r="AD6" s="156">
        <f>Poor!AD6</f>
        <v>0.33</v>
      </c>
      <c r="AE6" s="121" t="e">
        <f t="shared" ref="AE6:AE29" si="8">$M6*AD6*4</f>
        <v>#DIV/0!</v>
      </c>
      <c r="AF6" s="122">
        <f>1-SUM(Z6,AB6,AD6)</f>
        <v>0.32999999999999996</v>
      </c>
      <c r="AG6" s="121" t="e">
        <f>$M6*AF6*4</f>
        <v>#DIV/0!</v>
      </c>
      <c r="AH6" s="123">
        <f>SUM(Z6,AB6,AD6,AF6)</f>
        <v>1</v>
      </c>
      <c r="AI6" s="184" t="e">
        <f>SUM(AA6,AC6,AE6,AG6)/4</f>
        <v>#DIV/0!</v>
      </c>
      <c r="AJ6" s="120" t="e">
        <f>(AA6+AC6)/2</f>
        <v>#DIV/0!</v>
      </c>
      <c r="AK6" s="119" t="e">
        <f>(AE6+AG6)/2</f>
        <v>#DIV/0!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0</v>
      </c>
      <c r="J7" s="24" t="e">
        <f t="shared" si="3"/>
        <v>#DIV/0!</v>
      </c>
      <c r="K7" s="22">
        <f t="shared" si="4"/>
        <v>0</v>
      </c>
      <c r="L7" s="22">
        <f t="shared" si="5"/>
        <v>0</v>
      </c>
      <c r="M7" s="177" t="e">
        <f t="shared" si="6"/>
        <v>#DIV/0!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0</v>
      </c>
      <c r="S7" s="225">
        <f>IF($B$81=0,0,(SUMIF($N$6:$N$28,$U7,L$6:L$28)+SUMIF($N$91:$N$118,$U7,L$91:L$118))*$I$83*Poor!$B$81/$B$81)</f>
        <v>0</v>
      </c>
      <c r="T7" s="225">
        <f>IF($B$81=0,0,(SUMIF($N$6:$N$28,$U7,M$6:M$28)+SUMIF($N$91:$N$118,$U7,M$91:M$118))*$I$83*Poor!$B$81/$B$81)</f>
        <v>0</v>
      </c>
      <c r="U7" s="226">
        <v>1</v>
      </c>
      <c r="V7" s="56"/>
      <c r="W7" s="115"/>
      <c r="X7" s="118">
        <f>Poor!X7</f>
        <v>4</v>
      </c>
      <c r="Y7" s="184" t="e">
        <f t="shared" ref="Y7:Y29" si="9">M7*4</f>
        <v>#DIV/0!</v>
      </c>
      <c r="Z7" s="125" t="e">
        <f>IF($Y7=0,0,AA7/$Y7)</f>
        <v>#DIV/0!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 t="e">
        <f>IF($Y7=0,0,AC7/$Y7)</f>
        <v>#DIV/0!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 t="e">
        <f>IF($Y7=0,0,AE7/$Y7)</f>
        <v>#DIV/0!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 t="e">
        <f t="shared" ref="AF7:AF29" si="10">1-SUM(Z7,AB7,AD7)</f>
        <v>#DIV/0!</v>
      </c>
      <c r="AG7" s="121" t="e">
        <f t="shared" ref="AG7:AG29" si="11">$M7*AF7*4</f>
        <v>#DIV/0!</v>
      </c>
      <c r="AH7" s="123" t="e">
        <f t="shared" ref="AH7:AH30" si="12">SUM(Z7,AB7,AD7,AF7)</f>
        <v>#DIV/0!</v>
      </c>
      <c r="AI7" s="184" t="e">
        <f t="shared" ref="AI7:AI30" si="13">SUM(AA7,AC7,AE7,AG7)/4</f>
        <v>#DIV/0!</v>
      </c>
      <c r="AJ7" s="120">
        <f t="shared" ref="AJ7:AJ31" si="14">(AA7+AC7)/2</f>
        <v>0</v>
      </c>
      <c r="AK7" s="119" t="e">
        <f t="shared" ref="AK7:AK31" si="15">(AE7+AG7)/2</f>
        <v>#DIV/0!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0</v>
      </c>
      <c r="C8" s="102">
        <f>IF([1]Summ!$K1046="",0,[1]Summ!$K1046)</f>
        <v>0</v>
      </c>
      <c r="D8" s="24">
        <f t="shared" si="0"/>
        <v>0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0</v>
      </c>
      <c r="J8" s="24" t="e">
        <f t="shared" si="3"/>
        <v>#DIV/0!</v>
      </c>
      <c r="K8" s="22">
        <f t="shared" si="4"/>
        <v>0</v>
      </c>
      <c r="L8" s="22">
        <f t="shared" si="5"/>
        <v>0</v>
      </c>
      <c r="M8" s="227" t="e">
        <f t="shared" si="6"/>
        <v>#DIV/0!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0</v>
      </c>
      <c r="S8" s="225">
        <f>IF($B$81=0,0,(SUMIF($N$6:$N$28,$U8,L$6:L$28)+SUMIF($N$91:$N$118,$U8,L$91:L$118))*$I$83*Poor!$B$81/$B$81)</f>
        <v>0</v>
      </c>
      <c r="T8" s="225">
        <f>IF($B$81=0,0,(SUMIF($N$6:$N$28,$U8,M$6:M$28)+SUMIF($N$91:$N$118,$U8,M$91:M$118))*$I$83*Poor!$B$81/$B$81)</f>
        <v>0</v>
      </c>
      <c r="U8" s="226">
        <v>2</v>
      </c>
      <c r="V8" s="56"/>
      <c r="W8" s="115"/>
      <c r="X8" s="118">
        <f>Poor!X8</f>
        <v>1</v>
      </c>
      <c r="Y8" s="184" t="e">
        <f t="shared" si="9"/>
        <v>#DIV/0!</v>
      </c>
      <c r="Z8" s="125" t="e">
        <f>IF($Y8=0,0,AA8/$Y8)</f>
        <v>#DIV/0!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 t="e">
        <f>IF($Y8=0,0,AC8/$Y8)</f>
        <v>#DIV/0!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 t="e">
        <f>IF($Y8=0,0,AE8/$Y8)</f>
        <v>#DIV/0!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 t="e">
        <f t="shared" si="10"/>
        <v>#DIV/0!</v>
      </c>
      <c r="AG8" s="121" t="e">
        <f t="shared" si="11"/>
        <v>#DIV/0!</v>
      </c>
      <c r="AH8" s="123" t="e">
        <f t="shared" si="12"/>
        <v>#DIV/0!</v>
      </c>
      <c r="AI8" s="184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Middle!E9</f>
        <v>0.3</v>
      </c>
      <c r="F9" s="76">
        <f>Poor!F9</f>
        <v>8800</v>
      </c>
      <c r="H9" s="24">
        <f t="shared" si="1"/>
        <v>0.3</v>
      </c>
      <c r="I9" s="22">
        <f t="shared" si="2"/>
        <v>0</v>
      </c>
      <c r="J9" s="24" t="e">
        <f t="shared" si="3"/>
        <v>#DIV/0!</v>
      </c>
      <c r="K9" s="22">
        <f t="shared" si="4"/>
        <v>0</v>
      </c>
      <c r="L9" s="22">
        <f t="shared" si="5"/>
        <v>0</v>
      </c>
      <c r="M9" s="227" t="e">
        <f t="shared" si="6"/>
        <v>#DIV/0!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0</v>
      </c>
      <c r="S9" s="225">
        <f>IF($B$81=0,0,(SUMIF($N$6:$N$28,$U9,L$6:L$28)+SUMIF($N$91:$N$118,$U9,L$91:L$118))*$I$83*Poor!$B$81/$B$81)</f>
        <v>0</v>
      </c>
      <c r="T9" s="225">
        <f>IF($B$81=0,0,(SUMIF($N$6:$N$28,$U9,M$6:M$28)+SUMIF($N$91:$N$118,$U9,M$91:M$118))*$I$83*Poor!$B$81/$B$81)</f>
        <v>0</v>
      </c>
      <c r="U9" s="226">
        <v>3</v>
      </c>
      <c r="V9" s="56"/>
      <c r="W9" s="115"/>
      <c r="X9" s="118">
        <f>Poor!X9</f>
        <v>1</v>
      </c>
      <c r="Y9" s="184" t="e">
        <f t="shared" si="9"/>
        <v>#DIV/0!</v>
      </c>
      <c r="Z9" s="125" t="e">
        <f>IF($Y9=0,0,AA9/$Y9)</f>
        <v>#DIV/0!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 t="e">
        <f>IF($Y9=0,0,AC9/$Y9)</f>
        <v>#DIV/0!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 t="e">
        <f>IF($Y9=0,0,AE9/$Y9)</f>
        <v>#DIV/0!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 t="e">
        <f t="shared" si="10"/>
        <v>#DIV/0!</v>
      </c>
      <c r="AG9" s="121" t="e">
        <f t="shared" si="11"/>
        <v>#DIV/0!</v>
      </c>
      <c r="AH9" s="123" t="e">
        <f t="shared" si="12"/>
        <v>#DIV/0!</v>
      </c>
      <c r="AI9" s="184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Beans: kg produced</v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Middle!E10</f>
        <v>0.2</v>
      </c>
      <c r="H10" s="24">
        <f t="shared" si="1"/>
        <v>0.2</v>
      </c>
      <c r="I10" s="22">
        <f t="shared" si="2"/>
        <v>0</v>
      </c>
      <c r="J10" s="24" t="e">
        <f t="shared" si="3"/>
        <v>#DIV/0!</v>
      </c>
      <c r="K10" s="22">
        <f t="shared" si="4"/>
        <v>0</v>
      </c>
      <c r="L10" s="22">
        <f t="shared" si="5"/>
        <v>0</v>
      </c>
      <c r="M10" s="227" t="e">
        <f t="shared" si="6"/>
        <v>#DIV/0!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IF($B$81=0,0,(SUMIF($N$6:$N$28,$U10,L$6:L$28)+SUMIF($N$91:$N$118,$U10,L$91:L$118))*$I$83*Poor!$B$81/$B$81)</f>
        <v>0</v>
      </c>
      <c r="T10" s="225">
        <f>IF($B$81=0,0,(SUMIF($N$6:$N$28,$U10,M$6:M$28)+SUMIF($N$91:$N$118,$U10,M$91:M$118))*$I$83*Poor!$B$81/$B$81)</f>
        <v>0</v>
      </c>
      <c r="U10" s="226">
        <v>4</v>
      </c>
      <c r="V10" s="56"/>
      <c r="W10" s="115"/>
      <c r="X10" s="118">
        <f>Poor!X10</f>
        <v>1</v>
      </c>
      <c r="Y10" s="184" t="e">
        <f t="shared" si="9"/>
        <v>#DIV/0!</v>
      </c>
      <c r="Z10" s="125" t="e">
        <f>IF($Y10=0,0,AA10/$Y10)</f>
        <v>#DIV/0!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 t="e">
        <f>IF($Y10=0,0,AC10/$Y10)</f>
        <v>#DIV/0!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 t="e">
        <f>IF($Y10=0,0,AE10/$Y10)</f>
        <v>#DIV/0!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 t="e">
        <f t="shared" si="10"/>
        <v>#DIV/0!</v>
      </c>
      <c r="AG10" s="121" t="e">
        <f t="shared" si="11"/>
        <v>#DIV/0!</v>
      </c>
      <c r="AH10" s="123" t="e">
        <f t="shared" si="12"/>
        <v>#DIV/0!</v>
      </c>
      <c r="AI10" s="184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Potatoes: no. local meas</v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0.2</v>
      </c>
      <c r="H11" s="24">
        <f t="shared" si="1"/>
        <v>0.2</v>
      </c>
      <c r="I11" s="22">
        <f t="shared" si="2"/>
        <v>0</v>
      </c>
      <c r="J11" s="24" t="e">
        <f t="shared" si="3"/>
        <v>#DIV/0!</v>
      </c>
      <c r="K11" s="22">
        <f t="shared" si="4"/>
        <v>0</v>
      </c>
      <c r="L11" s="22">
        <f t="shared" si="5"/>
        <v>0</v>
      </c>
      <c r="M11" s="227" t="e">
        <f t="shared" si="6"/>
        <v>#DIV/0!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0</v>
      </c>
      <c r="S11" s="225">
        <f>IF($B$81=0,0,(SUMIF($N$6:$N$28,$U11,L$6:L$28)+SUMIF($N$91:$N$118,$U11,L$91:L$118))*$I$83*Poor!$B$81/$B$81)</f>
        <v>0</v>
      </c>
      <c r="T11" s="225">
        <f>IF($B$81=0,0,(SUMIF($N$6:$N$28,$U11,M$6:M$28)+SUMIF($N$91:$N$118,$U11,M$91:M$118))*$I$83*Poor!$B$81/$B$81)</f>
        <v>0</v>
      </c>
      <c r="U11" s="226">
        <v>5</v>
      </c>
      <c r="V11" s="56"/>
      <c r="W11" s="115"/>
      <c r="X11" s="118">
        <f>Poor!X11</f>
        <v>1</v>
      </c>
      <c r="Y11" s="184" t="e">
        <f t="shared" si="9"/>
        <v>#DIV/0!</v>
      </c>
      <c r="Z11" s="125" t="e">
        <f>IF($Y11=0,0,AA11/$Y11)</f>
        <v>#DIV/0!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 t="e">
        <f>IF($Y11=0,0,AC11/$Y11)</f>
        <v>#DIV/0!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 t="e">
        <f>IF($Y11=0,0,AE11/$Y11)</f>
        <v>#DIV/0!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 t="e">
        <f t="shared" si="10"/>
        <v>#DIV/0!</v>
      </c>
      <c r="AG11" s="121" t="e">
        <f t="shared" si="11"/>
        <v>#DIV/0!</v>
      </c>
      <c r="AH11" s="123" t="e">
        <f t="shared" si="12"/>
        <v>#DIV/0!</v>
      </c>
      <c r="AI11" s="184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Cabbage: no. local meas</v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0.2</v>
      </c>
      <c r="H12" s="24">
        <f t="shared" si="1"/>
        <v>0.2</v>
      </c>
      <c r="I12" s="22">
        <f t="shared" si="2"/>
        <v>0</v>
      </c>
      <c r="J12" s="24" t="e">
        <f t="shared" si="3"/>
        <v>#DIV/0!</v>
      </c>
      <c r="K12" s="22">
        <f t="shared" si="4"/>
        <v>0</v>
      </c>
      <c r="L12" s="22">
        <f t="shared" si="5"/>
        <v>0</v>
      </c>
      <c r="M12" s="227" t="e">
        <f t="shared" si="6"/>
        <v>#DIV/0!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0</v>
      </c>
      <c r="S12" s="225">
        <f>IF($B$81=0,0,(SUMIF($N$6:$N$28,$U12,L$6:L$28)+SUMIF($N$91:$N$118,$U12,L$91:L$118))*$I$83*Poor!$B$81/$B$81)</f>
        <v>0</v>
      </c>
      <c r="T12" s="225">
        <f>IF($B$81=0,0,(SUMIF($N$6:$N$28,$U12,M$6:M$28)+SUMIF($N$91:$N$118,$U12,M$91:M$118))*$I$83*Poor!$B$81/$B$81)</f>
        <v>0</v>
      </c>
      <c r="U12" s="226">
        <v>6</v>
      </c>
      <c r="V12" s="56"/>
      <c r="W12" s="117"/>
      <c r="X12" s="118"/>
      <c r="Y12" s="184" t="e">
        <f t="shared" si="9"/>
        <v>#DIV/0!</v>
      </c>
      <c r="Z12" s="156">
        <f>Poor!Z12</f>
        <v>0</v>
      </c>
      <c r="AA12" s="121" t="e">
        <f>$M12*Z12*4</f>
        <v>#DIV/0!</v>
      </c>
      <c r="AB12" s="156">
        <f>Poor!AB12</f>
        <v>0</v>
      </c>
      <c r="AC12" s="121" t="e">
        <f>$M12*AB12*4</f>
        <v>#DIV/0!</v>
      </c>
      <c r="AD12" s="156">
        <f>Poor!AD12</f>
        <v>0.67</v>
      </c>
      <c r="AE12" s="121" t="e">
        <f>$M12*AD12*4</f>
        <v>#DIV/0!</v>
      </c>
      <c r="AF12" s="122">
        <f>1-SUM(Z12,AB12,AD12)</f>
        <v>0.32999999999999996</v>
      </c>
      <c r="AG12" s="121" t="e">
        <f>$M12*AF12*4</f>
        <v>#DIV/0!</v>
      </c>
      <c r="AH12" s="123">
        <f t="shared" si="12"/>
        <v>1</v>
      </c>
      <c r="AI12" s="184" t="e">
        <f t="shared" si="13"/>
        <v>#DIV/0!</v>
      </c>
      <c r="AJ12" s="120" t="e">
        <f t="shared" si="14"/>
        <v>#DIV/0!</v>
      </c>
      <c r="AK12" s="119" t="e">
        <f t="shared" si="15"/>
        <v>#DIV/0!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beetroot: no. local meas</v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0.2</v>
      </c>
      <c r="H13" s="24">
        <f t="shared" si="1"/>
        <v>0.2</v>
      </c>
      <c r="I13" s="22">
        <f t="shared" si="2"/>
        <v>0</v>
      </c>
      <c r="J13" s="24" t="e">
        <f t="shared" si="3"/>
        <v>#DIV/0!</v>
      </c>
      <c r="K13" s="22">
        <f t="shared" si="4"/>
        <v>0</v>
      </c>
      <c r="L13" s="22">
        <f t="shared" si="5"/>
        <v>0</v>
      </c>
      <c r="M13" s="228" t="e">
        <f t="shared" si="6"/>
        <v>#DIV/0!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0</v>
      </c>
      <c r="S13" s="225">
        <f>IF($B$81=0,0,(SUMIF($N$6:$N$28,$U13,L$6:L$28)+SUMIF($N$91:$N$118,$U13,L$91:L$118))*$I$83*Poor!$B$81/$B$81)</f>
        <v>0</v>
      </c>
      <c r="T13" s="225">
        <f>IF($B$81=0,0,(SUMIF($N$6:$N$28,$U13,M$6:M$28)+SUMIF($N$91:$N$118,$U13,M$91:M$118))*$I$83*Poor!$B$81/$B$81)</f>
        <v>0</v>
      </c>
      <c r="U13" s="226">
        <v>7</v>
      </c>
      <c r="V13" s="56"/>
      <c r="W13" s="110"/>
      <c r="X13" s="118"/>
      <c r="Y13" s="184" t="e">
        <f t="shared" si="9"/>
        <v>#DIV/0!</v>
      </c>
      <c r="Z13" s="156">
        <f>Poor!Z13</f>
        <v>1</v>
      </c>
      <c r="AA13" s="121" t="e">
        <f>$M13*Z13*4</f>
        <v>#DIV/0!</v>
      </c>
      <c r="AB13" s="156">
        <f>Poor!AB13</f>
        <v>0</v>
      </c>
      <c r="AC13" s="121" t="e">
        <f>$M13*AB13*4</f>
        <v>#DIV/0!</v>
      </c>
      <c r="AD13" s="156">
        <f>Poor!AD13</f>
        <v>0</v>
      </c>
      <c r="AE13" s="121" t="e">
        <f>$M13*AD13*4</f>
        <v>#DIV/0!</v>
      </c>
      <c r="AF13" s="122">
        <f>1-SUM(Z13,AB13,AD13)</f>
        <v>0</v>
      </c>
      <c r="AG13" s="121" t="e">
        <f>$M13*AF13*4</f>
        <v>#DIV/0!</v>
      </c>
      <c r="AH13" s="123">
        <f t="shared" si="12"/>
        <v>1</v>
      </c>
      <c r="AI13" s="184" t="e">
        <f t="shared" si="13"/>
        <v>#DIV/0!</v>
      </c>
      <c r="AJ13" s="120" t="e">
        <f t="shared" si="14"/>
        <v>#DIV/0!</v>
      </c>
      <c r="AK13" s="119" t="e">
        <f t="shared" si="15"/>
        <v>#DIV/0!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Groundnuts (dry): no. local meas</v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0.2</v>
      </c>
      <c r="F14" s="22"/>
      <c r="H14" s="24">
        <f t="shared" si="1"/>
        <v>0.2</v>
      </c>
      <c r="I14" s="22">
        <f t="shared" si="2"/>
        <v>0</v>
      </c>
      <c r="J14" s="24" t="e">
        <f>IF(I$32&lt;=1+I131,I14,B14*H14+J$33*(I14-B14*H14))</f>
        <v>#DIV/0!</v>
      </c>
      <c r="K14" s="22">
        <f t="shared" si="4"/>
        <v>0</v>
      </c>
      <c r="L14" s="22">
        <f t="shared" si="5"/>
        <v>0</v>
      </c>
      <c r="M14" s="228" t="e">
        <f t="shared" si="6"/>
        <v>#DIV/0!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0</v>
      </c>
      <c r="S14" s="225">
        <f>IF($B$81=0,0,(SUMIF($N$6:$N$28,$U14,L$6:L$28)+SUMIF($N$91:$N$118,$U14,L$91:L$118))*$I$83*Poor!$B$81/$B$81)</f>
        <v>0</v>
      </c>
      <c r="T14" s="225">
        <f>IF($B$81=0,0,(SUMIF($N$6:$N$28,$U14,M$6:M$28)+SUMIF($N$91:$N$118,$U14,M$91:M$118))*$I$83*Poor!$B$81/$B$81)</f>
        <v>0</v>
      </c>
      <c r="U14" s="226">
        <v>8</v>
      </c>
      <c r="V14" s="56"/>
      <c r="W14" s="110"/>
      <c r="X14" s="118"/>
      <c r="Y14" s="184" t="e">
        <f>M14*4</f>
        <v>#DIV/0!</v>
      </c>
      <c r="Z14" s="156">
        <f>Poor!Z14</f>
        <v>0</v>
      </c>
      <c r="AA14" s="121" t="e">
        <f t="shared" ref="AA14:AA29" si="16">$M14*Z14*4</f>
        <v>#DIV/0!</v>
      </c>
      <c r="AB14" s="156">
        <f>Poor!AB14</f>
        <v>1</v>
      </c>
      <c r="AC14" s="121" t="e">
        <f t="shared" si="7"/>
        <v>#DIV/0!</v>
      </c>
      <c r="AD14" s="156">
        <f>Poor!AD14</f>
        <v>0</v>
      </c>
      <c r="AE14" s="121" t="e">
        <f t="shared" si="8"/>
        <v>#DIV/0!</v>
      </c>
      <c r="AF14" s="122">
        <f t="shared" si="10"/>
        <v>0</v>
      </c>
      <c r="AG14" s="121" t="e">
        <f t="shared" si="11"/>
        <v>#DIV/0!</v>
      </c>
      <c r="AH14" s="128">
        <f>SUM(Z14,AB14,AD14,AF14)</f>
        <v>1</v>
      </c>
      <c r="AI14" s="184" t="e">
        <f>SUM(AA14,AC14,AE14,AG14)/4</f>
        <v>#DIV/0!</v>
      </c>
      <c r="AJ14" s="120" t="e">
        <f t="shared" si="14"/>
        <v>#DIV/0!</v>
      </c>
      <c r="AK14" s="119" t="e">
        <f t="shared" si="15"/>
        <v>#DIV/0!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Cow peas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0.2</v>
      </c>
      <c r="F15" s="22"/>
      <c r="H15" s="24">
        <f t="shared" si="1"/>
        <v>0.2</v>
      </c>
      <c r="I15" s="22">
        <f t="shared" si="2"/>
        <v>0</v>
      </c>
      <c r="J15" s="24" t="e">
        <f>IF(I$32&lt;=1+I131,I15,B15*H15+J$33*(I15-B15*H15))</f>
        <v>#DIV/0!</v>
      </c>
      <c r="K15" s="22">
        <f t="shared" si="4"/>
        <v>0</v>
      </c>
      <c r="L15" s="22">
        <f t="shared" si="5"/>
        <v>0</v>
      </c>
      <c r="M15" s="229" t="e">
        <f t="shared" si="6"/>
        <v>#DIV/0!</v>
      </c>
      <c r="N15" s="232">
        <v>1</v>
      </c>
      <c r="O15" s="2"/>
      <c r="P15" s="22"/>
      <c r="Q15" s="59" t="s">
        <v>126</v>
      </c>
      <c r="R15" s="225">
        <f>IF($B$81=0,0,(SUMIF($N$6:$N$28,$U15,K$6:K$28)+SUMIF($N$91:$N$118,$U15,K$91:K$118))*$B$83*$H$84*Poor!$B$81/$B$81)</f>
        <v>0</v>
      </c>
      <c r="S15" s="225">
        <f>IF($B$81=0,0,(SUMIF($N$6:$N$28,$U15,L$6:L$28)+SUMIF($N$91:$N$118,$U15,L$91:L$118))*$I$83*Poor!$B$81/$B$81)</f>
        <v>0</v>
      </c>
      <c r="T15" s="225">
        <f>IF($B$81=0,0,(SUMIF($N$6:$N$28,$U15,M$6:M$28)+SUMIF($N$91:$N$118,$U15,M$91:M$118))*$I$83*Poor!$B$81/$B$81)</f>
        <v>0</v>
      </c>
      <c r="U15" s="226">
        <v>9</v>
      </c>
      <c r="V15" s="56"/>
      <c r="W15" s="110"/>
      <c r="X15" s="118"/>
      <c r="Y15" s="184" t="e">
        <f t="shared" si="9"/>
        <v>#DIV/0!</v>
      </c>
      <c r="Z15" s="156">
        <f>Poor!Z15</f>
        <v>0.25</v>
      </c>
      <c r="AA15" s="121" t="e">
        <f t="shared" si="16"/>
        <v>#DIV/0!</v>
      </c>
      <c r="AB15" s="156">
        <f>Poor!AB15</f>
        <v>0.25</v>
      </c>
      <c r="AC15" s="121" t="e">
        <f t="shared" si="7"/>
        <v>#DIV/0!</v>
      </c>
      <c r="AD15" s="156">
        <f>Poor!AD15</f>
        <v>0.25</v>
      </c>
      <c r="AE15" s="121" t="e">
        <f t="shared" si="8"/>
        <v>#DIV/0!</v>
      </c>
      <c r="AF15" s="122">
        <f t="shared" si="10"/>
        <v>0.25</v>
      </c>
      <c r="AG15" s="121" t="e">
        <f t="shared" si="11"/>
        <v>#DIV/0!</v>
      </c>
      <c r="AH15" s="123">
        <f t="shared" si="12"/>
        <v>1</v>
      </c>
      <c r="AI15" s="184" t="e">
        <f t="shared" si="13"/>
        <v>#DIV/0!</v>
      </c>
      <c r="AJ15" s="120" t="e">
        <f t="shared" si="14"/>
        <v>#DIV/0!</v>
      </c>
      <c r="AK15" s="119" t="e">
        <f t="shared" si="15"/>
        <v>#DIV/0!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Spinach</v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0.2</v>
      </c>
      <c r="F16" s="22"/>
      <c r="H16" s="24">
        <f t="shared" si="1"/>
        <v>0.2</v>
      </c>
      <c r="I16" s="22">
        <f t="shared" si="2"/>
        <v>0</v>
      </c>
      <c r="J16" s="24" t="e">
        <f>IF(I$32&lt;=1+I131,I16,B16*H16+J$33*(I16-B16*H16))</f>
        <v>#DIV/0!</v>
      </c>
      <c r="K16" s="22">
        <f t="shared" si="4"/>
        <v>0</v>
      </c>
      <c r="L16" s="22">
        <f t="shared" si="5"/>
        <v>0</v>
      </c>
      <c r="M16" s="227" t="e">
        <f t="shared" si="6"/>
        <v>#DIV/0!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IF($B$81=0,0,(SUMIF($N$6:$N$28,$U16,L$6:L$28)+SUMIF($N$91:$N$118,$U16,L$91:L$118))*$I$83*Poor!$B$81/$B$81)</f>
        <v>0</v>
      </c>
      <c r="T16" s="225">
        <f>IF($B$81=0,0,(SUMIF($N$6:$N$28,$U16,M$6:M$28)+SUMIF($N$91:$N$118,$U16,M$91:M$118))*$I$83*Poor!$B$81/$B$81)</f>
        <v>0</v>
      </c>
      <c r="U16" s="226">
        <v>10</v>
      </c>
      <c r="V16" s="56"/>
      <c r="W16" s="110"/>
      <c r="X16" s="118"/>
      <c r="Y16" s="184" t="e">
        <f t="shared" si="9"/>
        <v>#DIV/0!</v>
      </c>
      <c r="Z16" s="156">
        <f>Poor!Z16</f>
        <v>0</v>
      </c>
      <c r="AA16" s="121" t="e">
        <f t="shared" si="16"/>
        <v>#DIV/0!</v>
      </c>
      <c r="AB16" s="156">
        <f>Poor!AB16</f>
        <v>0</v>
      </c>
      <c r="AC16" s="121" t="e">
        <f t="shared" si="7"/>
        <v>#DIV/0!</v>
      </c>
      <c r="AD16" s="156">
        <f>Poor!AD16</f>
        <v>0</v>
      </c>
      <c r="AE16" s="121" t="e">
        <f t="shared" si="8"/>
        <v>#DIV/0!</v>
      </c>
      <c r="AF16" s="122">
        <f t="shared" si="10"/>
        <v>1</v>
      </c>
      <c r="AG16" s="121" t="e">
        <f t="shared" si="11"/>
        <v>#DIV/0!</v>
      </c>
      <c r="AH16" s="123">
        <f t="shared" si="12"/>
        <v>1</v>
      </c>
      <c r="AI16" s="184" t="e">
        <f t="shared" si="13"/>
        <v>#DIV/0!</v>
      </c>
      <c r="AJ16" s="120" t="e">
        <f t="shared" si="14"/>
        <v>#DIV/0!</v>
      </c>
      <c r="AK16" s="119" t="e">
        <f t="shared" si="15"/>
        <v>#DIV/0!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pumpkin</v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0.2</v>
      </c>
      <c r="F17" s="22"/>
      <c r="H17" s="24">
        <f t="shared" si="1"/>
        <v>0.2</v>
      </c>
      <c r="I17" s="22">
        <f t="shared" si="2"/>
        <v>0</v>
      </c>
      <c r="J17" s="24" t="e">
        <f t="shared" ref="J17:J25" si="17">IF(I$32&lt;=1+I131,I17,B17*H17+J$33*(I17-B17*H17))</f>
        <v>#DIV/0!</v>
      </c>
      <c r="K17" s="22">
        <f t="shared" si="4"/>
        <v>0</v>
      </c>
      <c r="L17" s="22">
        <f t="shared" si="5"/>
        <v>0</v>
      </c>
      <c r="M17" s="228" t="e">
        <f t="shared" si="6"/>
        <v>#DIV/0!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0</v>
      </c>
      <c r="S17" s="225">
        <f>IF($B$81=0,0,(SUMIF($N$6:$N$28,$U17,L$6:L$28)+SUMIF($N$91:$N$118,$U17,L$91:L$118))*$I$83*Poor!$B$81/$B$81)</f>
        <v>0</v>
      </c>
      <c r="T17" s="225">
        <f>IF($B$81=0,0,(SUMIF($N$6:$N$28,$U17,M$6:M$28)+SUMIF($N$91:$N$118,$U17,M$91:M$118))*$I$83*Poor!$B$81/$B$81)</f>
        <v>0</v>
      </c>
      <c r="U17" s="226">
        <v>11</v>
      </c>
      <c r="V17" s="56"/>
      <c r="W17" s="110"/>
      <c r="X17" s="118"/>
      <c r="Y17" s="184" t="e">
        <f t="shared" si="9"/>
        <v>#DIV/0!</v>
      </c>
      <c r="Z17" s="156">
        <f>Poor!Z17</f>
        <v>0.29409999999999997</v>
      </c>
      <c r="AA17" s="121" t="e">
        <f t="shared" si="16"/>
        <v>#DIV/0!</v>
      </c>
      <c r="AB17" s="156">
        <f>Poor!AB17</f>
        <v>0.17649999999999999</v>
      </c>
      <c r="AC17" s="121" t="e">
        <f t="shared" si="7"/>
        <v>#DIV/0!</v>
      </c>
      <c r="AD17" s="156">
        <f>Poor!AD17</f>
        <v>0.23530000000000001</v>
      </c>
      <c r="AE17" s="121" t="e">
        <f t="shared" si="8"/>
        <v>#DIV/0!</v>
      </c>
      <c r="AF17" s="122">
        <f t="shared" si="10"/>
        <v>0.29410000000000003</v>
      </c>
      <c r="AG17" s="121" t="e">
        <f t="shared" si="11"/>
        <v>#DIV/0!</v>
      </c>
      <c r="AH17" s="123">
        <f t="shared" si="12"/>
        <v>1</v>
      </c>
      <c r="AI17" s="184" t="e">
        <f t="shared" si="13"/>
        <v>#DIV/0!</v>
      </c>
      <c r="AJ17" s="120" t="e">
        <f t="shared" si="14"/>
        <v>#DIV/0!</v>
      </c>
      <c r="AK17" s="119" t="e">
        <f t="shared" si="15"/>
        <v>#DIV/0!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FISHING -- see worksheet Data 3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 t="e">
        <f t="shared" si="17"/>
        <v>#DIV/0!</v>
      </c>
      <c r="K18" s="22">
        <f t="shared" ref="K18:K25" si="21">B18</f>
        <v>0</v>
      </c>
      <c r="L18" s="22">
        <f t="shared" ref="L18:L25" si="22">IF(K18="","",K18*H18)</f>
        <v>0</v>
      </c>
      <c r="M18" s="228" t="e">
        <f t="shared" ref="M18:M25" si="23">J18</f>
        <v>#DIV/0!</v>
      </c>
      <c r="N18" s="232">
        <v>6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0</v>
      </c>
      <c r="S18" s="225">
        <f>IF($B$81=0,0,(SUMIF($N$6:$N$28,$U18,L$6:L$28)+SUMIF($N$91:$N$118,$U18,L$91:L$118))*$I$83*Poor!$B$81/$B$81)</f>
        <v>0</v>
      </c>
      <c r="T18" s="225">
        <f>IF($B$81=0,0,(SUMIF($N$6:$N$28,$U18,M$6:M$28)+SUMIF($N$91:$N$118,$U18,M$91:M$118))*$I$83*Poor!$B$81/$B$81)</f>
        <v>0</v>
      </c>
      <c r="U18" s="226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 t="e">
        <f t="shared" si="17"/>
        <v>#DIV/0!</v>
      </c>
      <c r="K19" s="22">
        <f t="shared" si="21"/>
        <v>0</v>
      </c>
      <c r="L19" s="22">
        <f t="shared" si="22"/>
        <v>0</v>
      </c>
      <c r="M19" s="228" t="e">
        <f t="shared" si="23"/>
        <v>#DIV/0!</v>
      </c>
      <c r="N19" s="232"/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IF($B$81=0,0,(SUMIF($N$6:$N$28,$U19,L$6:L$28)+SUMIF($N$91:$N$118,$U19,L$91:L$118))*$I$83*Poor!$B$81/$B$81)</f>
        <v>0</v>
      </c>
      <c r="T19" s="225">
        <f>IF($B$81=0,0,(SUMIF($N$6:$N$28,$U19,M$6:M$28)+SUMIF($N$91:$N$118,$U19,M$91:M$118))*$I$83*Poor!$B$81/$B$81)</f>
        <v>0</v>
      </c>
      <c r="U19" s="226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 t="e">
        <f t="shared" si="17"/>
        <v>#DIV/0!</v>
      </c>
      <c r="K20" s="22">
        <f t="shared" si="21"/>
        <v>0</v>
      </c>
      <c r="L20" s="22">
        <f t="shared" si="22"/>
        <v>0</v>
      </c>
      <c r="M20" s="228" t="e">
        <f t="shared" si="23"/>
        <v>#DIV/0!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0</v>
      </c>
      <c r="S20" s="225">
        <f>IF($B$81=0,0,(SUMIF($N$6:$N$28,$U20,L$6:L$28)+SUMIF($N$91:$N$118,$U20,L$91:L$118))*$I$83*Poor!$B$81/$B$81)</f>
        <v>0</v>
      </c>
      <c r="T20" s="225">
        <f>IF($B$81=0,0,(SUMIF($N$6:$N$28,$U20,M$6:M$28)+SUMIF($N$91:$N$118,$U20,M$91:M$118))*$I$83*Poor!$B$81/$B$81)</f>
        <v>0</v>
      </c>
      <c r="U20" s="226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 t="e">
        <f t="shared" si="17"/>
        <v>#DIV/0!</v>
      </c>
      <c r="K21" s="22">
        <f t="shared" si="21"/>
        <v>0</v>
      </c>
      <c r="L21" s="22">
        <f t="shared" si="22"/>
        <v>0</v>
      </c>
      <c r="M21" s="228" t="e">
        <f t="shared" si="23"/>
        <v>#DIV/0!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IF($B$81=0,0,(SUMIF($N$6:$N$28,$U21,L$6:L$28)+SUMIF($N$91:$N$118,$U21,L$91:L$118))*$I$83*Poor!$B$81/$B$81)</f>
        <v>0</v>
      </c>
      <c r="T21" s="225">
        <f>IF($B$81=0,0,(SUMIF($N$6:$N$28,$U21,M$6:M$28)+SUMIF($N$91:$N$118,$U21,M$91:M$118))*$I$83*Poor!$B$81/$B$81)</f>
        <v>0</v>
      </c>
      <c r="U21" s="226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 t="e">
        <f t="shared" si="17"/>
        <v>#DIV/0!</v>
      </c>
      <c r="K22" s="22">
        <f t="shared" si="21"/>
        <v>0</v>
      </c>
      <c r="L22" s="22">
        <f t="shared" si="22"/>
        <v>0</v>
      </c>
      <c r="M22" s="228" t="e">
        <f t="shared" si="23"/>
        <v>#DIV/0!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IF($B$81=0,0,(SUMIF($N$6:$N$28,$U22,L$6:L$28)+SUMIF($N$91:$N$118,$U22,L$91:L$118))*$I$83*Poor!$B$81/$B$81)</f>
        <v>0</v>
      </c>
      <c r="T22" s="225">
        <f>IF($B$81=0,0,(SUMIF($N$6:$N$28,$U22,M$6:M$28)+SUMIF($N$91:$N$118,$U22,M$91:M$118))*$I$83*Poor!$B$81/$B$81)</f>
        <v>0</v>
      </c>
      <c r="U22" s="226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 t="e">
        <f t="shared" si="17"/>
        <v>#DIV/0!</v>
      </c>
      <c r="K23" s="22">
        <f t="shared" si="21"/>
        <v>0</v>
      </c>
      <c r="L23" s="22">
        <f t="shared" si="22"/>
        <v>0</v>
      </c>
      <c r="M23" s="228" t="e">
        <f t="shared" si="23"/>
        <v>#DIV/0!</v>
      </c>
      <c r="N23" s="232"/>
      <c r="O23" s="2"/>
      <c r="P23" s="22"/>
      <c r="Q23" s="171" t="s">
        <v>100</v>
      </c>
      <c r="R23" s="179">
        <f>SUM(R7:R22)</f>
        <v>0</v>
      </c>
      <c r="S23" s="179">
        <f>SUM(S7:S22)</f>
        <v>0</v>
      </c>
      <c r="T23" s="179">
        <f>SUM(T7:T22)</f>
        <v>0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 t="e">
        <f t="shared" si="17"/>
        <v>#DIV/0!</v>
      </c>
      <c r="K24" s="22">
        <f t="shared" si="21"/>
        <v>0</v>
      </c>
      <c r="L24" s="22">
        <f t="shared" si="22"/>
        <v>0</v>
      </c>
      <c r="M24" s="228" t="e">
        <f t="shared" si="23"/>
        <v>#DIV/0!</v>
      </c>
      <c r="N24" s="232"/>
      <c r="O24" s="2"/>
      <c r="P24" s="22"/>
      <c r="Q24" s="59" t="s">
        <v>137</v>
      </c>
      <c r="R24" s="41">
        <f>IF($B$81=0,0,(SUM(($B$70*$H$70))+((1-$D$29)*$I$83))*Poor!$B$81/$B$81)</f>
        <v>0</v>
      </c>
      <c r="S24" s="41">
        <f>IF($B$81=0,0,(SUM(($B$70*$H$70))+((1-$D$29)*$I$83))*Poor!$B$81/$B$81)</f>
        <v>0</v>
      </c>
      <c r="T24" s="41">
        <f>IF($B$81=0,0,(SUM(($B$70*$H$70))+((1-$D$29)*$I$83))*Poor!$B$81/$B$81)</f>
        <v>0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 t="e">
        <f t="shared" si="17"/>
        <v>#DIV/0!</v>
      </c>
      <c r="K25" s="22">
        <f t="shared" si="21"/>
        <v>0</v>
      </c>
      <c r="L25" s="22">
        <f t="shared" si="22"/>
        <v>0</v>
      </c>
      <c r="M25" s="228" t="e">
        <f t="shared" si="23"/>
        <v>#DIV/0!</v>
      </c>
      <c r="N25" s="232"/>
      <c r="O25" s="2"/>
      <c r="P25" s="22"/>
      <c r="Q25" s="142" t="s">
        <v>138</v>
      </c>
      <c r="R25" s="41">
        <f>IF($B$81=0,0,(SUM(($B$70*$H$70),($B$71*$H$71))+((1-$D$29)*$I$83))*Poor!$B$81/$B$81)</f>
        <v>0</v>
      </c>
      <c r="S25" s="41">
        <f>IF($B$81=0,0,(SUM(($B$70*$H$70),($B$71*$H$71))+((1-$D$29)*$I$83))*Poor!$B$81/$B$81)</f>
        <v>0</v>
      </c>
      <c r="T25" s="41">
        <f>IF($B$81=0,0,(SUM(($B$70*$H$70),($B$71*$H$71))+((1-$D$29)*$I$83))*Poor!$B$81/$B$81)</f>
        <v>0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 t="e">
        <f>IF(I$32&lt;=1+I131,I26,B26*H26+J$33*(I26-B26*H26))</f>
        <v>#DIV/0!</v>
      </c>
      <c r="K26" s="22">
        <f t="shared" si="4"/>
        <v>0</v>
      </c>
      <c r="L26" s="22">
        <f t="shared" si="5"/>
        <v>0</v>
      </c>
      <c r="M26" s="227" t="e">
        <f t="shared" si="6"/>
        <v>#DIV/0!</v>
      </c>
      <c r="N26" s="232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0</v>
      </c>
      <c r="S26" s="41">
        <f>IF($B$81=0,0,(SUM(($B$70*$H$70),($B$71*$H$71),($B$72*$H$72))+((1-$D$29)*$I$83))*Poor!$B$81/$B$81)</f>
        <v>0</v>
      </c>
      <c r="T26" s="41">
        <f>IF($B$81=0,0,(SUM(($B$70*$H$70),($B$71*$H$71),($B$72*$H$72))+((1-$D$29)*$I$83))*Poor!$B$81/$B$81)</f>
        <v>0</v>
      </c>
      <c r="U26" s="56"/>
      <c r="V26" s="56"/>
      <c r="W26" s="110"/>
      <c r="X26" s="118"/>
      <c r="Y26" s="184" t="e">
        <f t="shared" si="9"/>
        <v>#DIV/0!</v>
      </c>
      <c r="Z26" s="156">
        <f>Poor!Z26</f>
        <v>0.25</v>
      </c>
      <c r="AA26" s="121" t="e">
        <f t="shared" si="16"/>
        <v>#DIV/0!</v>
      </c>
      <c r="AB26" s="156">
        <f>Poor!AB26</f>
        <v>0.25</v>
      </c>
      <c r="AC26" s="121" t="e">
        <f t="shared" si="7"/>
        <v>#DIV/0!</v>
      </c>
      <c r="AD26" s="156">
        <f>Poor!AD26</f>
        <v>0.25</v>
      </c>
      <c r="AE26" s="121" t="e">
        <f t="shared" si="8"/>
        <v>#DIV/0!</v>
      </c>
      <c r="AF26" s="122">
        <f t="shared" si="10"/>
        <v>0.25</v>
      </c>
      <c r="AG26" s="121" t="e">
        <f t="shared" si="11"/>
        <v>#DIV/0!</v>
      </c>
      <c r="AH26" s="123">
        <f t="shared" si="12"/>
        <v>1</v>
      </c>
      <c r="AI26" s="184" t="e">
        <f t="shared" si="13"/>
        <v>#DIV/0!</v>
      </c>
      <c r="AJ26" s="120" t="e">
        <f t="shared" si="14"/>
        <v>#DIV/0!</v>
      </c>
      <c r="AK26" s="119" t="e">
        <f t="shared" si="15"/>
        <v>#DIV/0!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0</v>
      </c>
      <c r="C27" s="102">
        <f>IF([1]Summ!$K1065="",0,[1]Summ!$K1065)</f>
        <v>0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 t="e">
        <f>IF(I$32&lt;=1+I131,I27,B27*H27+J$33*(I27-B27*H27))</f>
        <v>#DIV/0!</v>
      </c>
      <c r="K27" s="22">
        <f t="shared" si="4"/>
        <v>0</v>
      </c>
      <c r="L27" s="22">
        <f t="shared" si="5"/>
        <v>0</v>
      </c>
      <c r="M27" s="229" t="e">
        <f t="shared" si="6"/>
        <v>#DIV/0!</v>
      </c>
      <c r="N27" s="232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 t="e">
        <f t="shared" si="9"/>
        <v>#DIV/0!</v>
      </c>
      <c r="Z27" s="156">
        <f>Poor!Z27</f>
        <v>0.25</v>
      </c>
      <c r="AA27" s="121" t="e">
        <f t="shared" si="16"/>
        <v>#DIV/0!</v>
      </c>
      <c r="AB27" s="156">
        <f>Poor!AB27</f>
        <v>0.25</v>
      </c>
      <c r="AC27" s="121" t="e">
        <f t="shared" si="7"/>
        <v>#DIV/0!</v>
      </c>
      <c r="AD27" s="156">
        <f>Poor!AD27</f>
        <v>0.25</v>
      </c>
      <c r="AE27" s="121" t="e">
        <f t="shared" si="8"/>
        <v>#DIV/0!</v>
      </c>
      <c r="AF27" s="122">
        <f t="shared" si="10"/>
        <v>0.25</v>
      </c>
      <c r="AG27" s="121" t="e">
        <f t="shared" si="11"/>
        <v>#DIV/0!</v>
      </c>
      <c r="AH27" s="123">
        <f t="shared" si="12"/>
        <v>1</v>
      </c>
      <c r="AI27" s="184" t="e">
        <f t="shared" si="13"/>
        <v>#DIV/0!</v>
      </c>
      <c r="AJ27" s="120" t="e">
        <f t="shared" si="14"/>
        <v>#DIV/0!</v>
      </c>
      <c r="AK27" s="119" t="e">
        <f t="shared" si="15"/>
        <v>#DIV/0!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 t="e">
        <f>IF(I$32&lt;=1+I131,I28,B28*H28+J$33*(I28-B28*H28))</f>
        <v>#DIV/0!</v>
      </c>
      <c r="K28" s="22">
        <f t="shared" si="4"/>
        <v>0</v>
      </c>
      <c r="L28" s="22">
        <f t="shared" si="5"/>
        <v>0</v>
      </c>
      <c r="M28" s="227" t="e">
        <f t="shared" si="6"/>
        <v>#DIV/0!</v>
      </c>
      <c r="N28" s="232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 t="e">
        <f t="shared" si="9"/>
        <v>#DIV/0!</v>
      </c>
      <c r="Z28" s="156">
        <f>Poor!Z28</f>
        <v>0</v>
      </c>
      <c r="AA28" s="121" t="e">
        <f t="shared" si="16"/>
        <v>#DIV/0!</v>
      </c>
      <c r="AB28" s="156">
        <f>Poor!AB28</f>
        <v>0</v>
      </c>
      <c r="AC28" s="121" t="e">
        <f t="shared" si="7"/>
        <v>#DIV/0!</v>
      </c>
      <c r="AD28" s="156">
        <f>Poor!AD28</f>
        <v>0.5</v>
      </c>
      <c r="AE28" s="121" t="e">
        <f t="shared" si="8"/>
        <v>#DIV/0!</v>
      </c>
      <c r="AF28" s="122">
        <f t="shared" si="10"/>
        <v>0.5</v>
      </c>
      <c r="AG28" s="121" t="e">
        <f t="shared" si="11"/>
        <v>#DIV/0!</v>
      </c>
      <c r="AH28" s="123">
        <f t="shared" si="12"/>
        <v>1</v>
      </c>
      <c r="AI28" s="184" t="e">
        <f t="shared" si="13"/>
        <v>#DIV/0!</v>
      </c>
      <c r="AJ28" s="120" t="e">
        <f t="shared" si="14"/>
        <v>#DIV/0!</v>
      </c>
      <c r="AK28" s="119" t="e">
        <f t="shared" si="15"/>
        <v>#DIV/0!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</v>
      </c>
      <c r="C29" s="102">
        <f>IF([1]Summ!$K1067="",0,[1]Summ!$K1067)</f>
        <v>0</v>
      </c>
      <c r="D29" s="24">
        <f t="shared" si="0"/>
        <v>0</v>
      </c>
      <c r="E29" s="75">
        <f>Middle!E29</f>
        <v>1</v>
      </c>
      <c r="F29" s="22"/>
      <c r="H29" s="24">
        <f t="shared" si="1"/>
        <v>1</v>
      </c>
      <c r="I29" s="22">
        <f t="shared" si="2"/>
        <v>0</v>
      </c>
      <c r="J29" s="24" t="e">
        <f>IF(I$32&lt;=1+I131,I29,B29*H29+J$33*(I29-B29*H29))</f>
        <v>#DIV/0!</v>
      </c>
      <c r="K29" s="22">
        <f t="shared" si="4"/>
        <v>0</v>
      </c>
      <c r="L29" s="22">
        <f t="shared" si="5"/>
        <v>0</v>
      </c>
      <c r="M29" s="175" t="e">
        <f t="shared" si="6"/>
        <v>#DIV/0!</v>
      </c>
      <c r="N29" s="232"/>
      <c r="P29" s="22"/>
      <c r="V29" s="56"/>
      <c r="W29" s="110"/>
      <c r="X29" s="118"/>
      <c r="Y29" s="184" t="e">
        <f t="shared" si="9"/>
        <v>#DIV/0!</v>
      </c>
      <c r="Z29" s="156">
        <f>Poor!Z29</f>
        <v>0.25</v>
      </c>
      <c r="AA29" s="121" t="e">
        <f t="shared" si="16"/>
        <v>#DIV/0!</v>
      </c>
      <c r="AB29" s="156">
        <f>Poor!AB29</f>
        <v>0.25</v>
      </c>
      <c r="AC29" s="121" t="e">
        <f t="shared" si="7"/>
        <v>#DIV/0!</v>
      </c>
      <c r="AD29" s="156">
        <f>Poor!AD29</f>
        <v>0.25</v>
      </c>
      <c r="AE29" s="121" t="e">
        <f t="shared" si="8"/>
        <v>#DIV/0!</v>
      </c>
      <c r="AF29" s="122">
        <f t="shared" si="10"/>
        <v>0.25</v>
      </c>
      <c r="AG29" s="121" t="e">
        <f t="shared" si="11"/>
        <v>#DIV/0!</v>
      </c>
      <c r="AH29" s="123">
        <f t="shared" si="12"/>
        <v>1</v>
      </c>
      <c r="AI29" s="184" t="e">
        <f t="shared" si="13"/>
        <v>#DIV/0!</v>
      </c>
      <c r="AJ29" s="120" t="e">
        <f t="shared" si="14"/>
        <v>#DIV/0!</v>
      </c>
      <c r="AK29" s="119" t="e">
        <f t="shared" si="15"/>
        <v>#DIV/0!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</v>
      </c>
      <c r="C30" s="65"/>
      <c r="D30" s="24" t="e">
        <f>(D119-B124)</f>
        <v>#DIV/0!</v>
      </c>
      <c r="E30" s="75">
        <f>Middle!E30</f>
        <v>1</v>
      </c>
      <c r="H30" s="96">
        <f>(E30*F$7/F$9)</f>
        <v>1</v>
      </c>
      <c r="I30" s="29" t="e">
        <f>IF(E30&gt;=1,I119-I124,MIN(I119-I124,B30*H30))</f>
        <v>#DIV/0!</v>
      </c>
      <c r="J30" s="234" t="e">
        <f>IF(I$32&lt;=1,I30,1-SUM(J6:J29))</f>
        <v>#DIV/0!</v>
      </c>
      <c r="K30" s="22">
        <f t="shared" si="4"/>
        <v>0</v>
      </c>
      <c r="L30" s="22" t="e">
        <f>IF(L124=L119,0,IF(K30="",0,(L119-L124)/(B119-B124)*K30))</f>
        <v>#DIV/0!</v>
      </c>
      <c r="M30" s="175" t="e">
        <f t="shared" si="6"/>
        <v>#DIV/0!</v>
      </c>
      <c r="N30" s="166" t="s">
        <v>86</v>
      </c>
      <c r="O30" s="2"/>
      <c r="P30" s="22"/>
      <c r="Q30" s="237" t="s">
        <v>141</v>
      </c>
      <c r="R30" s="237">
        <f t="shared" ref="R30:T32" si="24">IF(R24&gt;R$23,R24-R$23,0)</f>
        <v>0</v>
      </c>
      <c r="S30" s="237">
        <f t="shared" si="24"/>
        <v>0</v>
      </c>
      <c r="T30" s="237">
        <f t="shared" si="24"/>
        <v>0</v>
      </c>
      <c r="V30" s="56"/>
      <c r="W30" s="110"/>
      <c r="X30" s="118"/>
      <c r="Y30" s="184" t="e">
        <f>M30*4</f>
        <v>#DIV/0!</v>
      </c>
      <c r="Z30" s="122" t="e">
        <f>IF($Y30=0,0,AA30/($Y$30))</f>
        <v>#DIV/0!</v>
      </c>
      <c r="AA30" s="188" t="e">
        <f>IF(AA79*4/$I$83+SUM(AA6:AA29)&lt;1,AA79*4/$I$83,1-SUM(AA6:AA29))</f>
        <v>#DIV/0!</v>
      </c>
      <c r="AB30" s="122" t="e">
        <f>IF($Y30=0,0,AC30/($Y$30))</f>
        <v>#DIV/0!</v>
      </c>
      <c r="AC30" s="188" t="e">
        <f>IF(AC79*4/$I$83+SUM(AC6:AC29)&lt;1,AC79*4/$I$83,1-SUM(AC6:AC29))</f>
        <v>#DIV/0!</v>
      </c>
      <c r="AD30" s="122" t="e">
        <f>IF($Y30=0,0,AE30/($Y$30))</f>
        <v>#DIV/0!</v>
      </c>
      <c r="AE30" s="188" t="e">
        <f>IF(AE79*4/$I$83+SUM(AE6:AE29)&lt;1,AE79*4/$I$83,1-SUM(AE6:AE29))</f>
        <v>#DIV/0!</v>
      </c>
      <c r="AF30" s="122" t="e">
        <f>IF($Y30=0,0,AG30/($Y$30))</f>
        <v>#DIV/0!</v>
      </c>
      <c r="AG30" s="188" t="e">
        <f>IF(AG79*4/$I$83+SUM(AG6:AG29)&lt;1,AG79*4/$I$83,1-SUM(AG6:AG29))</f>
        <v>#DIV/0!</v>
      </c>
      <c r="AH30" s="123" t="e">
        <f t="shared" si="12"/>
        <v>#DIV/0!</v>
      </c>
      <c r="AI30" s="184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>
        <f>IF(1-$B$32&gt;0,1-$B$32,"")</f>
        <v>1</v>
      </c>
      <c r="C31" s="29"/>
      <c r="D31" s="24"/>
      <c r="E31" s="22"/>
      <c r="F31" s="22"/>
      <c r="H31" s="24"/>
      <c r="I31" s="22"/>
      <c r="J31" s="235" t="e">
        <f>(1-SUM(J6:J30))</f>
        <v>#DIV/0!</v>
      </c>
      <c r="K31" s="22">
        <f t="shared" si="4"/>
        <v>1</v>
      </c>
      <c r="L31" s="22" t="e">
        <f>(1-SUM(L6:L30))</f>
        <v>#DIV/0!</v>
      </c>
      <c r="M31" s="178" t="e">
        <f t="shared" si="6"/>
        <v>#DIV/0!</v>
      </c>
      <c r="N31" s="167" t="e">
        <f>M31*I83</f>
        <v>#DIV/0!</v>
      </c>
      <c r="P31" s="22"/>
      <c r="Q31" s="241" t="s">
        <v>142</v>
      </c>
      <c r="R31" s="237">
        <f t="shared" si="24"/>
        <v>0</v>
      </c>
      <c r="S31" s="237">
        <f t="shared" si="24"/>
        <v>0</v>
      </c>
      <c r="T31" s="237">
        <f>IF(T25&gt;T$23,T25-T$23,0)</f>
        <v>0</v>
      </c>
      <c r="V31" s="56"/>
      <c r="W31" s="129" t="s">
        <v>84</v>
      </c>
      <c r="X31" s="130"/>
      <c r="Y31" s="121" t="e">
        <f>M31*4</f>
        <v>#DIV/0!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3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0</v>
      </c>
      <c r="C32" s="29">
        <f>SUM(C6:C31)</f>
        <v>0</v>
      </c>
      <c r="D32" s="24" t="e">
        <f>SUM(D6:D30)</f>
        <v>#DIV/0!</v>
      </c>
      <c r="E32" s="2"/>
      <c r="F32" s="2"/>
      <c r="H32" s="17"/>
      <c r="I32" s="22" t="e">
        <f>SUM(I6:I30)</f>
        <v>#DIV/0!</v>
      </c>
      <c r="J32" s="17"/>
      <c r="L32" s="22" t="e">
        <f>SUM(L6:L30)</f>
        <v>#DIV/0!</v>
      </c>
      <c r="M32" s="23"/>
      <c r="N32" s="56"/>
      <c r="O32" s="2"/>
      <c r="P32" s="22"/>
      <c r="Q32" s="237" t="s">
        <v>143</v>
      </c>
      <c r="R32" s="237">
        <f t="shared" si="24"/>
        <v>0</v>
      </c>
      <c r="S32" s="237">
        <f t="shared" si="24"/>
        <v>0</v>
      </c>
      <c r="T32" s="237">
        <f t="shared" si="24"/>
        <v>0</v>
      </c>
      <c r="V32" s="56"/>
      <c r="W32" s="110"/>
      <c r="X32" s="118"/>
      <c r="Y32" s="115" t="e">
        <f>SUM(Y6:Y31)</f>
        <v>#DIV/0!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 t="e">
        <f>(1+K127*H127-L32-L127)/(I32-L32-L127)</f>
        <v>#DIV/0!</v>
      </c>
      <c r="K33" s="14"/>
      <c r="L33" s="11"/>
      <c r="M33" s="30"/>
      <c r="N33" s="168" t="s">
        <v>87</v>
      </c>
      <c r="O33" s="2"/>
      <c r="P33" s="2"/>
      <c r="R33" s="180"/>
      <c r="S33" s="180"/>
      <c r="T33" s="2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 t="e">
        <f>-(M77*B76)</f>
        <v>#DIV/0!</v>
      </c>
      <c r="O34" s="2"/>
      <c r="P34" s="2"/>
      <c r="R34" s="180"/>
      <c r="S34" s="180"/>
      <c r="T34" s="2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180"/>
      <c r="S35" s="180"/>
      <c r="T35" s="22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R36" s="180"/>
      <c r="S36" s="180"/>
      <c r="T36" s="22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0</v>
      </c>
      <c r="C37" s="104">
        <f>IF([1]Summ!$K1072="",0,[1]Summ!$K1072)</f>
        <v>0</v>
      </c>
      <c r="D37" s="38">
        <f t="shared" ref="D37:D64" si="25">B37+C37</f>
        <v>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0</v>
      </c>
      <c r="J37" s="38" t="e">
        <f>J91*I$83</f>
        <v>#DIV/0!</v>
      </c>
      <c r="K37" s="40" t="e">
        <f t="shared" ref="K37:K52" si="28">(B37/B$65)</f>
        <v>#DIV/0!</v>
      </c>
      <c r="L37" s="22" t="e">
        <f t="shared" ref="L37:L52" si="29">(K37*H37)</f>
        <v>#DIV/0!</v>
      </c>
      <c r="M37" s="24" t="e">
        <f t="shared" ref="M37:M52" si="30">J37/B$65</f>
        <v>#DIV/0!</v>
      </c>
      <c r="N37" s="2"/>
      <c r="O37" s="2"/>
      <c r="P37" s="2"/>
      <c r="Q37" s="2"/>
      <c r="R37" s="180"/>
      <c r="S37" s="180"/>
      <c r="T37" s="223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31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0</v>
      </c>
      <c r="C38" s="104">
        <f>IF([1]Summ!$K1073="",0,[1]Summ!$K1073)</f>
        <v>0</v>
      </c>
      <c r="D38" s="38">
        <f t="shared" si="25"/>
        <v>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0</v>
      </c>
      <c r="J38" s="38" t="e">
        <f t="shared" ref="J38:J64" si="33">J92*I$83</f>
        <v>#DIV/0!</v>
      </c>
      <c r="K38" s="40" t="e">
        <f t="shared" si="28"/>
        <v>#DIV/0!</v>
      </c>
      <c r="L38" s="22" t="e">
        <f t="shared" si="29"/>
        <v>#DIV/0!</v>
      </c>
      <c r="M38" s="24" t="e">
        <f t="shared" si="30"/>
        <v>#DIV/0!</v>
      </c>
      <c r="N38" s="2"/>
      <c r="O38" s="2"/>
      <c r="P38" s="2"/>
      <c r="Q38" s="59"/>
      <c r="R38" s="180"/>
      <c r="S38" s="180"/>
      <c r="T38" s="180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31"/>
        <v>#DIV/0!</v>
      </c>
      <c r="AG38" s="147" t="e">
        <f t="shared" ref="AG38:AG64" si="34">$J38*AF38</f>
        <v>#DIV/0!</v>
      </c>
      <c r="AH38" s="123" t="e">
        <f t="shared" ref="AH38:AI58" si="35">SUM(Z38,AB38,AD38,AF38)</f>
        <v>#DIV/0!</v>
      </c>
      <c r="AI38" s="112" t="e">
        <f t="shared" si="35"/>
        <v>#DIV/0!</v>
      </c>
      <c r="AJ38" s="148" t="e">
        <f t="shared" ref="AJ38:AJ64" si="36">(AA38+AC38)</f>
        <v>#DIV/0!</v>
      </c>
      <c r="AK38" s="147" t="e">
        <f t="shared" ref="AK38:AK64" si="37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Beans: kg produced</v>
      </c>
      <c r="B39" s="104">
        <f>IF([1]Summ!$J1074="",0,[1]Summ!$J1074)</f>
        <v>0</v>
      </c>
      <c r="C39" s="104">
        <f>IF([1]Summ!$K1074="",0,[1]Summ!$K1074)</f>
        <v>0</v>
      </c>
      <c r="D39" s="38">
        <f t="shared" si="25"/>
        <v>0</v>
      </c>
      <c r="E39" s="75">
        <f>Middle!E39</f>
        <v>0.2</v>
      </c>
      <c r="F39" s="75">
        <f>Middle!F39</f>
        <v>1.4</v>
      </c>
      <c r="G39" s="22">
        <f t="shared" si="32"/>
        <v>1.65</v>
      </c>
      <c r="H39" s="24">
        <f t="shared" si="26"/>
        <v>0.27999999999999997</v>
      </c>
      <c r="I39" s="39">
        <f t="shared" si="27"/>
        <v>0</v>
      </c>
      <c r="J39" s="38" t="e">
        <f t="shared" si="33"/>
        <v>#DIV/0!</v>
      </c>
      <c r="K39" s="40" t="e">
        <f t="shared" si="28"/>
        <v>#DIV/0!</v>
      </c>
      <c r="L39" s="22" t="e">
        <f t="shared" si="29"/>
        <v>#DIV/0!</v>
      </c>
      <c r="M39" s="24" t="e">
        <f t="shared" si="30"/>
        <v>#DIV/0!</v>
      </c>
      <c r="N39" s="2"/>
      <c r="O39" s="2"/>
      <c r="P39" s="2"/>
      <c r="Q39" s="59"/>
      <c r="R39" s="180"/>
      <c r="S39" s="180"/>
      <c r="T39" s="180"/>
      <c r="U39" s="56"/>
      <c r="V39" s="56"/>
      <c r="W39" s="115"/>
      <c r="X39" s="118">
        <f>X8</f>
        <v>1</v>
      </c>
      <c r="Y39" s="110"/>
      <c r="Z39" s="122" t="e">
        <f>Z8</f>
        <v>#DIV/0!</v>
      </c>
      <c r="AA39" s="147" t="e">
        <f>$J39*Z39</f>
        <v>#DIV/0!</v>
      </c>
      <c r="AB39" s="122" t="e">
        <f>AB8</f>
        <v>#DIV/0!</v>
      </c>
      <c r="AC39" s="147" t="e">
        <f>$J39*AB39</f>
        <v>#DIV/0!</v>
      </c>
      <c r="AD39" s="122" t="e">
        <f>AD8</f>
        <v>#DIV/0!</v>
      </c>
      <c r="AE39" s="147" t="e">
        <f>$J39*AD39</f>
        <v>#DIV/0!</v>
      </c>
      <c r="AF39" s="122" t="e">
        <f t="shared" si="31"/>
        <v>#DIV/0!</v>
      </c>
      <c r="AG39" s="147" t="e">
        <f t="shared" si="34"/>
        <v>#DIV/0!</v>
      </c>
      <c r="AH39" s="123" t="e">
        <f t="shared" si="35"/>
        <v>#DIV/0!</v>
      </c>
      <c r="AI39" s="112" t="e">
        <f t="shared" si="35"/>
        <v>#DIV/0!</v>
      </c>
      <c r="AJ39" s="148" t="e">
        <f t="shared" si="36"/>
        <v>#DIV/0!</v>
      </c>
      <c r="AK39" s="147" t="e">
        <f t="shared" si="37"/>
        <v>#DIV/0!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Cabbage: no. local meas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Middle!E40</f>
        <v>0.2</v>
      </c>
      <c r="F40" s="75">
        <f>Middle!F40</f>
        <v>1.4</v>
      </c>
      <c r="G40" s="22">
        <f t="shared" si="32"/>
        <v>1.65</v>
      </c>
      <c r="H40" s="24">
        <f t="shared" si="26"/>
        <v>0.27999999999999997</v>
      </c>
      <c r="I40" s="39">
        <f t="shared" si="27"/>
        <v>0</v>
      </c>
      <c r="J40" s="38" t="e">
        <f t="shared" si="33"/>
        <v>#DIV/0!</v>
      </c>
      <c r="K40" s="40" t="e">
        <f t="shared" si="28"/>
        <v>#DIV/0!</v>
      </c>
      <c r="L40" s="22" t="e">
        <f t="shared" si="29"/>
        <v>#DIV/0!</v>
      </c>
      <c r="M40" s="24" t="e">
        <f t="shared" si="30"/>
        <v>#DIV/0!</v>
      </c>
      <c r="N40" s="2"/>
      <c r="O40" s="2"/>
      <c r="P40" s="2"/>
      <c r="Q40" s="56"/>
      <c r="R40" s="68"/>
      <c r="S40" s="68"/>
      <c r="T40" s="68"/>
      <c r="U40" s="56"/>
      <c r="V40" s="56"/>
      <c r="W40" s="115"/>
      <c r="X40" s="118">
        <f>X9</f>
        <v>1</v>
      </c>
      <c r="Y40" s="110"/>
      <c r="Z40" s="122" t="e">
        <f>Z9</f>
        <v>#DIV/0!</v>
      </c>
      <c r="AA40" s="147" t="e">
        <f>$J40*Z40</f>
        <v>#DIV/0!</v>
      </c>
      <c r="AB40" s="122" t="e">
        <f>AB9</f>
        <v>#DIV/0!</v>
      </c>
      <c r="AC40" s="147" t="e">
        <f>$J40*AB40</f>
        <v>#DIV/0!</v>
      </c>
      <c r="AD40" s="122" t="e">
        <f>AD9</f>
        <v>#DIV/0!</v>
      </c>
      <c r="AE40" s="147" t="e">
        <f>$J40*AD40</f>
        <v>#DIV/0!</v>
      </c>
      <c r="AF40" s="122" t="e">
        <f t="shared" si="31"/>
        <v>#DIV/0!</v>
      </c>
      <c r="AG40" s="147" t="e">
        <f t="shared" si="34"/>
        <v>#DIV/0!</v>
      </c>
      <c r="AH40" s="123" t="e">
        <f t="shared" si="35"/>
        <v>#DIV/0!</v>
      </c>
      <c r="AI40" s="112" t="e">
        <f t="shared" si="35"/>
        <v>#DIV/0!</v>
      </c>
      <c r="AJ40" s="148" t="e">
        <f t="shared" si="36"/>
        <v>#DIV/0!</v>
      </c>
      <c r="AK40" s="147" t="e">
        <f t="shared" si="37"/>
        <v>#DIV/0!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beetroot: no. local meas</v>
      </c>
      <c r="B41" s="104">
        <f>IF([1]Summ!$J1076="",0,[1]Summ!$J1076)</f>
        <v>0</v>
      </c>
      <c r="C41" s="104">
        <f>IF([1]Summ!$K1076="",0,[1]Summ!$K1076)</f>
        <v>0</v>
      </c>
      <c r="D41" s="38">
        <f t="shared" si="25"/>
        <v>0</v>
      </c>
      <c r="E41" s="75">
        <f>Middle!E41</f>
        <v>0.2</v>
      </c>
      <c r="F41" s="75">
        <f>Middle!F41</f>
        <v>1.4</v>
      </c>
      <c r="G41" s="22">
        <f t="shared" si="32"/>
        <v>1.65</v>
      </c>
      <c r="H41" s="24">
        <f t="shared" si="26"/>
        <v>0.27999999999999997</v>
      </c>
      <c r="I41" s="39">
        <f t="shared" si="27"/>
        <v>0</v>
      </c>
      <c r="J41" s="38" t="e">
        <f t="shared" si="33"/>
        <v>#DIV/0!</v>
      </c>
      <c r="K41" s="40" t="e">
        <f t="shared" si="28"/>
        <v>#DIV/0!</v>
      </c>
      <c r="L41" s="22" t="e">
        <f t="shared" si="29"/>
        <v>#DIV/0!</v>
      </c>
      <c r="M41" s="24" t="e">
        <f t="shared" si="30"/>
        <v>#DIV/0!</v>
      </c>
      <c r="N41" s="2"/>
      <c r="O41" s="2"/>
      <c r="P41" s="2"/>
      <c r="Q41" s="59"/>
      <c r="R41" s="219"/>
      <c r="S41" s="219"/>
      <c r="T41" s="219"/>
      <c r="U41" s="56"/>
      <c r="V41" s="56"/>
      <c r="W41" s="115"/>
      <c r="X41" s="118">
        <f>X11</f>
        <v>1</v>
      </c>
      <c r="Y41" s="110"/>
      <c r="Z41" s="122" t="e">
        <f>Z11</f>
        <v>#DIV/0!</v>
      </c>
      <c r="AA41" s="147" t="e">
        <f>$J41*Z41</f>
        <v>#DIV/0!</v>
      </c>
      <c r="AB41" s="122" t="e">
        <f>AB11</f>
        <v>#DIV/0!</v>
      </c>
      <c r="AC41" s="147" t="e">
        <f>$J41*AB41</f>
        <v>#DIV/0!</v>
      </c>
      <c r="AD41" s="122" t="e">
        <f>AD11</f>
        <v>#DIV/0!</v>
      </c>
      <c r="AE41" s="147" t="e">
        <f>$J41*AD41</f>
        <v>#DIV/0!</v>
      </c>
      <c r="AF41" s="122" t="e">
        <f t="shared" si="31"/>
        <v>#DIV/0!</v>
      </c>
      <c r="AG41" s="147" t="e">
        <f t="shared" si="34"/>
        <v>#DIV/0!</v>
      </c>
      <c r="AH41" s="123" t="e">
        <f t="shared" si="35"/>
        <v>#DIV/0!</v>
      </c>
      <c r="AI41" s="112" t="e">
        <f t="shared" si="35"/>
        <v>#DIV/0!</v>
      </c>
      <c r="AJ41" s="148" t="e">
        <f t="shared" si="36"/>
        <v>#DIV/0!</v>
      </c>
      <c r="AK41" s="147" t="e">
        <f t="shared" si="37"/>
        <v>#DIV/0!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Other crop: Spinach</v>
      </c>
      <c r="B42" s="104">
        <f>IF([1]Summ!$J1077="",0,[1]Summ!$J1077)</f>
        <v>0</v>
      </c>
      <c r="C42" s="104">
        <f>IF([1]Summ!$K1077="",0,[1]Summ!$K1077)</f>
        <v>0</v>
      </c>
      <c r="D42" s="38">
        <f t="shared" si="25"/>
        <v>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0</v>
      </c>
      <c r="J42" s="38" t="e">
        <f t="shared" si="33"/>
        <v>#DIV/0!</v>
      </c>
      <c r="K42" s="40" t="e">
        <f t="shared" si="28"/>
        <v>#DIV/0!</v>
      </c>
      <c r="L42" s="22" t="e">
        <f t="shared" si="29"/>
        <v>#DIV/0!</v>
      </c>
      <c r="M42" s="24" t="e">
        <f t="shared" si="30"/>
        <v>#DIV/0!</v>
      </c>
      <c r="N42" s="2"/>
      <c r="O42" s="2"/>
      <c r="P42" s="2"/>
      <c r="Q42" s="59"/>
      <c r="R42" s="219"/>
      <c r="S42" s="219"/>
      <c r="T42" s="219"/>
      <c r="U42" s="56"/>
      <c r="V42" s="56"/>
      <c r="W42" s="115"/>
      <c r="X42" s="118"/>
      <c r="Y42" s="110"/>
      <c r="Z42" s="156">
        <f>Poor!Z42</f>
        <v>0.25</v>
      </c>
      <c r="AA42" s="147" t="e">
        <f t="shared" ref="AA42:AA64" si="38">$J42*Z42</f>
        <v>#DIV/0!</v>
      </c>
      <c r="AB42" s="156">
        <f>Poor!AB42</f>
        <v>0</v>
      </c>
      <c r="AC42" s="147" t="e">
        <f t="shared" ref="AC42:AC64" si="39">$J42*AB42</f>
        <v>#DIV/0!</v>
      </c>
      <c r="AD42" s="156">
        <f>Poor!AD42</f>
        <v>0.5</v>
      </c>
      <c r="AE42" s="147" t="e">
        <f t="shared" ref="AE42:AE64" si="40">$J42*AD42</f>
        <v>#DIV/0!</v>
      </c>
      <c r="AF42" s="122">
        <f t="shared" si="31"/>
        <v>0.25</v>
      </c>
      <c r="AG42" s="147" t="e">
        <f t="shared" si="34"/>
        <v>#DIV/0!</v>
      </c>
      <c r="AH42" s="123">
        <f t="shared" si="35"/>
        <v>1</v>
      </c>
      <c r="AI42" s="112" t="e">
        <f t="shared" si="35"/>
        <v>#DIV/0!</v>
      </c>
      <c r="AJ42" s="148" t="e">
        <f t="shared" si="36"/>
        <v>#DIV/0!</v>
      </c>
      <c r="AK42" s="147" t="e">
        <f t="shared" si="37"/>
        <v>#DIV/0!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Other crop: pumpkin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0</v>
      </c>
      <c r="J43" s="38" t="e">
        <f t="shared" si="33"/>
        <v>#DIV/0!</v>
      </c>
      <c r="K43" s="40" t="e">
        <f t="shared" si="28"/>
        <v>#DIV/0!</v>
      </c>
      <c r="L43" s="22" t="e">
        <f t="shared" si="29"/>
        <v>#DIV/0!</v>
      </c>
      <c r="M43" s="24" t="e">
        <f t="shared" si="30"/>
        <v>#DIV/0!</v>
      </c>
      <c r="N43" s="2"/>
      <c r="O43" s="2"/>
      <c r="P43" s="2"/>
      <c r="Q43" s="56"/>
      <c r="R43" s="56"/>
      <c r="S43" s="56"/>
      <c r="T43" s="56"/>
      <c r="U43" s="56"/>
      <c r="V43" s="56"/>
      <c r="W43" s="115"/>
      <c r="X43" s="118"/>
      <c r="Y43" s="110"/>
      <c r="Z43" s="156">
        <f>Poor!Z43</f>
        <v>0.25</v>
      </c>
      <c r="AA43" s="147" t="e">
        <f t="shared" si="38"/>
        <v>#DIV/0!</v>
      </c>
      <c r="AB43" s="156">
        <f>Poor!AB43</f>
        <v>0.25</v>
      </c>
      <c r="AC43" s="147" t="e">
        <f t="shared" si="39"/>
        <v>#DIV/0!</v>
      </c>
      <c r="AD43" s="156">
        <f>Poor!AD43</f>
        <v>0.25</v>
      </c>
      <c r="AE43" s="147" t="e">
        <f t="shared" si="40"/>
        <v>#DIV/0!</v>
      </c>
      <c r="AF43" s="122">
        <f t="shared" si="31"/>
        <v>0.25</v>
      </c>
      <c r="AG43" s="147" t="e">
        <f t="shared" si="34"/>
        <v>#DIV/0!</v>
      </c>
      <c r="AH43" s="123">
        <f t="shared" si="35"/>
        <v>1</v>
      </c>
      <c r="AI43" s="112" t="e">
        <f t="shared" si="35"/>
        <v>#DIV/0!</v>
      </c>
      <c r="AJ43" s="148" t="e">
        <f t="shared" si="36"/>
        <v>#DIV/0!</v>
      </c>
      <c r="AK43" s="147" t="e">
        <f t="shared" si="37"/>
        <v>#DIV/0!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Agricultural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0.5</v>
      </c>
      <c r="F44" s="75">
        <f>Middle!F44</f>
        <v>1.1100000000000001</v>
      </c>
      <c r="G44" s="22">
        <f t="shared" si="32"/>
        <v>1.65</v>
      </c>
      <c r="H44" s="24">
        <f t="shared" si="26"/>
        <v>0.55500000000000005</v>
      </c>
      <c r="I44" s="39">
        <f t="shared" si="27"/>
        <v>0</v>
      </c>
      <c r="J44" s="38" t="e">
        <f t="shared" si="33"/>
        <v>#DIV/0!</v>
      </c>
      <c r="K44" s="40" t="e">
        <f t="shared" si="28"/>
        <v>#DIV/0!</v>
      </c>
      <c r="L44" s="22" t="e">
        <f t="shared" si="29"/>
        <v>#DIV/0!</v>
      </c>
      <c r="M44" s="24" t="e">
        <f t="shared" si="30"/>
        <v>#DIV/0!</v>
      </c>
      <c r="N44" s="2"/>
      <c r="O44" s="2"/>
      <c r="P44" s="2"/>
      <c r="Q44" s="59"/>
      <c r="R44" s="219"/>
      <c r="S44" s="219"/>
      <c r="T44" s="219"/>
      <c r="U44" s="56"/>
      <c r="V44" s="56"/>
      <c r="W44" s="117"/>
      <c r="X44" s="118"/>
      <c r="Y44" s="110"/>
      <c r="Z44" s="156">
        <f>Poor!Z44</f>
        <v>0.25</v>
      </c>
      <c r="AA44" s="147" t="e">
        <f t="shared" si="38"/>
        <v>#DIV/0!</v>
      </c>
      <c r="AB44" s="156">
        <f>Poor!AB44</f>
        <v>0.25</v>
      </c>
      <c r="AC44" s="147" t="e">
        <f t="shared" si="39"/>
        <v>#DIV/0!</v>
      </c>
      <c r="AD44" s="156">
        <f>Poor!AD44</f>
        <v>0.25</v>
      </c>
      <c r="AE44" s="147" t="e">
        <f t="shared" si="40"/>
        <v>#DIV/0!</v>
      </c>
      <c r="AF44" s="122">
        <f t="shared" si="31"/>
        <v>0.25</v>
      </c>
      <c r="AG44" s="147" t="e">
        <f t="shared" si="34"/>
        <v>#DIV/0!</v>
      </c>
      <c r="AH44" s="123">
        <f t="shared" si="35"/>
        <v>1</v>
      </c>
      <c r="AI44" s="112" t="e">
        <f t="shared" si="35"/>
        <v>#DIV/0!</v>
      </c>
      <c r="AJ44" s="148" t="e">
        <f t="shared" si="36"/>
        <v>#DIV/0!</v>
      </c>
      <c r="AK44" s="147" t="e">
        <f t="shared" si="37"/>
        <v>#DIV/0!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Formal Employment (conservancies, etc.)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0.6</v>
      </c>
      <c r="F45" s="75">
        <f>Middle!F45</f>
        <v>1.18</v>
      </c>
      <c r="G45" s="22">
        <f t="shared" si="32"/>
        <v>1.65</v>
      </c>
      <c r="H45" s="24">
        <f t="shared" si="26"/>
        <v>0.70799999999999996</v>
      </c>
      <c r="I45" s="39">
        <f t="shared" si="27"/>
        <v>0</v>
      </c>
      <c r="J45" s="38" t="e">
        <f t="shared" si="33"/>
        <v>#DIV/0!</v>
      </c>
      <c r="K45" s="40" t="e">
        <f t="shared" si="28"/>
        <v>#DIV/0!</v>
      </c>
      <c r="L45" s="22" t="e">
        <f t="shared" si="29"/>
        <v>#DIV/0!</v>
      </c>
      <c r="M45" s="24" t="e">
        <f t="shared" si="30"/>
        <v>#DIV/0!</v>
      </c>
      <c r="N45" s="2"/>
      <c r="O45" s="2"/>
      <c r="P45" s="2"/>
      <c r="Q45" s="2"/>
      <c r="R45" s="2"/>
      <c r="S45" s="2"/>
      <c r="T45" s="69"/>
      <c r="U45" s="56"/>
      <c r="V45" s="56"/>
      <c r="W45" s="110"/>
      <c r="X45" s="118"/>
      <c r="Y45" s="110"/>
      <c r="Z45" s="156">
        <f>Poor!Z45</f>
        <v>0.25</v>
      </c>
      <c r="AA45" s="147" t="e">
        <f t="shared" si="38"/>
        <v>#DIV/0!</v>
      </c>
      <c r="AB45" s="156">
        <f>Poor!AB45</f>
        <v>0.25</v>
      </c>
      <c r="AC45" s="147" t="e">
        <f t="shared" si="39"/>
        <v>#DIV/0!</v>
      </c>
      <c r="AD45" s="156">
        <f>Poor!AD45</f>
        <v>0.25</v>
      </c>
      <c r="AE45" s="147" t="e">
        <f t="shared" si="40"/>
        <v>#DIV/0!</v>
      </c>
      <c r="AF45" s="122">
        <f t="shared" si="31"/>
        <v>0.25</v>
      </c>
      <c r="AG45" s="147" t="e">
        <f t="shared" si="34"/>
        <v>#DIV/0!</v>
      </c>
      <c r="AH45" s="123">
        <f t="shared" si="35"/>
        <v>1</v>
      </c>
      <c r="AI45" s="112" t="e">
        <f t="shared" si="35"/>
        <v>#DIV/0!</v>
      </c>
      <c r="AJ45" s="148" t="e">
        <f t="shared" si="36"/>
        <v>#DIV/0!</v>
      </c>
      <c r="AK45" s="147" t="e">
        <f t="shared" si="37"/>
        <v>#DIV/0!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Small business -- see Data2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0.8</v>
      </c>
      <c r="F46" s="75">
        <f>Middle!F46</f>
        <v>1.18</v>
      </c>
      <c r="G46" s="22">
        <f t="shared" si="32"/>
        <v>1.65</v>
      </c>
      <c r="H46" s="24">
        <f t="shared" si="26"/>
        <v>0.94399999999999995</v>
      </c>
      <c r="I46" s="39">
        <f t="shared" si="27"/>
        <v>0</v>
      </c>
      <c r="J46" s="38" t="e">
        <f t="shared" si="33"/>
        <v>#DIV/0!</v>
      </c>
      <c r="K46" s="40" t="e">
        <f t="shared" si="28"/>
        <v>#DIV/0!</v>
      </c>
      <c r="L46" s="22" t="e">
        <f t="shared" si="29"/>
        <v>#DIV/0!</v>
      </c>
      <c r="M46" s="24" t="e">
        <f t="shared" si="30"/>
        <v>#DIV/0!</v>
      </c>
      <c r="N46" s="2"/>
      <c r="O46" s="2"/>
      <c r="P46" s="2"/>
      <c r="Q46" s="2"/>
      <c r="R46" s="2"/>
      <c r="S46" s="2"/>
      <c r="T46" s="69"/>
      <c r="U46" s="56"/>
      <c r="V46" s="56"/>
      <c r="W46" s="110"/>
      <c r="X46" s="118"/>
      <c r="Y46" s="110"/>
      <c r="Z46" s="156">
        <f>Poor!Z46</f>
        <v>0.25</v>
      </c>
      <c r="AA46" s="147" t="e">
        <f t="shared" si="38"/>
        <v>#DIV/0!</v>
      </c>
      <c r="AB46" s="156">
        <f>Poor!AB46</f>
        <v>0.25</v>
      </c>
      <c r="AC46" s="147" t="e">
        <f t="shared" si="39"/>
        <v>#DIV/0!</v>
      </c>
      <c r="AD46" s="156">
        <f>Poor!AD46</f>
        <v>0.25</v>
      </c>
      <c r="AE46" s="147" t="e">
        <f t="shared" si="40"/>
        <v>#DIV/0!</v>
      </c>
      <c r="AF46" s="122">
        <f t="shared" si="31"/>
        <v>0.25</v>
      </c>
      <c r="AG46" s="147" t="e">
        <f t="shared" si="34"/>
        <v>#DIV/0!</v>
      </c>
      <c r="AH46" s="123">
        <f t="shared" si="35"/>
        <v>1</v>
      </c>
      <c r="AI46" s="112" t="e">
        <f t="shared" si="35"/>
        <v>#DIV/0!</v>
      </c>
      <c r="AJ46" s="148" t="e">
        <f t="shared" si="36"/>
        <v>#DIV/0!</v>
      </c>
      <c r="AK46" s="147" t="e">
        <f t="shared" si="37"/>
        <v>#DIV/0!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Social development -- see Data2</v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Middle!E47</f>
        <v>1</v>
      </c>
      <c r="F47" s="75">
        <f>Middle!F47</f>
        <v>1.18</v>
      </c>
      <c r="G47" s="22">
        <f t="shared" si="32"/>
        <v>1.65</v>
      </c>
      <c r="H47" s="24">
        <f t="shared" si="26"/>
        <v>1.18</v>
      </c>
      <c r="I47" s="39">
        <f t="shared" si="27"/>
        <v>0</v>
      </c>
      <c r="J47" s="38" t="e">
        <f t="shared" si="33"/>
        <v>#DIV/0!</v>
      </c>
      <c r="K47" s="40" t="e">
        <f t="shared" si="28"/>
        <v>#DIV/0!</v>
      </c>
      <c r="L47" s="22" t="e">
        <f t="shared" si="29"/>
        <v>#DIV/0!</v>
      </c>
      <c r="M47" s="24" t="e">
        <f t="shared" si="30"/>
        <v>#DIV/0!</v>
      </c>
      <c r="N47" s="2"/>
      <c r="O47" s="2"/>
      <c r="P47" s="2"/>
      <c r="Q47" s="2"/>
      <c r="R47" s="2"/>
      <c r="S47" s="2"/>
      <c r="T47" s="2"/>
      <c r="U47" s="56"/>
      <c r="V47" s="56"/>
      <c r="W47" s="110"/>
      <c r="X47" s="118"/>
      <c r="Y47" s="110"/>
      <c r="Z47" s="156">
        <f>Poor!Z47</f>
        <v>0.25</v>
      </c>
      <c r="AA47" s="147" t="e">
        <f t="shared" si="38"/>
        <v>#DIV/0!</v>
      </c>
      <c r="AB47" s="156">
        <f>Poor!AB47</f>
        <v>0.25</v>
      </c>
      <c r="AC47" s="147" t="e">
        <f t="shared" si="39"/>
        <v>#DIV/0!</v>
      </c>
      <c r="AD47" s="156">
        <f>Poor!AD47</f>
        <v>0.25</v>
      </c>
      <c r="AE47" s="147" t="e">
        <f t="shared" si="40"/>
        <v>#DIV/0!</v>
      </c>
      <c r="AF47" s="122">
        <f t="shared" si="31"/>
        <v>0.25</v>
      </c>
      <c r="AG47" s="147" t="e">
        <f t="shared" si="34"/>
        <v>#DIV/0!</v>
      </c>
      <c r="AH47" s="123">
        <f t="shared" si="35"/>
        <v>1</v>
      </c>
      <c r="AI47" s="112" t="e">
        <f t="shared" si="35"/>
        <v>#DIV/0!</v>
      </c>
      <c r="AJ47" s="148" t="e">
        <f t="shared" si="36"/>
        <v>#DIV/0!</v>
      </c>
      <c r="AK47" s="147" t="e">
        <f t="shared" si="37"/>
        <v>#DIV/0!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Public works -- see Data2</v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1</v>
      </c>
      <c r="F48" s="75">
        <f>Middle!F48</f>
        <v>1.18</v>
      </c>
      <c r="G48" s="22">
        <f t="shared" si="32"/>
        <v>1.65</v>
      </c>
      <c r="H48" s="24">
        <f t="shared" si="26"/>
        <v>1.18</v>
      </c>
      <c r="I48" s="39">
        <f t="shared" si="27"/>
        <v>0</v>
      </c>
      <c r="J48" s="38" t="e">
        <f t="shared" si="33"/>
        <v>#DIV/0!</v>
      </c>
      <c r="K48" s="40" t="e">
        <f t="shared" si="28"/>
        <v>#DIV/0!</v>
      </c>
      <c r="L48" s="22" t="e">
        <f t="shared" si="29"/>
        <v>#DIV/0!</v>
      </c>
      <c r="M48" s="24" t="e">
        <f t="shared" si="30"/>
        <v>#DIV/0!</v>
      </c>
      <c r="N48" s="2"/>
      <c r="O48" s="2"/>
      <c r="P48" s="2"/>
      <c r="Q48" s="2"/>
      <c r="R48" s="2"/>
      <c r="S48" s="2"/>
      <c r="T48" s="2"/>
      <c r="U48" s="56"/>
      <c r="V48" s="56"/>
      <c r="W48" s="110"/>
      <c r="X48" s="118"/>
      <c r="Y48" s="110"/>
      <c r="Z48" s="156">
        <f>Poor!Z48</f>
        <v>0.25</v>
      </c>
      <c r="AA48" s="147" t="e">
        <f t="shared" si="38"/>
        <v>#DIV/0!</v>
      </c>
      <c r="AB48" s="156">
        <f>Poor!AB48</f>
        <v>0.25</v>
      </c>
      <c r="AC48" s="147" t="e">
        <f t="shared" si="39"/>
        <v>#DIV/0!</v>
      </c>
      <c r="AD48" s="156">
        <f>Poor!AD48</f>
        <v>0.25</v>
      </c>
      <c r="AE48" s="147" t="e">
        <f t="shared" si="40"/>
        <v>#DIV/0!</v>
      </c>
      <c r="AF48" s="122">
        <f t="shared" si="31"/>
        <v>0.25</v>
      </c>
      <c r="AG48" s="147" t="e">
        <f t="shared" si="34"/>
        <v>#DIV/0!</v>
      </c>
      <c r="AH48" s="123">
        <f t="shared" si="35"/>
        <v>1</v>
      </c>
      <c r="AI48" s="112" t="e">
        <f t="shared" si="35"/>
        <v>#DIV/0!</v>
      </c>
      <c r="AJ48" s="148" t="e">
        <f t="shared" si="36"/>
        <v>#DIV/0!</v>
      </c>
      <c r="AK48" s="147" t="e">
        <f t="shared" si="37"/>
        <v>#DIV/0!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/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</v>
      </c>
      <c r="G49" s="22">
        <f t="shared" si="32"/>
        <v>1.65</v>
      </c>
      <c r="H49" s="24">
        <f t="shared" si="26"/>
        <v>1</v>
      </c>
      <c r="I49" s="39">
        <f t="shared" si="27"/>
        <v>0</v>
      </c>
      <c r="J49" s="38" t="e">
        <f t="shared" si="33"/>
        <v>#DIV/0!</v>
      </c>
      <c r="K49" s="40" t="e">
        <f t="shared" si="28"/>
        <v>#DIV/0!</v>
      </c>
      <c r="L49" s="22" t="e">
        <f t="shared" si="29"/>
        <v>#DIV/0!</v>
      </c>
      <c r="M49" s="24" t="e">
        <f t="shared" si="30"/>
        <v>#DIV/0!</v>
      </c>
      <c r="N49" s="2"/>
      <c r="O49" s="2"/>
      <c r="P49" s="2"/>
      <c r="Q49" s="2"/>
      <c r="R49" s="2"/>
      <c r="S49" s="2"/>
      <c r="T49" s="2"/>
      <c r="U49" s="56"/>
      <c r="V49" s="56"/>
      <c r="W49" s="110"/>
      <c r="X49" s="118"/>
      <c r="Y49" s="110"/>
      <c r="Z49" s="156">
        <f>Poor!Z49</f>
        <v>0.25</v>
      </c>
      <c r="AA49" s="147" t="e">
        <f t="shared" si="38"/>
        <v>#DIV/0!</v>
      </c>
      <c r="AB49" s="156">
        <f>Poor!AB49</f>
        <v>0.25</v>
      </c>
      <c r="AC49" s="147" t="e">
        <f t="shared" si="39"/>
        <v>#DIV/0!</v>
      </c>
      <c r="AD49" s="156">
        <f>Poor!AD49</f>
        <v>0.25</v>
      </c>
      <c r="AE49" s="147" t="e">
        <f t="shared" si="40"/>
        <v>#DIV/0!</v>
      </c>
      <c r="AF49" s="122">
        <f t="shared" si="31"/>
        <v>0.25</v>
      </c>
      <c r="AG49" s="147" t="e">
        <f t="shared" si="34"/>
        <v>#DIV/0!</v>
      </c>
      <c r="AH49" s="123">
        <f t="shared" si="35"/>
        <v>1</v>
      </c>
      <c r="AI49" s="112" t="e">
        <f t="shared" si="35"/>
        <v>#DIV/0!</v>
      </c>
      <c r="AJ49" s="148" t="e">
        <f t="shared" si="36"/>
        <v>#DIV/0!</v>
      </c>
      <c r="AK49" s="147" t="e">
        <f t="shared" si="37"/>
        <v>#DIV/0!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 t="e">
        <f t="shared" si="33"/>
        <v>#DIV/0!</v>
      </c>
      <c r="K50" s="40" t="e">
        <f t="shared" si="28"/>
        <v>#DIV/0!</v>
      </c>
      <c r="L50" s="22" t="e">
        <f t="shared" si="29"/>
        <v>#DIV/0!</v>
      </c>
      <c r="M50" s="24" t="e">
        <f t="shared" si="30"/>
        <v>#DIV/0!</v>
      </c>
      <c r="N50" s="2"/>
      <c r="O50" s="2"/>
      <c r="P50" s="2"/>
      <c r="Q50" s="2"/>
      <c r="R50" s="2"/>
      <c r="S50" s="2"/>
      <c r="T50" s="2"/>
      <c r="U50" s="56"/>
      <c r="V50" s="56"/>
      <c r="W50" s="110"/>
      <c r="X50" s="118"/>
      <c r="Y50" s="110"/>
      <c r="Z50" s="156">
        <f>Poor!Z55</f>
        <v>0.25</v>
      </c>
      <c r="AA50" s="147" t="e">
        <f t="shared" si="38"/>
        <v>#DIV/0!</v>
      </c>
      <c r="AB50" s="156">
        <f>Poor!AB55</f>
        <v>0.25</v>
      </c>
      <c r="AC50" s="147" t="e">
        <f t="shared" si="39"/>
        <v>#DIV/0!</v>
      </c>
      <c r="AD50" s="156">
        <f>Poor!AD55</f>
        <v>0.25</v>
      </c>
      <c r="AE50" s="147" t="e">
        <f t="shared" si="40"/>
        <v>#DIV/0!</v>
      </c>
      <c r="AF50" s="122">
        <f t="shared" si="31"/>
        <v>0.25</v>
      </c>
      <c r="AG50" s="147" t="e">
        <f t="shared" si="34"/>
        <v>#DIV/0!</v>
      </c>
      <c r="AH50" s="123">
        <f t="shared" si="35"/>
        <v>1</v>
      </c>
      <c r="AI50" s="112" t="e">
        <f t="shared" si="35"/>
        <v>#DIV/0!</v>
      </c>
      <c r="AJ50" s="148" t="e">
        <f t="shared" si="36"/>
        <v>#DIV/0!</v>
      </c>
      <c r="AK50" s="147" t="e">
        <f t="shared" si="37"/>
        <v>#DIV/0!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 t="e">
        <f t="shared" si="33"/>
        <v>#DIV/0!</v>
      </c>
      <c r="K51" s="40" t="e">
        <f t="shared" si="28"/>
        <v>#DIV/0!</v>
      </c>
      <c r="L51" s="22" t="e">
        <f t="shared" si="29"/>
        <v>#DIV/0!</v>
      </c>
      <c r="M51" s="24" t="e">
        <f t="shared" si="30"/>
        <v>#DIV/0!</v>
      </c>
      <c r="N51" s="2"/>
      <c r="O51" s="2"/>
      <c r="P51" s="2"/>
      <c r="Q51" s="2"/>
      <c r="R51" s="2"/>
      <c r="S51" s="2"/>
      <c r="T51" s="2"/>
      <c r="U51" s="56"/>
      <c r="V51" s="56"/>
      <c r="W51" s="110"/>
      <c r="X51" s="118"/>
      <c r="Y51" s="110"/>
      <c r="Z51" s="156">
        <f>Poor!Z56</f>
        <v>0.25</v>
      </c>
      <c r="AA51" s="147" t="e">
        <f t="shared" si="38"/>
        <v>#DIV/0!</v>
      </c>
      <c r="AB51" s="156">
        <f>Poor!AB56</f>
        <v>0.25</v>
      </c>
      <c r="AC51" s="147" t="e">
        <f t="shared" si="39"/>
        <v>#DIV/0!</v>
      </c>
      <c r="AD51" s="156">
        <f>Poor!AD56</f>
        <v>0.25</v>
      </c>
      <c r="AE51" s="147" t="e">
        <f t="shared" si="40"/>
        <v>#DIV/0!</v>
      </c>
      <c r="AF51" s="122">
        <f t="shared" si="31"/>
        <v>0.25</v>
      </c>
      <c r="AG51" s="147" t="e">
        <f t="shared" si="34"/>
        <v>#DIV/0!</v>
      </c>
      <c r="AH51" s="123">
        <f t="shared" si="35"/>
        <v>1</v>
      </c>
      <c r="AI51" s="112" t="e">
        <f t="shared" si="35"/>
        <v>#DIV/0!</v>
      </c>
      <c r="AJ51" s="148" t="e">
        <f t="shared" si="36"/>
        <v>#DIV/0!</v>
      </c>
      <c r="AK51" s="147" t="e">
        <f t="shared" si="37"/>
        <v>#DIV/0!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 t="e">
        <f t="shared" si="33"/>
        <v>#DIV/0!</v>
      </c>
      <c r="K52" s="40" t="e">
        <f t="shared" si="28"/>
        <v>#DIV/0!</v>
      </c>
      <c r="L52" s="22" t="e">
        <f t="shared" si="29"/>
        <v>#DIV/0!</v>
      </c>
      <c r="M52" s="24" t="e">
        <f t="shared" si="30"/>
        <v>#DIV/0!</v>
      </c>
      <c r="N52" s="2"/>
      <c r="O52" s="2"/>
      <c r="P52" s="2"/>
      <c r="Q52" s="2"/>
      <c r="R52" s="2"/>
      <c r="S52" s="2"/>
      <c r="T52" s="2"/>
      <c r="U52" s="56"/>
      <c r="V52" s="56"/>
      <c r="W52" s="110"/>
      <c r="X52" s="118"/>
      <c r="Y52" s="110"/>
      <c r="Z52" s="156">
        <f>Poor!Z57</f>
        <v>0.25</v>
      </c>
      <c r="AA52" s="147" t="e">
        <f t="shared" si="38"/>
        <v>#DIV/0!</v>
      </c>
      <c r="AB52" s="156">
        <f>Poor!AB57</f>
        <v>0.25</v>
      </c>
      <c r="AC52" s="147" t="e">
        <f t="shared" si="39"/>
        <v>#DIV/0!</v>
      </c>
      <c r="AD52" s="156">
        <f>Poor!AD57</f>
        <v>0.25</v>
      </c>
      <c r="AE52" s="147" t="e">
        <f t="shared" si="40"/>
        <v>#DIV/0!</v>
      </c>
      <c r="AF52" s="122">
        <f t="shared" si="31"/>
        <v>0.25</v>
      </c>
      <c r="AG52" s="147" t="e">
        <f t="shared" si="34"/>
        <v>#DIV/0!</v>
      </c>
      <c r="AH52" s="123">
        <f t="shared" si="35"/>
        <v>1</v>
      </c>
      <c r="AI52" s="112" t="e">
        <f t="shared" si="35"/>
        <v>#DIV/0!</v>
      </c>
      <c r="AJ52" s="148" t="e">
        <f t="shared" si="36"/>
        <v>#DIV/0!</v>
      </c>
      <c r="AK52" s="147" t="e">
        <f t="shared" si="37"/>
        <v>#DIV/0!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 t="e">
        <f t="shared" si="33"/>
        <v>#DIV/0!</v>
      </c>
      <c r="K53" s="40" t="e">
        <f t="shared" ref="K53:K64" si="43">(B53/B$65)</f>
        <v>#DIV/0!</v>
      </c>
      <c r="L53" s="22" t="e">
        <f t="shared" ref="L53:L64" si="44">(K53*H53)</f>
        <v>#DIV/0!</v>
      </c>
      <c r="M53" s="24" t="e">
        <f t="shared" ref="M53:M64" si="45">J53/B$65</f>
        <v>#DIV/0!</v>
      </c>
      <c r="N53" s="2"/>
      <c r="O53" s="2"/>
      <c r="P53" s="2"/>
      <c r="Q53" s="2"/>
      <c r="R53" s="2"/>
      <c r="S53" s="2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 t="e">
        <f t="shared" si="33"/>
        <v>#DIV/0!</v>
      </c>
      <c r="K54" s="40" t="e">
        <f t="shared" si="43"/>
        <v>#DIV/0!</v>
      </c>
      <c r="L54" s="22" t="e">
        <f t="shared" si="44"/>
        <v>#DIV/0!</v>
      </c>
      <c r="M54" s="24" t="e">
        <f t="shared" si="45"/>
        <v>#DIV/0!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 t="e">
        <f t="shared" si="33"/>
        <v>#DIV/0!</v>
      </c>
      <c r="K55" s="40" t="e">
        <f t="shared" si="43"/>
        <v>#DIV/0!</v>
      </c>
      <c r="L55" s="22" t="e">
        <f t="shared" si="44"/>
        <v>#DIV/0!</v>
      </c>
      <c r="M55" s="24" t="e">
        <f t="shared" si="45"/>
        <v>#DIV/0!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 t="e">
        <f t="shared" si="33"/>
        <v>#DIV/0!</v>
      </c>
      <c r="K56" s="40" t="e">
        <f t="shared" si="43"/>
        <v>#DIV/0!</v>
      </c>
      <c r="L56" s="22" t="e">
        <f t="shared" si="44"/>
        <v>#DIV/0!</v>
      </c>
      <c r="M56" s="24" t="e">
        <f t="shared" si="45"/>
        <v>#DIV/0!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 t="e">
        <f t="shared" si="33"/>
        <v>#DIV/0!</v>
      </c>
      <c r="K57" s="40" t="e">
        <f t="shared" si="43"/>
        <v>#DIV/0!</v>
      </c>
      <c r="L57" s="22" t="e">
        <f t="shared" si="44"/>
        <v>#DIV/0!</v>
      </c>
      <c r="M57" s="24" t="e">
        <f t="shared" si="45"/>
        <v>#DIV/0!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 t="e">
        <f t="shared" si="33"/>
        <v>#DIV/0!</v>
      </c>
      <c r="K58" s="40" t="e">
        <f t="shared" si="43"/>
        <v>#DIV/0!</v>
      </c>
      <c r="L58" s="22" t="e">
        <f t="shared" si="44"/>
        <v>#DIV/0!</v>
      </c>
      <c r="M58" s="24" t="e">
        <f t="shared" si="45"/>
        <v>#DIV/0!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 t="e">
        <f t="shared" si="38"/>
        <v>#DIV/0!</v>
      </c>
      <c r="AB58" s="156">
        <f>Poor!AB58</f>
        <v>0.25</v>
      </c>
      <c r="AC58" s="147" t="e">
        <f t="shared" si="39"/>
        <v>#DIV/0!</v>
      </c>
      <c r="AD58" s="156">
        <f>Poor!AD58</f>
        <v>0.25</v>
      </c>
      <c r="AE58" s="147" t="e">
        <f t="shared" si="40"/>
        <v>#DIV/0!</v>
      </c>
      <c r="AF58" s="122">
        <f t="shared" si="31"/>
        <v>0.25</v>
      </c>
      <c r="AG58" s="147" t="e">
        <f t="shared" si="34"/>
        <v>#DIV/0!</v>
      </c>
      <c r="AH58" s="123">
        <f t="shared" si="35"/>
        <v>1</v>
      </c>
      <c r="AI58" s="112" t="e">
        <f t="shared" si="35"/>
        <v>#DIV/0!</v>
      </c>
      <c r="AJ58" s="148" t="e">
        <f t="shared" si="36"/>
        <v>#DIV/0!</v>
      </c>
      <c r="AK58" s="147" t="e">
        <f t="shared" si="37"/>
        <v>#DIV/0!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 t="e">
        <f t="shared" si="33"/>
        <v>#DIV/0!</v>
      </c>
      <c r="K59" s="40" t="e">
        <f t="shared" si="43"/>
        <v>#DIV/0!</v>
      </c>
      <c r="L59" s="22" t="e">
        <f t="shared" si="44"/>
        <v>#DIV/0!</v>
      </c>
      <c r="M59" s="24" t="e">
        <f t="shared" si="45"/>
        <v>#DIV/0!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 t="e">
        <f t="shared" si="38"/>
        <v>#DIV/0!</v>
      </c>
      <c r="AB59" s="156">
        <f>Poor!AB59</f>
        <v>0.25</v>
      </c>
      <c r="AC59" s="147" t="e">
        <f t="shared" si="39"/>
        <v>#DIV/0!</v>
      </c>
      <c r="AD59" s="156">
        <f>Poor!AD59</f>
        <v>0.25</v>
      </c>
      <c r="AE59" s="147" t="e">
        <f t="shared" si="40"/>
        <v>#DIV/0!</v>
      </c>
      <c r="AF59" s="122">
        <f t="shared" si="31"/>
        <v>0.25</v>
      </c>
      <c r="AG59" s="147" t="e">
        <f t="shared" si="34"/>
        <v>#DIV/0!</v>
      </c>
      <c r="AH59" s="123">
        <f t="shared" ref="AH59:AI64" si="46">SUM(Z59,AB59,AD59,AF59)</f>
        <v>1</v>
      </c>
      <c r="AI59" s="112" t="e">
        <f t="shared" si="46"/>
        <v>#DIV/0!</v>
      </c>
      <c r="AJ59" s="148" t="e">
        <f t="shared" si="36"/>
        <v>#DIV/0!</v>
      </c>
      <c r="AK59" s="147" t="e">
        <f t="shared" si="37"/>
        <v>#DIV/0!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 t="e">
        <f t="shared" si="33"/>
        <v>#DIV/0!</v>
      </c>
      <c r="K60" s="40" t="e">
        <f t="shared" si="43"/>
        <v>#DIV/0!</v>
      </c>
      <c r="L60" s="22" t="e">
        <f t="shared" si="44"/>
        <v>#DIV/0!</v>
      </c>
      <c r="M60" s="24" t="e">
        <f t="shared" si="45"/>
        <v>#DIV/0!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 t="e">
        <f t="shared" si="38"/>
        <v>#DIV/0!</v>
      </c>
      <c r="AB60" s="156">
        <f>Poor!AB60</f>
        <v>0.25</v>
      </c>
      <c r="AC60" s="147" t="e">
        <f t="shared" si="39"/>
        <v>#DIV/0!</v>
      </c>
      <c r="AD60" s="156">
        <f>Poor!AD60</f>
        <v>0.25</v>
      </c>
      <c r="AE60" s="147" t="e">
        <f t="shared" si="40"/>
        <v>#DIV/0!</v>
      </c>
      <c r="AF60" s="122">
        <f t="shared" si="31"/>
        <v>0.25</v>
      </c>
      <c r="AG60" s="147" t="e">
        <f t="shared" si="34"/>
        <v>#DIV/0!</v>
      </c>
      <c r="AH60" s="123">
        <f t="shared" si="46"/>
        <v>1</v>
      </c>
      <c r="AI60" s="112" t="e">
        <f t="shared" si="46"/>
        <v>#DIV/0!</v>
      </c>
      <c r="AJ60" s="148" t="e">
        <f t="shared" si="36"/>
        <v>#DIV/0!</v>
      </c>
      <c r="AK60" s="147" t="e">
        <f t="shared" si="37"/>
        <v>#DIV/0!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 t="e">
        <f t="shared" si="33"/>
        <v>#DIV/0!</v>
      </c>
      <c r="K61" s="40" t="e">
        <f t="shared" si="43"/>
        <v>#DIV/0!</v>
      </c>
      <c r="L61" s="22" t="e">
        <f t="shared" si="44"/>
        <v>#DIV/0!</v>
      </c>
      <c r="M61" s="24" t="e">
        <f t="shared" si="45"/>
        <v>#DIV/0!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 t="e">
        <f t="shared" si="38"/>
        <v>#DIV/0!</v>
      </c>
      <c r="AB61" s="156">
        <f>Poor!AB61</f>
        <v>0.25</v>
      </c>
      <c r="AC61" s="147" t="e">
        <f t="shared" si="39"/>
        <v>#DIV/0!</v>
      </c>
      <c r="AD61" s="156">
        <f>Poor!AD61</f>
        <v>0.25</v>
      </c>
      <c r="AE61" s="147" t="e">
        <f t="shared" si="40"/>
        <v>#DIV/0!</v>
      </c>
      <c r="AF61" s="122">
        <f t="shared" si="31"/>
        <v>0.25</v>
      </c>
      <c r="AG61" s="147" t="e">
        <f t="shared" si="34"/>
        <v>#DIV/0!</v>
      </c>
      <c r="AH61" s="123">
        <f t="shared" si="46"/>
        <v>1</v>
      </c>
      <c r="AI61" s="112" t="e">
        <f t="shared" si="46"/>
        <v>#DIV/0!</v>
      </c>
      <c r="AJ61" s="148" t="e">
        <f t="shared" si="36"/>
        <v>#DIV/0!</v>
      </c>
      <c r="AK61" s="147" t="e">
        <f t="shared" si="37"/>
        <v>#DIV/0!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 t="e">
        <f t="shared" si="33"/>
        <v>#DIV/0!</v>
      </c>
      <c r="K62" s="40" t="e">
        <f t="shared" si="43"/>
        <v>#DIV/0!</v>
      </c>
      <c r="L62" s="22" t="e">
        <f t="shared" si="44"/>
        <v>#DIV/0!</v>
      </c>
      <c r="M62" s="24" t="e">
        <f t="shared" si="45"/>
        <v>#DIV/0!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 t="e">
        <f t="shared" si="38"/>
        <v>#DIV/0!</v>
      </c>
      <c r="AB62" s="156">
        <f>Poor!AB62</f>
        <v>0.25</v>
      </c>
      <c r="AC62" s="147" t="e">
        <f t="shared" si="39"/>
        <v>#DIV/0!</v>
      </c>
      <c r="AD62" s="156">
        <f>Poor!AD62</f>
        <v>0.25</v>
      </c>
      <c r="AE62" s="147" t="e">
        <f t="shared" si="40"/>
        <v>#DIV/0!</v>
      </c>
      <c r="AF62" s="122">
        <f t="shared" si="31"/>
        <v>0.25</v>
      </c>
      <c r="AG62" s="147" t="e">
        <f t="shared" si="34"/>
        <v>#DIV/0!</v>
      </c>
      <c r="AH62" s="123">
        <f t="shared" si="46"/>
        <v>1</v>
      </c>
      <c r="AI62" s="112" t="e">
        <f t="shared" si="46"/>
        <v>#DIV/0!</v>
      </c>
      <c r="AJ62" s="148" t="e">
        <f t="shared" si="36"/>
        <v>#DIV/0!</v>
      </c>
      <c r="AK62" s="147" t="e">
        <f t="shared" si="37"/>
        <v>#DIV/0!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 t="e">
        <f t="shared" si="33"/>
        <v>#DIV/0!</v>
      </c>
      <c r="K63" s="40" t="e">
        <f t="shared" si="43"/>
        <v>#DIV/0!</v>
      </c>
      <c r="L63" s="22" t="e">
        <f t="shared" si="44"/>
        <v>#DIV/0!</v>
      </c>
      <c r="M63" s="24" t="e">
        <f t="shared" si="45"/>
        <v>#DIV/0!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 t="e">
        <f t="shared" si="38"/>
        <v>#DIV/0!</v>
      </c>
      <c r="AB63" s="156">
        <f>Poor!AB63</f>
        <v>0.25</v>
      </c>
      <c r="AC63" s="147" t="e">
        <f t="shared" si="39"/>
        <v>#DIV/0!</v>
      </c>
      <c r="AD63" s="156">
        <f>Poor!AD63</f>
        <v>0.25</v>
      </c>
      <c r="AE63" s="147" t="e">
        <f t="shared" si="40"/>
        <v>#DIV/0!</v>
      </c>
      <c r="AF63" s="122">
        <f t="shared" si="31"/>
        <v>0.25</v>
      </c>
      <c r="AG63" s="147" t="e">
        <f t="shared" si="34"/>
        <v>#DIV/0!</v>
      </c>
      <c r="AH63" s="123">
        <f t="shared" si="46"/>
        <v>1</v>
      </c>
      <c r="AI63" s="112" t="e">
        <f t="shared" si="46"/>
        <v>#DIV/0!</v>
      </c>
      <c r="AJ63" s="148" t="e">
        <f t="shared" si="36"/>
        <v>#DIV/0!</v>
      </c>
      <c r="AK63" s="147" t="e">
        <f t="shared" si="37"/>
        <v>#DIV/0!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 t="e">
        <f t="shared" si="33"/>
        <v>#DIV/0!</v>
      </c>
      <c r="K64" s="40" t="e">
        <f t="shared" si="43"/>
        <v>#DIV/0!</v>
      </c>
      <c r="L64" s="22" t="e">
        <f t="shared" si="44"/>
        <v>#DIV/0!</v>
      </c>
      <c r="M64" s="24" t="e">
        <f t="shared" si="45"/>
        <v>#DIV/0!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 t="e">
        <f t="shared" si="38"/>
        <v>#DIV/0!</v>
      </c>
      <c r="AB64" s="156">
        <f>Poor!AB64</f>
        <v>0.25</v>
      </c>
      <c r="AC64" s="149" t="e">
        <f t="shared" si="39"/>
        <v>#DIV/0!</v>
      </c>
      <c r="AD64" s="156">
        <f>Poor!AD64</f>
        <v>0.25</v>
      </c>
      <c r="AE64" s="149" t="e">
        <f t="shared" si="40"/>
        <v>#DIV/0!</v>
      </c>
      <c r="AF64" s="150">
        <f t="shared" si="31"/>
        <v>0.25</v>
      </c>
      <c r="AG64" s="149" t="e">
        <f t="shared" si="34"/>
        <v>#DIV/0!</v>
      </c>
      <c r="AH64" s="123">
        <f t="shared" si="46"/>
        <v>1</v>
      </c>
      <c r="AI64" s="112" t="e">
        <f t="shared" si="46"/>
        <v>#DIV/0!</v>
      </c>
      <c r="AJ64" s="151" t="e">
        <f t="shared" si="36"/>
        <v>#DIV/0!</v>
      </c>
      <c r="AK64" s="149" t="e">
        <f t="shared" si="37"/>
        <v>#DIV/0!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0</v>
      </c>
      <c r="C65" s="39">
        <f>SUM(C37:C64)</f>
        <v>0</v>
      </c>
      <c r="D65" s="42">
        <f>SUM(D37:D64)</f>
        <v>0</v>
      </c>
      <c r="E65" s="32"/>
      <c r="F65" s="32"/>
      <c r="G65" s="32"/>
      <c r="H65" s="31"/>
      <c r="I65" s="39">
        <f>SUM(I37:I64)</f>
        <v>0</v>
      </c>
      <c r="J65" s="39" t="e">
        <f>SUM(J37:J64)</f>
        <v>#DIV/0!</v>
      </c>
      <c r="K65" s="40" t="e">
        <f>SUM(K37:K64)</f>
        <v>#DIV/0!</v>
      </c>
      <c r="L65" s="22" t="e">
        <f>SUM(L37:L64)</f>
        <v>#DIV/0!</v>
      </c>
      <c r="M65" s="24" t="e">
        <f>SUM(M37:M64)</f>
        <v>#DIV/0!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0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 t="e">
        <f>I124*I$83</f>
        <v>#DIV/0!</v>
      </c>
      <c r="J70" s="51" t="e">
        <f>J124*I$83</f>
        <v>#DIV/0!</v>
      </c>
      <c r="K70" s="40" t="e">
        <f>B70/B$76</f>
        <v>#DIV/0!</v>
      </c>
      <c r="L70" s="22" t="e">
        <f>(L124*G$37*F$9/F$7)/B$130</f>
        <v>#DIV/0!</v>
      </c>
      <c r="M70" s="24" t="e">
        <f>J70/B$76</f>
        <v>#DIV/0!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 t="e">
        <f>$J70*Z70</f>
        <v>#DIV/0!</v>
      </c>
      <c r="AB70" s="156">
        <f>Poor!AB70</f>
        <v>0.25</v>
      </c>
      <c r="AC70" s="147" t="e">
        <f>$J70*AB70</f>
        <v>#DIV/0!</v>
      </c>
      <c r="AD70" s="156">
        <f>Poor!AD70</f>
        <v>0.25</v>
      </c>
      <c r="AE70" s="147" t="e">
        <f>$J70*AD70</f>
        <v>#DIV/0!</v>
      </c>
      <c r="AF70" s="156">
        <f>Poor!AF70</f>
        <v>0.25</v>
      </c>
      <c r="AG70" s="147" t="e">
        <f>$J70*AF70</f>
        <v>#DIV/0!</v>
      </c>
      <c r="AH70" s="155">
        <f>SUM(Z70,AB70,AD70,AF70)</f>
        <v>1</v>
      </c>
      <c r="AI70" s="147" t="e">
        <f>SUM(AA70,AC70,AE70,AG70)</f>
        <v>#DIV/0!</v>
      </c>
      <c r="AJ70" s="148" t="e">
        <f>(AA70+AC70)</f>
        <v>#DIV/0!</v>
      </c>
      <c r="AK70" s="147" t="e">
        <f>(AE70+AG70)</f>
        <v>#DIV/0!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0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 t="e">
        <f t="shared" ref="I71:I72" si="48">I125*I$83</f>
        <v>#DIV/0!</v>
      </c>
      <c r="J71" s="51" t="e">
        <f t="shared" ref="J71:J72" si="49">J125*I$83</f>
        <v>#DIV/0!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0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 t="e">
        <f t="shared" si="48"/>
        <v>#DIV/0!</v>
      </c>
      <c r="J72" s="51" t="e">
        <f t="shared" si="49"/>
        <v>#DIV/0!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 t="e">
        <f>I127*I$83</f>
        <v>#DIV/0!</v>
      </c>
      <c r="J73" s="51" t="e">
        <f>J127*I$83</f>
        <v>#DIV/0!</v>
      </c>
      <c r="K73" s="40" t="e">
        <f>B73/B$76</f>
        <v>#DIV/0!</v>
      </c>
      <c r="L73" s="22" t="e">
        <f>(L127*G$37*F$9/F$7)/B$130</f>
        <v>#DIV/0!</v>
      </c>
      <c r="M73" s="24" t="e">
        <f>J73/B$76</f>
        <v>#DIV/0!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0</v>
      </c>
      <c r="AB73" s="156">
        <f>Poor!AB73</f>
        <v>0.09</v>
      </c>
      <c r="AC73" s="147">
        <f>$H$73*$B$73*AB73</f>
        <v>0</v>
      </c>
      <c r="AD73" s="156">
        <f>Poor!AD73</f>
        <v>0.23</v>
      </c>
      <c r="AE73" s="147">
        <f>$H$73*$B$73*AD73</f>
        <v>0</v>
      </c>
      <c r="AF73" s="156">
        <f>Poor!AF73</f>
        <v>0.59</v>
      </c>
      <c r="AG73" s="147">
        <f>$H$73*$B$73*AF73</f>
        <v>0</v>
      </c>
      <c r="AH73" s="155">
        <f>SUM(Z73,AB73,AD73,AF73)</f>
        <v>1</v>
      </c>
      <c r="AI73" s="147">
        <f>SUM(AA73,AC73,AE73,AG73)</f>
        <v>0</v>
      </c>
      <c r="AJ73" s="148">
        <f>(AA73+AC73)</f>
        <v>0</v>
      </c>
      <c r="AK73" s="147">
        <f>(AE73+AG73)</f>
        <v>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0</v>
      </c>
      <c r="C74" s="39"/>
      <c r="D74" s="38"/>
      <c r="E74" s="32"/>
      <c r="F74" s="32"/>
      <c r="G74" s="32"/>
      <c r="H74" s="31"/>
      <c r="I74" s="39" t="e">
        <f>I128*I$83</f>
        <v>#DIV/0!</v>
      </c>
      <c r="J74" s="51" t="e">
        <f>J128*I$83</f>
        <v>#DIV/0!</v>
      </c>
      <c r="K74" s="40" t="e">
        <f>B74/B$76</f>
        <v>#DIV/0!</v>
      </c>
      <c r="L74" s="22" t="e">
        <f>(L128*G$37*F$9/F$7)/B$130</f>
        <v>#DIV/0!</v>
      </c>
      <c r="M74" s="24" t="e">
        <f>J74/B$76</f>
        <v>#DIV/0!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 t="e">
        <f>B129*B83</f>
        <v>#DIV/0!</v>
      </c>
      <c r="C75" s="39"/>
      <c r="D75" s="38"/>
      <c r="E75" s="32"/>
      <c r="F75" s="32"/>
      <c r="G75" s="32"/>
      <c r="H75" s="31"/>
      <c r="I75" s="47"/>
      <c r="J75" s="51" t="e">
        <f>J129*I$83</f>
        <v>#DIV/0!</v>
      </c>
      <c r="K75" s="40" t="e">
        <f>B75/B$76</f>
        <v>#DIV/0!</v>
      </c>
      <c r="L75" s="22" t="e">
        <f>(L129*G$37*F$9/F$7)/B$130</f>
        <v>#DIV/0!</v>
      </c>
      <c r="M75" s="24" t="e">
        <f>J75/B$76</f>
        <v>#DIV/0!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0</v>
      </c>
      <c r="C76" s="39"/>
      <c r="D76" s="38"/>
      <c r="E76" s="32"/>
      <c r="F76" s="32"/>
      <c r="G76" s="32"/>
      <c r="H76" s="31"/>
      <c r="I76" s="39" t="e">
        <f>I130*I$83</f>
        <v>#DIV/0!</v>
      </c>
      <c r="J76" s="51" t="e">
        <f>J130*I$83</f>
        <v>#DIV/0!</v>
      </c>
      <c r="K76" s="40" t="e">
        <f>SUM(K70:K75)</f>
        <v>#DIV/0!</v>
      </c>
      <c r="L76" s="22" t="e">
        <f>SUM(L70:L75)</f>
        <v>#DIV/0!</v>
      </c>
      <c r="M76" s="24" t="e">
        <f>SUM(M70:M75)</f>
        <v>#DIV/0!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 t="e">
        <f>I131*I$83</f>
        <v>#DIV/0!</v>
      </c>
      <c r="J77" s="100" t="e">
        <f>J131*I$83</f>
        <v>#DIV/0!</v>
      </c>
      <c r="K77" s="40"/>
      <c r="L77" s="22" t="e">
        <f>-(L131*G$37*F$9/F$7)/B$130</f>
        <v>#DIV/0!</v>
      </c>
      <c r="M77" s="24" t="e">
        <f>-J77/B$76</f>
        <v>#DIV/0!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0.65272799689315064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3">
        <f>[1]Summ!$J1039</f>
        <v>0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4.8428173497811375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0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0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0</v>
      </c>
      <c r="AB83" s="112"/>
      <c r="AC83" s="165">
        <f>$I$83*AB82/4</f>
        <v>0</v>
      </c>
      <c r="AD83" s="112"/>
      <c r="AE83" s="165">
        <f>$I$83*AD82/4</f>
        <v>0</v>
      </c>
      <c r="AF83" s="112"/>
      <c r="AG83" s="165">
        <f>$I$83*AF82/4</f>
        <v>0</v>
      </c>
      <c r="AH83" s="165">
        <f>SUM(AA83,AC83,AE83,AG83)</f>
        <v>0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7">
        <f>B70+((1-D29)*B83)</f>
        <v>0</v>
      </c>
      <c r="C84" s="46"/>
      <c r="D84" s="238"/>
      <c r="E84" s="64"/>
      <c r="F84" s="64"/>
      <c r="G84" s="64"/>
      <c r="H84" s="239">
        <f>IF(B84=0,0,I84/B84)</f>
        <v>0</v>
      </c>
      <c r="I84" s="237">
        <f>(B70*H70)+((1-(D29*H29))*I83)</f>
        <v>0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 t="e">
        <f>(B37/$B$83)</f>
        <v>#DIV/0!</v>
      </c>
      <c r="C91" s="75" t="e">
        <f>(C37/$B$83)</f>
        <v>#DIV/0!</v>
      </c>
      <c r="D91" s="24" t="e">
        <f t="shared" ref="D91" si="51">(B91+C91)</f>
        <v>#DIV/0!</v>
      </c>
      <c r="H91" s="24">
        <f>(E37*F37/G37*F$7/F$9)</f>
        <v>0.3575757575757576</v>
      </c>
      <c r="I91" s="22" t="e">
        <f t="shared" ref="I91" si="52">(D91*H91)</f>
        <v>#DIV/0!</v>
      </c>
      <c r="J91" s="24" t="e">
        <f>IF(I$32&lt;=1+I$131,I91,L91+J$33*(I91-L91))</f>
        <v>#DIV/0!</v>
      </c>
      <c r="K91" s="22" t="e">
        <f t="shared" ref="K91" si="53">(B91)</f>
        <v>#DIV/0!</v>
      </c>
      <c r="L91" s="22" t="e">
        <f t="shared" ref="L91" si="54">(K91*H91)</f>
        <v>#DIV/0!</v>
      </c>
      <c r="M91" s="230" t="e">
        <f t="shared" si="50"/>
        <v>#DIV/0!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 t="e">
        <f t="shared" ref="B92:C92" si="56">(B38/$B$83)</f>
        <v>#DIV/0!</v>
      </c>
      <c r="C92" s="75" t="e">
        <f t="shared" si="56"/>
        <v>#DIV/0!</v>
      </c>
      <c r="D92" s="24" t="e">
        <f t="shared" ref="D92:D118" si="57">(B92+C92)</f>
        <v>#DIV/0!</v>
      </c>
      <c r="H92" s="24">
        <f t="shared" ref="H92:H118" si="58">(E38*F38/G38*F$7/F$9)</f>
        <v>0.3575757575757576</v>
      </c>
      <c r="I92" s="22" t="e">
        <f t="shared" ref="I92:I118" si="59">(D92*H92)</f>
        <v>#DIV/0!</v>
      </c>
      <c r="J92" s="24" t="e">
        <f t="shared" ref="J92:J118" si="60">IF(I$32&lt;=1+I$131,I92,L92+J$33*(I92-L92))</f>
        <v>#DIV/0!</v>
      </c>
      <c r="K92" s="22" t="e">
        <f t="shared" ref="K92:K118" si="61">(B92)</f>
        <v>#DIV/0!</v>
      </c>
      <c r="L92" s="22" t="e">
        <f t="shared" ref="L92:L118" si="62">(K92*H92)</f>
        <v>#DIV/0!</v>
      </c>
      <c r="M92" s="230" t="e">
        <f t="shared" ref="M92:M118" si="63">(J92)</f>
        <v>#DIV/0!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Beans: kg produced</v>
      </c>
      <c r="B93" s="75" t="e">
        <f t="shared" ref="B93:C93" si="64">(B39/$B$83)</f>
        <v>#DIV/0!</v>
      </c>
      <c r="C93" s="75" t="e">
        <f t="shared" si="64"/>
        <v>#DIV/0!</v>
      </c>
      <c r="D93" s="24" t="e">
        <f t="shared" si="57"/>
        <v>#DIV/0!</v>
      </c>
      <c r="H93" s="24">
        <f t="shared" si="58"/>
        <v>0.16969696969696968</v>
      </c>
      <c r="I93" s="22" t="e">
        <f t="shared" si="59"/>
        <v>#DIV/0!</v>
      </c>
      <c r="J93" s="24" t="e">
        <f t="shared" si="60"/>
        <v>#DIV/0!</v>
      </c>
      <c r="K93" s="22" t="e">
        <f t="shared" si="61"/>
        <v>#DIV/0!</v>
      </c>
      <c r="L93" s="22" t="e">
        <f t="shared" si="62"/>
        <v>#DIV/0!</v>
      </c>
      <c r="M93" s="230" t="e">
        <f t="shared" si="63"/>
        <v>#DIV/0!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Cabbage: no. local meas</v>
      </c>
      <c r="B94" s="75" t="e">
        <f t="shared" ref="B94:C94" si="65">(B40/$B$83)</f>
        <v>#DIV/0!</v>
      </c>
      <c r="C94" s="75" t="e">
        <f t="shared" si="65"/>
        <v>#DIV/0!</v>
      </c>
      <c r="D94" s="24" t="e">
        <f t="shared" si="57"/>
        <v>#DIV/0!</v>
      </c>
      <c r="H94" s="24">
        <f t="shared" si="58"/>
        <v>0.16969696969696968</v>
      </c>
      <c r="I94" s="22" t="e">
        <f t="shared" si="59"/>
        <v>#DIV/0!</v>
      </c>
      <c r="J94" s="24" t="e">
        <f t="shared" si="60"/>
        <v>#DIV/0!</v>
      </c>
      <c r="K94" s="22" t="e">
        <f t="shared" si="61"/>
        <v>#DIV/0!</v>
      </c>
      <c r="L94" s="22" t="e">
        <f t="shared" si="62"/>
        <v>#DIV/0!</v>
      </c>
      <c r="M94" s="230" t="e">
        <f t="shared" si="63"/>
        <v>#DIV/0!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beetroot: no. local meas</v>
      </c>
      <c r="B95" s="75" t="e">
        <f t="shared" ref="B95:C95" si="66">(B41/$B$83)</f>
        <v>#DIV/0!</v>
      </c>
      <c r="C95" s="75" t="e">
        <f t="shared" si="66"/>
        <v>#DIV/0!</v>
      </c>
      <c r="D95" s="24" t="e">
        <f t="shared" si="57"/>
        <v>#DIV/0!</v>
      </c>
      <c r="H95" s="24">
        <f t="shared" si="58"/>
        <v>0.16969696969696968</v>
      </c>
      <c r="I95" s="22" t="e">
        <f t="shared" si="59"/>
        <v>#DIV/0!</v>
      </c>
      <c r="J95" s="24" t="e">
        <f t="shared" si="60"/>
        <v>#DIV/0!</v>
      </c>
      <c r="K95" s="22" t="e">
        <f t="shared" si="61"/>
        <v>#DIV/0!</v>
      </c>
      <c r="L95" s="22" t="e">
        <f t="shared" si="62"/>
        <v>#DIV/0!</v>
      </c>
      <c r="M95" s="230" t="e">
        <f t="shared" si="63"/>
        <v>#DIV/0!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Other crop: Spinach</v>
      </c>
      <c r="B96" s="75" t="e">
        <f t="shared" ref="B96:C96" si="67">(B42/$B$83)</f>
        <v>#DIV/0!</v>
      </c>
      <c r="C96" s="75" t="e">
        <f t="shared" si="67"/>
        <v>#DIV/0!</v>
      </c>
      <c r="D96" s="24" t="e">
        <f t="shared" si="57"/>
        <v>#DIV/0!</v>
      </c>
      <c r="H96" s="24">
        <f t="shared" si="58"/>
        <v>0.16969696969696968</v>
      </c>
      <c r="I96" s="22" t="e">
        <f t="shared" si="59"/>
        <v>#DIV/0!</v>
      </c>
      <c r="J96" s="24" t="e">
        <f t="shared" si="60"/>
        <v>#DIV/0!</v>
      </c>
      <c r="K96" s="22" t="e">
        <f t="shared" si="61"/>
        <v>#DIV/0!</v>
      </c>
      <c r="L96" s="22" t="e">
        <f t="shared" si="62"/>
        <v>#DIV/0!</v>
      </c>
      <c r="M96" s="230" t="e">
        <f t="shared" si="63"/>
        <v>#DIV/0!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crop: pumpkin</v>
      </c>
      <c r="B97" s="75" t="e">
        <f t="shared" ref="B97:C97" si="68">(B43/$B$83)</f>
        <v>#DIV/0!</v>
      </c>
      <c r="C97" s="75" t="e">
        <f t="shared" si="68"/>
        <v>#DIV/0!</v>
      </c>
      <c r="D97" s="24" t="e">
        <f t="shared" si="57"/>
        <v>#DIV/0!</v>
      </c>
      <c r="H97" s="24">
        <f t="shared" si="58"/>
        <v>0.16969696969696968</v>
      </c>
      <c r="I97" s="22" t="e">
        <f t="shared" si="59"/>
        <v>#DIV/0!</v>
      </c>
      <c r="J97" s="24" t="e">
        <f t="shared" si="60"/>
        <v>#DIV/0!</v>
      </c>
      <c r="K97" s="22" t="e">
        <f t="shared" si="61"/>
        <v>#DIV/0!</v>
      </c>
      <c r="L97" s="22" t="e">
        <f t="shared" si="62"/>
        <v>#DIV/0!</v>
      </c>
      <c r="M97" s="230" t="e">
        <f t="shared" si="63"/>
        <v>#DIV/0!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 t="e">
        <f t="shared" ref="B98:C98" si="69">(B44/$B$83)</f>
        <v>#DIV/0!</v>
      </c>
      <c r="C98" s="75" t="e">
        <f t="shared" si="69"/>
        <v>#DIV/0!</v>
      </c>
      <c r="D98" s="24" t="e">
        <f t="shared" si="57"/>
        <v>#DIV/0!</v>
      </c>
      <c r="H98" s="24">
        <f t="shared" si="58"/>
        <v>0.33636363636363642</v>
      </c>
      <c r="I98" s="22" t="e">
        <f t="shared" si="59"/>
        <v>#DIV/0!</v>
      </c>
      <c r="J98" s="24" t="e">
        <f t="shared" si="60"/>
        <v>#DIV/0!</v>
      </c>
      <c r="K98" s="22" t="e">
        <f t="shared" si="61"/>
        <v>#DIV/0!</v>
      </c>
      <c r="L98" s="22" t="e">
        <f t="shared" si="62"/>
        <v>#DIV/0!</v>
      </c>
      <c r="M98" s="230" t="e">
        <f t="shared" si="63"/>
        <v>#DIV/0!</v>
      </c>
      <c r="N98" s="232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Formal Employment (conservancies, etc.)</v>
      </c>
      <c r="B99" s="75" t="e">
        <f t="shared" ref="B99:C99" si="70">(B45/$B$83)</f>
        <v>#DIV/0!</v>
      </c>
      <c r="C99" s="75" t="e">
        <f t="shared" si="70"/>
        <v>#DIV/0!</v>
      </c>
      <c r="D99" s="24" t="e">
        <f t="shared" si="57"/>
        <v>#DIV/0!</v>
      </c>
      <c r="H99" s="24">
        <f t="shared" si="58"/>
        <v>0.42909090909090908</v>
      </c>
      <c r="I99" s="22" t="e">
        <f t="shared" si="59"/>
        <v>#DIV/0!</v>
      </c>
      <c r="J99" s="24" t="e">
        <f t="shared" si="60"/>
        <v>#DIV/0!</v>
      </c>
      <c r="K99" s="22" t="e">
        <f t="shared" si="61"/>
        <v>#DIV/0!</v>
      </c>
      <c r="L99" s="22" t="e">
        <f t="shared" si="62"/>
        <v>#DIV/0!</v>
      </c>
      <c r="M99" s="230" t="e">
        <f t="shared" si="63"/>
        <v>#DIV/0!</v>
      </c>
      <c r="N99" s="232">
        <v>8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Small business -- see Data2</v>
      </c>
      <c r="B100" s="75" t="e">
        <f t="shared" ref="B100:C100" si="71">(B46/$B$83)</f>
        <v>#DIV/0!</v>
      </c>
      <c r="C100" s="75" t="e">
        <f t="shared" si="71"/>
        <v>#DIV/0!</v>
      </c>
      <c r="D100" s="24" t="e">
        <f t="shared" si="57"/>
        <v>#DIV/0!</v>
      </c>
      <c r="H100" s="24">
        <f t="shared" si="58"/>
        <v>0.57212121212121214</v>
      </c>
      <c r="I100" s="22" t="e">
        <f t="shared" si="59"/>
        <v>#DIV/0!</v>
      </c>
      <c r="J100" s="24" t="e">
        <f t="shared" si="60"/>
        <v>#DIV/0!</v>
      </c>
      <c r="K100" s="22" t="e">
        <f t="shared" si="61"/>
        <v>#DIV/0!</v>
      </c>
      <c r="L100" s="22" t="e">
        <f t="shared" si="62"/>
        <v>#DIV/0!</v>
      </c>
      <c r="M100" s="230" t="e">
        <f t="shared" si="63"/>
        <v>#DIV/0!</v>
      </c>
      <c r="N100" s="232">
        <v>11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Social development -- see Data2</v>
      </c>
      <c r="B101" s="75" t="e">
        <f t="shared" ref="B101:C101" si="72">(B47/$B$83)</f>
        <v>#DIV/0!</v>
      </c>
      <c r="C101" s="75" t="e">
        <f t="shared" si="72"/>
        <v>#DIV/0!</v>
      </c>
      <c r="D101" s="24" t="e">
        <f t="shared" si="57"/>
        <v>#DIV/0!</v>
      </c>
      <c r="H101" s="24">
        <f t="shared" si="58"/>
        <v>0.7151515151515152</v>
      </c>
      <c r="I101" s="22" t="e">
        <f t="shared" si="59"/>
        <v>#DIV/0!</v>
      </c>
      <c r="J101" s="24" t="e">
        <f t="shared" si="60"/>
        <v>#DIV/0!</v>
      </c>
      <c r="K101" s="22" t="e">
        <f t="shared" si="61"/>
        <v>#DIV/0!</v>
      </c>
      <c r="L101" s="22" t="e">
        <f t="shared" si="62"/>
        <v>#DIV/0!</v>
      </c>
      <c r="M101" s="230" t="e">
        <f t="shared" si="63"/>
        <v>#DIV/0!</v>
      </c>
      <c r="N101" s="232">
        <v>14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Public works -- see Data2</v>
      </c>
      <c r="B102" s="75" t="e">
        <f t="shared" ref="B102:C102" si="73">(B48/$B$83)</f>
        <v>#DIV/0!</v>
      </c>
      <c r="C102" s="75" t="e">
        <f t="shared" si="73"/>
        <v>#DIV/0!</v>
      </c>
      <c r="D102" s="24" t="e">
        <f t="shared" si="57"/>
        <v>#DIV/0!</v>
      </c>
      <c r="H102" s="24">
        <f t="shared" si="58"/>
        <v>0.7151515151515152</v>
      </c>
      <c r="I102" s="22" t="e">
        <f t="shared" si="59"/>
        <v>#DIV/0!</v>
      </c>
      <c r="J102" s="24" t="e">
        <f t="shared" si="60"/>
        <v>#DIV/0!</v>
      </c>
      <c r="K102" s="22" t="e">
        <f t="shared" si="61"/>
        <v>#DIV/0!</v>
      </c>
      <c r="L102" s="22" t="e">
        <f t="shared" si="62"/>
        <v>#DIV/0!</v>
      </c>
      <c r="M102" s="230" t="e">
        <f t="shared" si="63"/>
        <v>#DIV/0!</v>
      </c>
      <c r="N102" s="232">
        <v>9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 t="e">
        <f t="shared" ref="B103:C103" si="74">(B49/$B$83)</f>
        <v>#DIV/0!</v>
      </c>
      <c r="C103" s="75" t="e">
        <f t="shared" si="74"/>
        <v>#DIV/0!</v>
      </c>
      <c r="D103" s="24" t="e">
        <f t="shared" si="57"/>
        <v>#DIV/0!</v>
      </c>
      <c r="H103" s="24">
        <f t="shared" si="58"/>
        <v>0.60606060606060608</v>
      </c>
      <c r="I103" s="22" t="e">
        <f t="shared" si="59"/>
        <v>#DIV/0!</v>
      </c>
      <c r="J103" s="24" t="e">
        <f t="shared" si="60"/>
        <v>#DIV/0!</v>
      </c>
      <c r="K103" s="22" t="e">
        <f t="shared" si="61"/>
        <v>#DIV/0!</v>
      </c>
      <c r="L103" s="22" t="e">
        <f t="shared" si="62"/>
        <v>#DIV/0!</v>
      </c>
      <c r="M103" s="230" t="e">
        <f t="shared" si="63"/>
        <v>#DIV/0!</v>
      </c>
      <c r="N103" s="23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 t="e">
        <f t="shared" ref="B104:C104" si="75">(B50/$B$83)</f>
        <v>#DIV/0!</v>
      </c>
      <c r="C104" s="75" t="e">
        <f t="shared" si="75"/>
        <v>#DIV/0!</v>
      </c>
      <c r="D104" s="24" t="e">
        <f t="shared" si="57"/>
        <v>#DIV/0!</v>
      </c>
      <c r="H104" s="24">
        <f t="shared" si="58"/>
        <v>0.60606060606060608</v>
      </c>
      <c r="I104" s="22" t="e">
        <f t="shared" si="59"/>
        <v>#DIV/0!</v>
      </c>
      <c r="J104" s="24" t="e">
        <f t="shared" si="60"/>
        <v>#DIV/0!</v>
      </c>
      <c r="K104" s="22" t="e">
        <f t="shared" si="61"/>
        <v>#DIV/0!</v>
      </c>
      <c r="L104" s="22" t="e">
        <f t="shared" si="62"/>
        <v>#DIV/0!</v>
      </c>
      <c r="M104" s="230" t="e">
        <f t="shared" si="63"/>
        <v>#DIV/0!</v>
      </c>
      <c r="N104" s="23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 t="e">
        <f t="shared" ref="B105:C105" si="76">(B51/$B$83)</f>
        <v>#DIV/0!</v>
      </c>
      <c r="C105" s="75" t="e">
        <f t="shared" si="76"/>
        <v>#DIV/0!</v>
      </c>
      <c r="D105" s="24" t="e">
        <f t="shared" si="57"/>
        <v>#DIV/0!</v>
      </c>
      <c r="H105" s="24">
        <f t="shared" si="58"/>
        <v>0.60606060606060608</v>
      </c>
      <c r="I105" s="22" t="e">
        <f t="shared" si="59"/>
        <v>#DIV/0!</v>
      </c>
      <c r="J105" s="24" t="e">
        <f t="shared" si="60"/>
        <v>#DIV/0!</v>
      </c>
      <c r="K105" s="22" t="e">
        <f t="shared" si="61"/>
        <v>#DIV/0!</v>
      </c>
      <c r="L105" s="22" t="e">
        <f t="shared" si="62"/>
        <v>#DIV/0!</v>
      </c>
      <c r="M105" s="230" t="e">
        <f t="shared" si="63"/>
        <v>#DIV/0!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 t="e">
        <f t="shared" ref="B106:C106" si="77">(B52/$B$83)</f>
        <v>#DIV/0!</v>
      </c>
      <c r="C106" s="75" t="e">
        <f t="shared" si="77"/>
        <v>#DIV/0!</v>
      </c>
      <c r="D106" s="24" t="e">
        <f t="shared" si="57"/>
        <v>#DIV/0!</v>
      </c>
      <c r="H106" s="24">
        <f t="shared" si="58"/>
        <v>0.60606060606060608</v>
      </c>
      <c r="I106" s="22" t="e">
        <f t="shared" si="59"/>
        <v>#DIV/0!</v>
      </c>
      <c r="J106" s="24" t="e">
        <f t="shared" si="60"/>
        <v>#DIV/0!</v>
      </c>
      <c r="K106" s="22" t="e">
        <f t="shared" si="61"/>
        <v>#DIV/0!</v>
      </c>
      <c r="L106" s="22" t="e">
        <f t="shared" si="62"/>
        <v>#DIV/0!</v>
      </c>
      <c r="M106" s="230" t="e">
        <f t="shared" si="63"/>
        <v>#DIV/0!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 t="e">
        <f t="shared" ref="B107:C107" si="78">(B53/$B$83)</f>
        <v>#DIV/0!</v>
      </c>
      <c r="C107" s="75" t="e">
        <f t="shared" si="78"/>
        <v>#DIV/0!</v>
      </c>
      <c r="D107" s="24" t="e">
        <f t="shared" si="57"/>
        <v>#DIV/0!</v>
      </c>
      <c r="H107" s="24">
        <f t="shared" si="58"/>
        <v>0.60606060606060608</v>
      </c>
      <c r="I107" s="22" t="e">
        <f t="shared" si="59"/>
        <v>#DIV/0!</v>
      </c>
      <c r="J107" s="24" t="e">
        <f t="shared" si="60"/>
        <v>#DIV/0!</v>
      </c>
      <c r="K107" s="22" t="e">
        <f t="shared" si="61"/>
        <v>#DIV/0!</v>
      </c>
      <c r="L107" s="22" t="e">
        <f t="shared" si="62"/>
        <v>#DIV/0!</v>
      </c>
      <c r="M107" s="230" t="e">
        <f t="shared" si="63"/>
        <v>#DIV/0!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 t="e">
        <f t="shared" ref="B108:C108" si="79">(B54/$B$83)</f>
        <v>#DIV/0!</v>
      </c>
      <c r="C108" s="75" t="e">
        <f t="shared" si="79"/>
        <v>#DIV/0!</v>
      </c>
      <c r="D108" s="24" t="e">
        <f t="shared" si="57"/>
        <v>#DIV/0!</v>
      </c>
      <c r="H108" s="24">
        <f t="shared" si="58"/>
        <v>0.60606060606060608</v>
      </c>
      <c r="I108" s="22" t="e">
        <f t="shared" si="59"/>
        <v>#DIV/0!</v>
      </c>
      <c r="J108" s="24" t="e">
        <f t="shared" si="60"/>
        <v>#DIV/0!</v>
      </c>
      <c r="K108" s="22" t="e">
        <f t="shared" si="61"/>
        <v>#DIV/0!</v>
      </c>
      <c r="L108" s="22" t="e">
        <f t="shared" si="62"/>
        <v>#DIV/0!</v>
      </c>
      <c r="M108" s="230" t="e">
        <f t="shared" si="63"/>
        <v>#DIV/0!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 t="e">
        <f t="shared" ref="B109:C109" si="80">(B55/$B$83)</f>
        <v>#DIV/0!</v>
      </c>
      <c r="C109" s="75" t="e">
        <f t="shared" si="80"/>
        <v>#DIV/0!</v>
      </c>
      <c r="D109" s="24" t="e">
        <f t="shared" si="57"/>
        <v>#DIV/0!</v>
      </c>
      <c r="H109" s="24">
        <f t="shared" si="58"/>
        <v>0.60606060606060608</v>
      </c>
      <c r="I109" s="22" t="e">
        <f t="shared" si="59"/>
        <v>#DIV/0!</v>
      </c>
      <c r="J109" s="24" t="e">
        <f t="shared" si="60"/>
        <v>#DIV/0!</v>
      </c>
      <c r="K109" s="22" t="e">
        <f t="shared" si="61"/>
        <v>#DIV/0!</v>
      </c>
      <c r="L109" s="22" t="e">
        <f t="shared" si="62"/>
        <v>#DIV/0!</v>
      </c>
      <c r="M109" s="230" t="e">
        <f t="shared" si="63"/>
        <v>#DIV/0!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 t="e">
        <f t="shared" ref="B110:C110" si="81">(B56/$B$83)</f>
        <v>#DIV/0!</v>
      </c>
      <c r="C110" s="75" t="e">
        <f t="shared" si="81"/>
        <v>#DIV/0!</v>
      </c>
      <c r="D110" s="24" t="e">
        <f t="shared" si="57"/>
        <v>#DIV/0!</v>
      </c>
      <c r="H110" s="24">
        <f t="shared" si="58"/>
        <v>0.60606060606060608</v>
      </c>
      <c r="I110" s="22" t="e">
        <f t="shared" si="59"/>
        <v>#DIV/0!</v>
      </c>
      <c r="J110" s="24" t="e">
        <f t="shared" si="60"/>
        <v>#DIV/0!</v>
      </c>
      <c r="K110" s="22" t="e">
        <f t="shared" si="61"/>
        <v>#DIV/0!</v>
      </c>
      <c r="L110" s="22" t="e">
        <f t="shared" si="62"/>
        <v>#DIV/0!</v>
      </c>
      <c r="M110" s="230" t="e">
        <f t="shared" si="63"/>
        <v>#DIV/0!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 t="e">
        <f t="shared" ref="B111:C111" si="82">(B57/$B$83)</f>
        <v>#DIV/0!</v>
      </c>
      <c r="C111" s="75" t="e">
        <f t="shared" si="82"/>
        <v>#DIV/0!</v>
      </c>
      <c r="D111" s="24" t="e">
        <f t="shared" si="57"/>
        <v>#DIV/0!</v>
      </c>
      <c r="H111" s="24">
        <f t="shared" si="58"/>
        <v>0.60606060606060608</v>
      </c>
      <c r="I111" s="22" t="e">
        <f t="shared" si="59"/>
        <v>#DIV/0!</v>
      </c>
      <c r="J111" s="24" t="e">
        <f t="shared" si="60"/>
        <v>#DIV/0!</v>
      </c>
      <c r="K111" s="22" t="e">
        <f t="shared" si="61"/>
        <v>#DIV/0!</v>
      </c>
      <c r="L111" s="22" t="e">
        <f t="shared" si="62"/>
        <v>#DIV/0!</v>
      </c>
      <c r="M111" s="230" t="e">
        <f t="shared" si="63"/>
        <v>#DIV/0!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 t="e">
        <f t="shared" ref="B112:C112" si="83">(B58/$B$83)</f>
        <v>#DIV/0!</v>
      </c>
      <c r="C112" s="75" t="e">
        <f t="shared" si="83"/>
        <v>#DIV/0!</v>
      </c>
      <c r="D112" s="24" t="e">
        <f t="shared" si="57"/>
        <v>#DIV/0!</v>
      </c>
      <c r="H112" s="24">
        <f t="shared" si="58"/>
        <v>0.60606060606060608</v>
      </c>
      <c r="I112" s="22" t="e">
        <f t="shared" si="59"/>
        <v>#DIV/0!</v>
      </c>
      <c r="J112" s="24" t="e">
        <f t="shared" si="60"/>
        <v>#DIV/0!</v>
      </c>
      <c r="K112" s="22" t="e">
        <f t="shared" si="61"/>
        <v>#DIV/0!</v>
      </c>
      <c r="L112" s="22" t="e">
        <f t="shared" si="62"/>
        <v>#DIV/0!</v>
      </c>
      <c r="M112" s="230" t="e">
        <f t="shared" si="63"/>
        <v>#DIV/0!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 t="e">
        <f t="shared" ref="B113:C113" si="84">(B59/$B$83)</f>
        <v>#DIV/0!</v>
      </c>
      <c r="C113" s="75" t="e">
        <f t="shared" si="84"/>
        <v>#DIV/0!</v>
      </c>
      <c r="D113" s="24" t="e">
        <f t="shared" si="57"/>
        <v>#DIV/0!</v>
      </c>
      <c r="H113" s="24">
        <f t="shared" si="58"/>
        <v>0.60606060606060608</v>
      </c>
      <c r="I113" s="22" t="e">
        <f t="shared" si="59"/>
        <v>#DIV/0!</v>
      </c>
      <c r="J113" s="24" t="e">
        <f t="shared" si="60"/>
        <v>#DIV/0!</v>
      </c>
      <c r="K113" s="22" t="e">
        <f t="shared" si="61"/>
        <v>#DIV/0!</v>
      </c>
      <c r="L113" s="22" t="e">
        <f t="shared" si="62"/>
        <v>#DIV/0!</v>
      </c>
      <c r="M113" s="230" t="e">
        <f t="shared" si="63"/>
        <v>#DIV/0!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 t="e">
        <f t="shared" ref="B114:C114" si="85">(B60/$B$83)</f>
        <v>#DIV/0!</v>
      </c>
      <c r="C114" s="75" t="e">
        <f t="shared" si="85"/>
        <v>#DIV/0!</v>
      </c>
      <c r="D114" s="24" t="e">
        <f t="shared" si="57"/>
        <v>#DIV/0!</v>
      </c>
      <c r="H114" s="24">
        <f t="shared" si="58"/>
        <v>0.60606060606060608</v>
      </c>
      <c r="I114" s="22" t="e">
        <f t="shared" si="59"/>
        <v>#DIV/0!</v>
      </c>
      <c r="J114" s="24" t="e">
        <f t="shared" si="60"/>
        <v>#DIV/0!</v>
      </c>
      <c r="K114" s="22" t="e">
        <f t="shared" si="61"/>
        <v>#DIV/0!</v>
      </c>
      <c r="L114" s="22" t="e">
        <f t="shared" si="62"/>
        <v>#DIV/0!</v>
      </c>
      <c r="M114" s="230" t="e">
        <f t="shared" si="63"/>
        <v>#DIV/0!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 t="e">
        <f t="shared" ref="B115:C115" si="86">(B61/$B$83)</f>
        <v>#DIV/0!</v>
      </c>
      <c r="C115" s="75" t="e">
        <f t="shared" si="86"/>
        <v>#DIV/0!</v>
      </c>
      <c r="D115" s="24" t="e">
        <f t="shared" si="57"/>
        <v>#DIV/0!</v>
      </c>
      <c r="H115" s="24">
        <f t="shared" si="58"/>
        <v>0.60606060606060608</v>
      </c>
      <c r="I115" s="22" t="e">
        <f t="shared" si="59"/>
        <v>#DIV/0!</v>
      </c>
      <c r="J115" s="24" t="e">
        <f t="shared" si="60"/>
        <v>#DIV/0!</v>
      </c>
      <c r="K115" s="22" t="e">
        <f t="shared" si="61"/>
        <v>#DIV/0!</v>
      </c>
      <c r="L115" s="22" t="e">
        <f t="shared" si="62"/>
        <v>#DIV/0!</v>
      </c>
      <c r="M115" s="230" t="e">
        <f t="shared" si="63"/>
        <v>#DIV/0!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 t="e">
        <f t="shared" ref="B116:C116" si="87">(B62/$B$83)</f>
        <v>#DIV/0!</v>
      </c>
      <c r="C116" s="75" t="e">
        <f t="shared" si="87"/>
        <v>#DIV/0!</v>
      </c>
      <c r="D116" s="24" t="e">
        <f t="shared" si="57"/>
        <v>#DIV/0!</v>
      </c>
      <c r="H116" s="24">
        <f t="shared" si="58"/>
        <v>0.60606060606060608</v>
      </c>
      <c r="I116" s="22" t="e">
        <f t="shared" si="59"/>
        <v>#DIV/0!</v>
      </c>
      <c r="J116" s="24" t="e">
        <f t="shared" si="60"/>
        <v>#DIV/0!</v>
      </c>
      <c r="K116" s="22" t="e">
        <f t="shared" si="61"/>
        <v>#DIV/0!</v>
      </c>
      <c r="L116" s="22" t="e">
        <f t="shared" si="62"/>
        <v>#DIV/0!</v>
      </c>
      <c r="M116" s="230" t="e">
        <f t="shared" si="63"/>
        <v>#DIV/0!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 t="e">
        <f t="shared" ref="B117:C117" si="88">(B63/$B$83)</f>
        <v>#DIV/0!</v>
      </c>
      <c r="C117" s="75" t="e">
        <f t="shared" si="88"/>
        <v>#DIV/0!</v>
      </c>
      <c r="D117" s="24" t="e">
        <f t="shared" si="57"/>
        <v>#DIV/0!</v>
      </c>
      <c r="H117" s="24">
        <f t="shared" si="58"/>
        <v>0.60606060606060608</v>
      </c>
      <c r="I117" s="22" t="e">
        <f t="shared" si="59"/>
        <v>#DIV/0!</v>
      </c>
      <c r="J117" s="24" t="e">
        <f t="shared" si="60"/>
        <v>#DIV/0!</v>
      </c>
      <c r="K117" s="22" t="e">
        <f t="shared" si="61"/>
        <v>#DIV/0!</v>
      </c>
      <c r="L117" s="22" t="e">
        <f t="shared" si="62"/>
        <v>#DIV/0!</v>
      </c>
      <c r="M117" s="230" t="e">
        <f t="shared" si="63"/>
        <v>#DIV/0!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 t="e">
        <f t="shared" ref="B118:C118" si="89">(B64/$B$83)</f>
        <v>#DIV/0!</v>
      </c>
      <c r="C118" s="75" t="e">
        <f t="shared" si="89"/>
        <v>#DIV/0!</v>
      </c>
      <c r="D118" s="24" t="e">
        <f t="shared" si="57"/>
        <v>#DIV/0!</v>
      </c>
      <c r="H118" s="24">
        <f t="shared" si="58"/>
        <v>0.60606060606060608</v>
      </c>
      <c r="I118" s="22" t="e">
        <f t="shared" si="59"/>
        <v>#DIV/0!</v>
      </c>
      <c r="J118" s="24" t="e">
        <f t="shared" si="60"/>
        <v>#DIV/0!</v>
      </c>
      <c r="K118" s="22" t="e">
        <f t="shared" si="61"/>
        <v>#DIV/0!</v>
      </c>
      <c r="L118" s="22" t="e">
        <f t="shared" si="62"/>
        <v>#DIV/0!</v>
      </c>
      <c r="M118" s="230" t="e">
        <f t="shared" si="63"/>
        <v>#DIV/0!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 t="e">
        <f>SUM(B91:B118)</f>
        <v>#DIV/0!</v>
      </c>
      <c r="C119" s="22" t="e">
        <f>SUM(C91:C118)</f>
        <v>#DIV/0!</v>
      </c>
      <c r="D119" s="24" t="e">
        <f>SUM(D91:D118)</f>
        <v>#DIV/0!</v>
      </c>
      <c r="E119" s="22"/>
      <c r="F119" s="2"/>
      <c r="G119" s="2"/>
      <c r="H119" s="31"/>
      <c r="I119" s="22" t="e">
        <f>SUM(I91:I118)</f>
        <v>#DIV/0!</v>
      </c>
      <c r="J119" s="24" t="e">
        <f>SUM(J91:J118)</f>
        <v>#DIV/0!</v>
      </c>
      <c r="K119" s="22" t="e">
        <f>SUM(K91:K118)</f>
        <v>#DIV/0!</v>
      </c>
      <c r="L119" s="22" t="e">
        <f>SUM(L91:L118)</f>
        <v>#DIV/0!</v>
      </c>
      <c r="M119" s="57" t="e">
        <f t="shared" si="50"/>
        <v>#DIV/0!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 t="e">
        <f>B70/B$83</f>
        <v>#DIV/0!</v>
      </c>
      <c r="C124" s="2"/>
      <c r="D124" s="24"/>
      <c r="H124" s="24">
        <f>(E70*F70/G$37*F$7/F$9)</f>
        <v>0.84848484848484851</v>
      </c>
      <c r="I124" s="29" t="e">
        <f>IF(SUMPRODUCT($B$124:$B124,$H$124:$H124)&lt;I$119,($B124*$H124),I$119)</f>
        <v>#DIV/0!</v>
      </c>
      <c r="J124" s="240" t="e">
        <f>IF(SUMPRODUCT($B$124:$B124,$H$124:$H124)&lt;J$119,($B124*$H124),J$119)</f>
        <v>#DIV/0!</v>
      </c>
      <c r="K124" s="22" t="e">
        <f>(B124)</f>
        <v>#DIV/0!</v>
      </c>
      <c r="L124" s="29" t="e">
        <f>IF(SUMPRODUCT($B$124:$B124,$H$124:$H124)&lt;L$119,($B124*$H124),L$119)</f>
        <v>#DIV/0!</v>
      </c>
      <c r="M124" s="57" t="e">
        <f t="shared" si="90"/>
        <v>#DIV/0!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 t="e">
        <f>B71/B$83</f>
        <v>#DIV/0!</v>
      </c>
      <c r="C125" s="2"/>
      <c r="D125" s="24"/>
      <c r="H125" s="24">
        <f>(E71*F71/G$37*F$7/F$9)</f>
        <v>0.7151515151515152</v>
      </c>
      <c r="I125" s="29" t="e">
        <f>IF(SUMPRODUCT($B$124:$B125,$H$124:$H125)&lt;I$119,($B125*$H125),IF(SUMPRODUCT($B$124:$B124,$H$124:$H124)&lt;I$119,I$119-SUMPRODUCT($B$124:$B124,$H$124:$H124),0))</f>
        <v>#DIV/0!</v>
      </c>
      <c r="J125" s="240" t="e">
        <f>IF(SUMPRODUCT($B$124:$B125,$H$124:$H125)&lt;J$119,($B125*$H125),IF(SUMPRODUCT($B$124:$B124,$H$124:$H124)&lt;J$119,J$119-SUMPRODUCT($B$124:$B124,$H$124:$H124),0))</f>
        <v>#DIV/0!</v>
      </c>
      <c r="K125" s="22" t="e">
        <f t="shared" ref="K125:K126" si="91">(B125)</f>
        <v>#DIV/0!</v>
      </c>
      <c r="L125" s="29" t="e">
        <f>IF(SUMPRODUCT($B$124:$B125,$H$124:$H125)&lt;L$119,($B125*$H125),IF(SUMPRODUCT($B$124:$B124,$H$124:$H124)&lt;L$119,L$119-SUMPRODUCT($B$124:$B124,$H$124:$H124),0))</f>
        <v>#DIV/0!</v>
      </c>
      <c r="M125" s="57" t="e">
        <f t="shared" ref="M125:M126" si="92">(J125)</f>
        <v>#DIV/0!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 t="e">
        <f>B72/B$83</f>
        <v>#DIV/0!</v>
      </c>
      <c r="C126" s="2"/>
      <c r="D126" s="24"/>
      <c r="H126" s="24">
        <f>(E72*F72/G$37*F$7/F$9)</f>
        <v>0.7151515151515152</v>
      </c>
      <c r="I126" s="29" t="e">
        <f>IF(SUMPRODUCT($B$124:$B126,$H$124:$H126)&lt;(I$119-I$128),($B126*$H126),IF(SUMPRODUCT($B$124:$B125,$H$124:$H125)&lt;(I$119-I$128),I$119-I$128-SUMPRODUCT($B$124:$B125,$H$124:$H125),0))</f>
        <v>#DIV/0!</v>
      </c>
      <c r="J126" s="240" t="e">
        <f>IF(SUMPRODUCT($B$124:$B126,$H$124:$H126)&lt;(J$119-J$128),($B126*$H126),IF(SUMPRODUCT($B$124:$B125,$H$124:$H125)&lt;(J$119-J$128),J$119-J$128-SUMPRODUCT($B$124:$B125,$H$124:$H125),0))</f>
        <v>#DIV/0!</v>
      </c>
      <c r="K126" s="22" t="e">
        <f t="shared" si="91"/>
        <v>#DIV/0!</v>
      </c>
      <c r="L126" s="29" t="e">
        <f>IF(SUMPRODUCT($B$124:$B126,$H$124:$H126)&lt;(L$119-L$128),($B126*$H126),IF(SUMPRODUCT($B$124:$B125,$H$124:$H125)&lt;(L$119-L$128),L$119-L$128-SUMPRODUCT($B$124:$B125,$H$124:$H125),0))</f>
        <v>#DIV/0!</v>
      </c>
      <c r="M126" s="57" t="e">
        <f t="shared" si="92"/>
        <v>#DIV/0!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 t="e">
        <f>B73/B83</f>
        <v>#DIV/0!</v>
      </c>
      <c r="C127" s="2"/>
      <c r="D127" s="24"/>
      <c r="H127" s="24">
        <f>(E73*F73/G$37*F$7/F$9)</f>
        <v>0.7151515151515152</v>
      </c>
      <c r="I127" s="29" t="e">
        <f>IF(SUMPRODUCT($B$124:$B127,$H$124:$H127)&lt;(I$119-I$128),($B127*$H127),IF(SUMPRODUCT($B$124:$B126,$H$124:$H126)&lt;(I$119-I128),I$119-I$128-SUMPRODUCT($B$124:$B126,$H$124:$H126),0))</f>
        <v>#DIV/0!</v>
      </c>
      <c r="J127" s="240" t="e">
        <f>IF(SUMPRODUCT($B$124:$B127,$H$124:$H127)&lt;(J$119-J$128),($B127*$H127),IF(SUMPRODUCT($B$124:$B126,$H$124:$H126)&lt;(J$119-J128),J$119-J$128-SUMPRODUCT($B$124:$B126,$H$124:$H126),0))</f>
        <v>#DIV/0!</v>
      </c>
      <c r="K127" s="22" t="e">
        <f>(B127)</f>
        <v>#DIV/0!</v>
      </c>
      <c r="L127" s="29" t="e">
        <f>IF(SUMPRODUCT($B$124:$B127,$H$124:$H127)&lt;(L$119-L$128),($B127*$H127),IF(SUMPRODUCT($B$124:$B126,$H$124:$H126)&lt;(L$119-L128),L$119-L$128-SUMPRODUCT($B$124:$B126,$H$124:$H126),0))</f>
        <v>#DIV/0!</v>
      </c>
      <c r="M127" s="57" t="e">
        <f t="shared" si="90"/>
        <v>#DIV/0!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</v>
      </c>
      <c r="C128" s="2"/>
      <c r="D128" s="31"/>
      <c r="E128" s="2"/>
      <c r="F128" s="2"/>
      <c r="G128" s="2"/>
      <c r="H128" s="24"/>
      <c r="I128" s="29" t="e">
        <f>(I30)</f>
        <v>#DIV/0!</v>
      </c>
      <c r="J128" s="231" t="e">
        <f>(J30)</f>
        <v>#DIV/0!</v>
      </c>
      <c r="K128" s="22">
        <f>(B128)</f>
        <v>0</v>
      </c>
      <c r="L128" s="22" t="e">
        <f>IF(L124=L119,0,(L119-L124)/(B119-B124)*K128)</f>
        <v>#DIV/0!</v>
      </c>
      <c r="M128" s="57" t="e">
        <f t="shared" si="90"/>
        <v>#DIV/0!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 t="e">
        <f>IF(SUM(B124:B128)&gt;B130,0,B130-B124-B125-B126-B127-B128)</f>
        <v>#DIV/0!</v>
      </c>
      <c r="C129" s="2"/>
      <c r="D129" s="31"/>
      <c r="E129" s="2"/>
      <c r="F129" s="2"/>
      <c r="G129" s="2"/>
      <c r="H129" s="24"/>
      <c r="I129" s="29"/>
      <c r="J129" s="231" t="e">
        <f>IF(SUM(J124:J128)&gt;J130,0,J130-SUM(J124:J128))</f>
        <v>#DIV/0!</v>
      </c>
      <c r="K129" s="29" t="e">
        <f>(B129)</f>
        <v>#DIV/0!</v>
      </c>
      <c r="L129" s="60" t="e">
        <f>IF(SUM(L124:L128)&gt;L130,0,L130-SUM(L124:L128))</f>
        <v>#DIV/0!</v>
      </c>
      <c r="M129" s="57" t="e">
        <f t="shared" si="90"/>
        <v>#DIV/0!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 t="e">
        <f>(B119)</f>
        <v>#DIV/0!</v>
      </c>
      <c r="C130" s="2"/>
      <c r="D130" s="31"/>
      <c r="E130" s="2"/>
      <c r="F130" s="2"/>
      <c r="G130" s="2"/>
      <c r="H130" s="24"/>
      <c r="I130" s="29" t="e">
        <f>(I119)</f>
        <v>#DIV/0!</v>
      </c>
      <c r="J130" s="231" t="e">
        <f>(J119)</f>
        <v>#DIV/0!</v>
      </c>
      <c r="K130" s="22" t="e">
        <f>(B130)</f>
        <v>#DIV/0!</v>
      </c>
      <c r="L130" s="22" t="e">
        <f>(L119)</f>
        <v>#DIV/0!</v>
      </c>
      <c r="M130" s="57" t="e">
        <f t="shared" si="90"/>
        <v>#DIV/0!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 t="e">
        <f>IF(SUMPRODUCT($B124:$B125,$H124:$H125)&gt;(I119-I128),SUMPRODUCT($B124:$B125,$H124:$H125)+I128-I119,0)</f>
        <v>#DIV/0!</v>
      </c>
      <c r="J131" s="240" t="e">
        <f>IF(SUMPRODUCT($B124:$B125,$H124:$H125)&gt;(J119-J128),SUMPRODUCT($B124:$B125,$H124:$H125)+J128-J119,0)</f>
        <v>#DIV/0!</v>
      </c>
      <c r="K131" s="29"/>
      <c r="L131" s="29" t="e">
        <f>IF(I131&lt;SUM(L126:L127),0,I131-(SUM(L126:L127)))</f>
        <v>#DIV/0!</v>
      </c>
      <c r="M131" s="240" t="e">
        <f>IF(I131&lt;SUM(M126:M127),0,I131-(SUM(M126:M127)))</f>
        <v>#DIV/0!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78" operator="equal">
      <formula>16</formula>
    </cfRule>
    <cfRule type="cellIs" dxfId="145" priority="279" operator="equal">
      <formula>15</formula>
    </cfRule>
    <cfRule type="cellIs" dxfId="144" priority="280" operator="equal">
      <formula>14</formula>
    </cfRule>
    <cfRule type="cellIs" dxfId="143" priority="281" operator="equal">
      <formula>13</formula>
    </cfRule>
    <cfRule type="cellIs" dxfId="142" priority="282" operator="equal">
      <formula>12</formula>
    </cfRule>
    <cfRule type="cellIs" dxfId="141" priority="283" operator="equal">
      <formula>11</formula>
    </cfRule>
    <cfRule type="cellIs" dxfId="140" priority="284" operator="equal">
      <formula>10</formula>
    </cfRule>
    <cfRule type="cellIs" dxfId="139" priority="285" operator="equal">
      <formula>9</formula>
    </cfRule>
    <cfRule type="cellIs" dxfId="138" priority="286" operator="equal">
      <formula>8</formula>
    </cfRule>
    <cfRule type="cellIs" dxfId="137" priority="287" operator="equal">
      <formula>7</formula>
    </cfRule>
    <cfRule type="cellIs" dxfId="136" priority="288" operator="equal">
      <formula>6</formula>
    </cfRule>
    <cfRule type="cellIs" dxfId="135" priority="289" operator="equal">
      <formula>5</formula>
    </cfRule>
    <cfRule type="cellIs" dxfId="134" priority="290" operator="equal">
      <formula>4</formula>
    </cfRule>
    <cfRule type="cellIs" dxfId="133" priority="291" operator="equal">
      <formula>3</formula>
    </cfRule>
    <cfRule type="cellIs" dxfId="132" priority="292" operator="equal">
      <formula>2</formula>
    </cfRule>
    <cfRule type="cellIs" dxfId="131" priority="293" operator="equal">
      <formula>1</formula>
    </cfRule>
  </conditionalFormatting>
  <conditionalFormatting sqref="N29">
    <cfRule type="cellIs" dxfId="130" priority="262" operator="equal">
      <formula>16</formula>
    </cfRule>
    <cfRule type="cellIs" dxfId="129" priority="263" operator="equal">
      <formula>15</formula>
    </cfRule>
    <cfRule type="cellIs" dxfId="128" priority="264" operator="equal">
      <formula>14</formula>
    </cfRule>
    <cfRule type="cellIs" dxfId="127" priority="265" operator="equal">
      <formula>13</formula>
    </cfRule>
    <cfRule type="cellIs" dxfId="126" priority="266" operator="equal">
      <formula>12</formula>
    </cfRule>
    <cfRule type="cellIs" dxfId="125" priority="267" operator="equal">
      <formula>11</formula>
    </cfRule>
    <cfRule type="cellIs" dxfId="124" priority="268" operator="equal">
      <formula>10</formula>
    </cfRule>
    <cfRule type="cellIs" dxfId="123" priority="269" operator="equal">
      <formula>9</formula>
    </cfRule>
    <cfRule type="cellIs" dxfId="122" priority="270" operator="equal">
      <formula>8</formula>
    </cfRule>
    <cfRule type="cellIs" dxfId="121" priority="271" operator="equal">
      <formula>7</formula>
    </cfRule>
    <cfRule type="cellIs" dxfId="120" priority="272" operator="equal">
      <formula>6</formula>
    </cfRule>
    <cfRule type="cellIs" dxfId="119" priority="273" operator="equal">
      <formula>5</formula>
    </cfRule>
    <cfRule type="cellIs" dxfId="118" priority="274" operator="equal">
      <formula>4</formula>
    </cfRule>
    <cfRule type="cellIs" dxfId="117" priority="275" operator="equal">
      <formula>3</formula>
    </cfRule>
    <cfRule type="cellIs" dxfId="116" priority="276" operator="equal">
      <formula>2</formula>
    </cfRule>
    <cfRule type="cellIs" dxfId="115" priority="277" operator="equal">
      <formula>1</formula>
    </cfRule>
  </conditionalFormatting>
  <conditionalFormatting sqref="N113:N118">
    <cfRule type="cellIs" dxfId="114" priority="214" operator="equal">
      <formula>16</formula>
    </cfRule>
    <cfRule type="cellIs" dxfId="113" priority="215" operator="equal">
      <formula>15</formula>
    </cfRule>
    <cfRule type="cellIs" dxfId="112" priority="216" operator="equal">
      <formula>14</formula>
    </cfRule>
    <cfRule type="cellIs" dxfId="111" priority="217" operator="equal">
      <formula>13</formula>
    </cfRule>
    <cfRule type="cellIs" dxfId="110" priority="218" operator="equal">
      <formula>12</formula>
    </cfRule>
    <cfRule type="cellIs" dxfId="109" priority="219" operator="equal">
      <formula>11</formula>
    </cfRule>
    <cfRule type="cellIs" dxfId="108" priority="220" operator="equal">
      <formula>10</formula>
    </cfRule>
    <cfRule type="cellIs" dxfId="107" priority="221" operator="equal">
      <formula>9</formula>
    </cfRule>
    <cfRule type="cellIs" dxfId="106" priority="222" operator="equal">
      <formula>8</formula>
    </cfRule>
    <cfRule type="cellIs" dxfId="105" priority="223" operator="equal">
      <formula>7</formula>
    </cfRule>
    <cfRule type="cellIs" dxfId="104" priority="224" operator="equal">
      <formula>6</formula>
    </cfRule>
    <cfRule type="cellIs" dxfId="103" priority="225" operator="equal">
      <formula>5</formula>
    </cfRule>
    <cfRule type="cellIs" dxfId="102" priority="226" operator="equal">
      <formula>4</formula>
    </cfRule>
    <cfRule type="cellIs" dxfId="101" priority="227" operator="equal">
      <formula>3</formula>
    </cfRule>
    <cfRule type="cellIs" dxfId="100" priority="228" operator="equal">
      <formula>2</formula>
    </cfRule>
    <cfRule type="cellIs" dxfId="99" priority="229" operator="equal">
      <formula>1</formula>
    </cfRule>
  </conditionalFormatting>
  <conditionalFormatting sqref="N112">
    <cfRule type="cellIs" dxfId="98" priority="166" operator="equal">
      <formula>16</formula>
    </cfRule>
    <cfRule type="cellIs" dxfId="97" priority="167" operator="equal">
      <formula>15</formula>
    </cfRule>
    <cfRule type="cellIs" dxfId="96" priority="168" operator="equal">
      <formula>14</formula>
    </cfRule>
    <cfRule type="cellIs" dxfId="95" priority="169" operator="equal">
      <formula>13</formula>
    </cfRule>
    <cfRule type="cellIs" dxfId="94" priority="170" operator="equal">
      <formula>12</formula>
    </cfRule>
    <cfRule type="cellIs" dxfId="93" priority="171" operator="equal">
      <formula>11</formula>
    </cfRule>
    <cfRule type="cellIs" dxfId="92" priority="172" operator="equal">
      <formula>10</formula>
    </cfRule>
    <cfRule type="cellIs" dxfId="91" priority="173" operator="equal">
      <formula>9</formula>
    </cfRule>
    <cfRule type="cellIs" dxfId="90" priority="174" operator="equal">
      <formula>8</formula>
    </cfRule>
    <cfRule type="cellIs" dxfId="89" priority="175" operator="equal">
      <formula>7</formula>
    </cfRule>
    <cfRule type="cellIs" dxfId="88" priority="176" operator="equal">
      <formula>6</formula>
    </cfRule>
    <cfRule type="cellIs" dxfId="87" priority="177" operator="equal">
      <formula>5</formula>
    </cfRule>
    <cfRule type="cellIs" dxfId="86" priority="178" operator="equal">
      <formula>4</formula>
    </cfRule>
    <cfRule type="cellIs" dxfId="85" priority="179" operator="equal">
      <formula>3</formula>
    </cfRule>
    <cfRule type="cellIs" dxfId="84" priority="180" operator="equal">
      <formula>2</formula>
    </cfRule>
    <cfRule type="cellIs" dxfId="83" priority="181" operator="equal">
      <formula>1</formula>
    </cfRule>
  </conditionalFormatting>
  <conditionalFormatting sqref="N111">
    <cfRule type="cellIs" dxfId="82" priority="134" operator="equal">
      <formula>16</formula>
    </cfRule>
    <cfRule type="cellIs" dxfId="81" priority="135" operator="equal">
      <formula>15</formula>
    </cfRule>
    <cfRule type="cellIs" dxfId="80" priority="136" operator="equal">
      <formula>14</formula>
    </cfRule>
    <cfRule type="cellIs" dxfId="79" priority="137" operator="equal">
      <formula>13</formula>
    </cfRule>
    <cfRule type="cellIs" dxfId="78" priority="138" operator="equal">
      <formula>12</formula>
    </cfRule>
    <cfRule type="cellIs" dxfId="77" priority="139" operator="equal">
      <formula>11</formula>
    </cfRule>
    <cfRule type="cellIs" dxfId="76" priority="140" operator="equal">
      <formula>10</formula>
    </cfRule>
    <cfRule type="cellIs" dxfId="75" priority="141" operator="equal">
      <formula>9</formula>
    </cfRule>
    <cfRule type="cellIs" dxfId="74" priority="142" operator="equal">
      <formula>8</formula>
    </cfRule>
    <cfRule type="cellIs" dxfId="73" priority="143" operator="equal">
      <formula>7</formula>
    </cfRule>
    <cfRule type="cellIs" dxfId="72" priority="144" operator="equal">
      <formula>6</formula>
    </cfRule>
    <cfRule type="cellIs" dxfId="71" priority="145" operator="equal">
      <formula>5</formula>
    </cfRule>
    <cfRule type="cellIs" dxfId="70" priority="146" operator="equal">
      <formula>4</formula>
    </cfRule>
    <cfRule type="cellIs" dxfId="69" priority="147" operator="equal">
      <formula>3</formula>
    </cfRule>
    <cfRule type="cellIs" dxfId="68" priority="148" operator="equal">
      <formula>2</formula>
    </cfRule>
    <cfRule type="cellIs" dxfId="67" priority="149" operator="equal">
      <formula>1</formula>
    </cfRule>
  </conditionalFormatting>
  <conditionalFormatting sqref="N91:N104">
    <cfRule type="cellIs" dxfId="66" priority="118" operator="equal">
      <formula>16</formula>
    </cfRule>
    <cfRule type="cellIs" dxfId="65" priority="119" operator="equal">
      <formula>15</formula>
    </cfRule>
    <cfRule type="cellIs" dxfId="64" priority="120" operator="equal">
      <formula>14</formula>
    </cfRule>
    <cfRule type="cellIs" dxfId="63" priority="121" operator="equal">
      <formula>13</formula>
    </cfRule>
    <cfRule type="cellIs" dxfId="62" priority="122" operator="equal">
      <formula>12</formula>
    </cfRule>
    <cfRule type="cellIs" dxfId="61" priority="123" operator="equal">
      <formula>11</formula>
    </cfRule>
    <cfRule type="cellIs" dxfId="60" priority="124" operator="equal">
      <formula>10</formula>
    </cfRule>
    <cfRule type="cellIs" dxfId="59" priority="125" operator="equal">
      <formula>9</formula>
    </cfRule>
    <cfRule type="cellIs" dxfId="58" priority="126" operator="equal">
      <formula>8</formula>
    </cfRule>
    <cfRule type="cellIs" dxfId="57" priority="127" operator="equal">
      <formula>7</formula>
    </cfRule>
    <cfRule type="cellIs" dxfId="56" priority="128" operator="equal">
      <formula>6</formula>
    </cfRule>
    <cfRule type="cellIs" dxfId="55" priority="129" operator="equal">
      <formula>5</formula>
    </cfRule>
    <cfRule type="cellIs" dxfId="54" priority="130" operator="equal">
      <formula>4</formula>
    </cfRule>
    <cfRule type="cellIs" dxfId="53" priority="131" operator="equal">
      <formula>3</formula>
    </cfRule>
    <cfRule type="cellIs" dxfId="52" priority="132" operator="equal">
      <formula>2</formula>
    </cfRule>
    <cfRule type="cellIs" dxfId="51" priority="133" operator="equal">
      <formula>1</formula>
    </cfRule>
  </conditionalFormatting>
  <conditionalFormatting sqref="N105:N110">
    <cfRule type="cellIs" dxfId="50" priority="102" operator="equal">
      <formula>16</formula>
    </cfRule>
    <cfRule type="cellIs" dxfId="49" priority="103" operator="equal">
      <formula>15</formula>
    </cfRule>
    <cfRule type="cellIs" dxfId="48" priority="104" operator="equal">
      <formula>14</formula>
    </cfRule>
    <cfRule type="cellIs" dxfId="47" priority="105" operator="equal">
      <formula>13</formula>
    </cfRule>
    <cfRule type="cellIs" dxfId="46" priority="106" operator="equal">
      <formula>12</formula>
    </cfRule>
    <cfRule type="cellIs" dxfId="45" priority="107" operator="equal">
      <formula>11</formula>
    </cfRule>
    <cfRule type="cellIs" dxfId="44" priority="108" operator="equal">
      <formula>10</formula>
    </cfRule>
    <cfRule type="cellIs" dxfId="43" priority="109" operator="equal">
      <formula>9</formula>
    </cfRule>
    <cfRule type="cellIs" dxfId="42" priority="110" operator="equal">
      <formula>8</formula>
    </cfRule>
    <cfRule type="cellIs" dxfId="41" priority="111" operator="equal">
      <formula>7</formula>
    </cfRule>
    <cfRule type="cellIs" dxfId="40" priority="112" operator="equal">
      <formula>6</formula>
    </cfRule>
    <cfRule type="cellIs" dxfId="39" priority="113" operator="equal">
      <formula>5</formula>
    </cfRule>
    <cfRule type="cellIs" dxfId="38" priority="114" operator="equal">
      <formula>4</formula>
    </cfRule>
    <cfRule type="cellIs" dxfId="37" priority="115" operator="equal">
      <formula>3</formula>
    </cfRule>
    <cfRule type="cellIs" dxfId="36" priority="116" operator="equal">
      <formula>2</formula>
    </cfRule>
    <cfRule type="cellIs" dxfId="35" priority="117" operator="equal">
      <formula>1</formula>
    </cfRule>
  </conditionalFormatting>
  <conditionalFormatting sqref="N27:N28">
    <cfRule type="cellIs" dxfId="34" priority="86" operator="equal">
      <formula>16</formula>
    </cfRule>
    <cfRule type="cellIs" dxfId="33" priority="87" operator="equal">
      <formula>15</formula>
    </cfRule>
    <cfRule type="cellIs" dxfId="32" priority="88" operator="equal">
      <formula>14</formula>
    </cfRule>
    <cfRule type="cellIs" dxfId="31" priority="89" operator="equal">
      <formula>13</formula>
    </cfRule>
    <cfRule type="cellIs" dxfId="30" priority="90" operator="equal">
      <formula>12</formula>
    </cfRule>
    <cfRule type="cellIs" dxfId="29" priority="91" operator="equal">
      <formula>11</formula>
    </cfRule>
    <cfRule type="cellIs" dxfId="28" priority="92" operator="equal">
      <formula>10</formula>
    </cfRule>
    <cfRule type="cellIs" dxfId="27" priority="93" operator="equal">
      <formula>9</formula>
    </cfRule>
    <cfRule type="cellIs" dxfId="26" priority="94" operator="equal">
      <formula>8</formula>
    </cfRule>
    <cfRule type="cellIs" dxfId="25" priority="95" operator="equal">
      <formula>7</formula>
    </cfRule>
    <cfRule type="cellIs" dxfId="24" priority="96" operator="equal">
      <formula>6</formula>
    </cfRule>
    <cfRule type="cellIs" dxfId="23" priority="97" operator="equal">
      <formula>5</formula>
    </cfRule>
    <cfRule type="cellIs" dxfId="22" priority="98" operator="equal">
      <formula>4</formula>
    </cfRule>
    <cfRule type="cellIs" dxfId="21" priority="99" operator="equal">
      <formula>3</formula>
    </cfRule>
    <cfRule type="cellIs" dxfId="20" priority="100" operator="equal">
      <formula>2</formula>
    </cfRule>
    <cfRule type="cellIs" dxfId="19" priority="101" operator="equal">
      <formula>1</formula>
    </cfRule>
  </conditionalFormatting>
  <conditionalFormatting sqref="N6:N26">
    <cfRule type="cellIs" dxfId="18" priority="6" operator="equal">
      <formula>16</formula>
    </cfRule>
    <cfRule type="cellIs" dxfId="17" priority="7" operator="equal">
      <formula>15</formula>
    </cfRule>
    <cfRule type="cellIs" dxfId="16" priority="8" operator="equal">
      <formula>14</formula>
    </cfRule>
    <cfRule type="cellIs" dxfId="15" priority="9" operator="equal">
      <formula>13</formula>
    </cfRule>
    <cfRule type="cellIs" dxfId="14" priority="10" operator="equal">
      <formula>12</formula>
    </cfRule>
    <cfRule type="cellIs" dxfId="13" priority="11" operator="equal">
      <formula>11</formula>
    </cfRule>
    <cfRule type="cellIs" dxfId="12" priority="12" operator="equal">
      <formula>10</formula>
    </cfRule>
    <cfRule type="cellIs" dxfId="11" priority="13" operator="equal">
      <formula>9</formula>
    </cfRule>
    <cfRule type="cellIs" dxfId="10" priority="14" operator="equal">
      <formula>8</formula>
    </cfRule>
    <cfRule type="cellIs" dxfId="9" priority="15" operator="equal">
      <formula>7</formula>
    </cfRule>
    <cfRule type="cellIs" dxfId="8" priority="16" operator="equal">
      <formula>6</formula>
    </cfRule>
    <cfRule type="cellIs" dxfId="7" priority="17" operator="equal">
      <formula>5</formula>
    </cfRule>
    <cfRule type="cellIs" dxfId="6" priority="18" operator="equal">
      <formula>4</formula>
    </cfRule>
    <cfRule type="cellIs" dxfId="5" priority="19" operator="equal">
      <formula>3</formula>
    </cfRule>
    <cfRule type="cellIs" dxfId="4" priority="20" operator="equal">
      <formula>2</formula>
    </cfRule>
    <cfRule type="cellIs" dxfId="3" priority="21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53"/>
      <c r="B2" s="253"/>
      <c r="C2" s="253"/>
      <c r="D2" s="253"/>
      <c r="E2" s="253"/>
      <c r="F2" s="254"/>
      <c r="G2" s="251"/>
      <c r="H2" s="251"/>
      <c r="I2" s="251"/>
      <c r="J2" s="251"/>
      <c r="K2" s="275" t="str">
        <f>Poor!A1</f>
        <v>ZATGL: 59105</v>
      </c>
      <c r="L2" s="275"/>
      <c r="M2" s="275"/>
      <c r="N2" s="275"/>
      <c r="O2" s="275"/>
      <c r="P2" s="275"/>
      <c r="Q2" s="275"/>
      <c r="R2" s="253"/>
      <c r="S2" s="253"/>
      <c r="T2" s="253"/>
      <c r="U2" s="253"/>
      <c r="V2" s="253"/>
    </row>
    <row r="3" spans="1:22" s="92" customFormat="1" ht="17">
      <c r="A3" s="90"/>
      <c r="B3" s="276" t="str">
        <f>V.Poor!A3</f>
        <v>Sources of Food : Very Poor HHs</v>
      </c>
      <c r="C3" s="277"/>
      <c r="D3" s="277"/>
      <c r="E3" s="277"/>
      <c r="F3" s="250"/>
      <c r="G3" s="274" t="str">
        <f>Poor!A3</f>
        <v>Sources of Food : Poor HHs</v>
      </c>
      <c r="H3" s="274"/>
      <c r="I3" s="274"/>
      <c r="J3" s="274"/>
      <c r="K3" s="251"/>
      <c r="L3" s="274" t="str">
        <f>Middle!A3</f>
        <v>Sources of Food : Middle HHs</v>
      </c>
      <c r="M3" s="274"/>
      <c r="N3" s="274"/>
      <c r="O3" s="274"/>
      <c r="P3" s="274"/>
      <c r="Q3" s="252"/>
      <c r="R3" s="274" t="str">
        <f>Rich!A3</f>
        <v>Sources of Food : Better-off HHs</v>
      </c>
      <c r="S3" s="274"/>
      <c r="T3" s="274"/>
      <c r="U3" s="274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H55" workbookViewId="0">
      <selection activeCell="T88" sqref="T88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79" t="str">
        <f>Poor!A1</f>
        <v>ZATGL: 59105</v>
      </c>
      <c r="L2" s="279"/>
      <c r="M2" s="279"/>
      <c r="N2" s="279"/>
      <c r="O2" s="279"/>
      <c r="P2" s="279"/>
      <c r="Q2" s="279"/>
      <c r="R2" s="87"/>
      <c r="S2" s="87"/>
      <c r="T2" s="87"/>
      <c r="U2" s="87"/>
      <c r="V2" s="87"/>
    </row>
    <row r="3" spans="1:22" s="92" customFormat="1" ht="17">
      <c r="A3" s="90"/>
      <c r="B3" s="89"/>
      <c r="C3" s="280" t="str">
        <f>V.Poor!A34</f>
        <v>Income : Very Poor HHs</v>
      </c>
      <c r="D3" s="280"/>
      <c r="E3" s="280"/>
      <c r="F3" s="90"/>
      <c r="G3" s="278" t="str">
        <f>Poor!A34</f>
        <v>Income : Poor HHs</v>
      </c>
      <c r="H3" s="278"/>
      <c r="I3" s="278"/>
      <c r="J3" s="278"/>
      <c r="K3" s="89"/>
      <c r="L3" s="278" t="str">
        <f>Middle!A34</f>
        <v>Income : Middle HHs</v>
      </c>
      <c r="M3" s="278"/>
      <c r="N3" s="278"/>
      <c r="O3" s="278"/>
      <c r="P3" s="278"/>
      <c r="Q3" s="91"/>
      <c r="R3" s="278" t="str">
        <f>Rich!A34</f>
        <v>Income : Better-off HHs</v>
      </c>
      <c r="S3" s="278"/>
      <c r="T3" s="278"/>
      <c r="U3" s="278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2474.2340835802729</v>
      </c>
      <c r="C72" s="109">
        <f>Poor!R7</f>
        <v>3366.3818132655533</v>
      </c>
      <c r="D72" s="109">
        <f>Middle!R7</f>
        <v>3010.7887259041863</v>
      </c>
      <c r="E72" s="109">
        <f>Rich!R7</f>
        <v>0</v>
      </c>
      <c r="F72" s="109">
        <f>V.Poor!T7</f>
        <v>714.70259150906782</v>
      </c>
      <c r="G72" s="109">
        <f>Poor!T7</f>
        <v>953.88682233765826</v>
      </c>
      <c r="H72" s="109">
        <f>Middle!T7</f>
        <v>827.5040697700698</v>
      </c>
      <c r="I72" s="109">
        <f>Rich!T7</f>
        <v>0</v>
      </c>
    </row>
    <row r="73" spans="1:9">
      <c r="A73" t="str">
        <f>V.Poor!Q8</f>
        <v>Own crops sold</v>
      </c>
      <c r="B73" s="109">
        <f>V.Poor!R8</f>
        <v>22.185248057409371</v>
      </c>
      <c r="C73" s="109">
        <f>Poor!R8</f>
        <v>236.64264594569994</v>
      </c>
      <c r="D73" s="109">
        <f>Middle!R8</f>
        <v>219.73959980672137</v>
      </c>
      <c r="E73" s="109">
        <f>Rich!R8</f>
        <v>0</v>
      </c>
      <c r="F73" s="109">
        <f>V.Poor!T8</f>
        <v>0</v>
      </c>
      <c r="G73" s="109">
        <f>Poor!T8</f>
        <v>69.999999999999986</v>
      </c>
      <c r="H73" s="109">
        <f>Middle!T8</f>
        <v>30.593822261277555</v>
      </c>
      <c r="I73" s="109">
        <f>Rich!T8</f>
        <v>0</v>
      </c>
    </row>
    <row r="74" spans="1:9">
      <c r="A74" t="str">
        <f>V.Poor!Q9</f>
        <v>Animal products consumed</v>
      </c>
      <c r="B74" s="109">
        <f>V.Poor!R9</f>
        <v>789.14337078418851</v>
      </c>
      <c r="C74" s="109">
        <f>Poor!R9</f>
        <v>1706.4092365501797</v>
      </c>
      <c r="D74" s="109">
        <f>Middle!R9</f>
        <v>2389.4591102806739</v>
      </c>
      <c r="E74" s="109">
        <f>Rich!R9</f>
        <v>0</v>
      </c>
      <c r="F74" s="109">
        <f>V.Poor!T9</f>
        <v>176.0746454253474</v>
      </c>
      <c r="G74" s="109">
        <f>Poor!T9</f>
        <v>380.73614047792336</v>
      </c>
      <c r="H74" s="109">
        <f>Middle!T9</f>
        <v>533.1390735538389</v>
      </c>
      <c r="I74" s="109">
        <f>Rich!T9</f>
        <v>0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9317.8041841119357</v>
      </c>
      <c r="C76" s="109">
        <f>Poor!R11</f>
        <v>14642.263717890182</v>
      </c>
      <c r="D76" s="109">
        <f>Middle!R11</f>
        <v>21804.929519282352</v>
      </c>
      <c r="E76" s="109">
        <f>Rich!R11</f>
        <v>0</v>
      </c>
      <c r="F76" s="109">
        <f>V.Poor!T11</f>
        <v>1947</v>
      </c>
      <c r="G76" s="109">
        <f>Poor!T11</f>
        <v>5841</v>
      </c>
      <c r="H76" s="109">
        <f>Middle!T11</f>
        <v>8805.3238164699924</v>
      </c>
      <c r="I76" s="109">
        <f>Rich!T11</f>
        <v>0</v>
      </c>
    </row>
    <row r="77" spans="1:9">
      <c r="A77" t="str">
        <f>V.Poor!Q12</f>
        <v>Wild foods consumed and sold</v>
      </c>
      <c r="B77" s="109">
        <f>V.Poor!R12</f>
        <v>134.83800122135537</v>
      </c>
      <c r="C77" s="109">
        <f>Poor!R12</f>
        <v>134.83800122135534</v>
      </c>
      <c r="D77" s="109">
        <f>Middle!R12</f>
        <v>205.46743043254153</v>
      </c>
      <c r="E77" s="109">
        <f>Rich!R12</f>
        <v>0</v>
      </c>
      <c r="F77" s="109">
        <f>V.Poor!T12</f>
        <v>177.12052713987927</v>
      </c>
      <c r="G77" s="109">
        <f>Poor!T12</f>
        <v>162.18623811695295</v>
      </c>
      <c r="H77" s="109">
        <f>Middle!T12</f>
        <v>244.38205981558099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2396.006790200212</v>
      </c>
      <c r="C78" s="109">
        <f>Poor!R13</f>
        <v>1597.3378601334746</v>
      </c>
      <c r="D78" s="109">
        <f>Middle!R13</f>
        <v>0</v>
      </c>
      <c r="E78" s="109">
        <f>Rich!R13</f>
        <v>0</v>
      </c>
      <c r="F78" s="109">
        <f>V.Poor!T13</f>
        <v>899.1</v>
      </c>
      <c r="G78" s="109">
        <f>Poor!T13</f>
        <v>599.40000000000009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74643.851749729351</v>
      </c>
      <c r="E79" s="109">
        <f>Rich!R14</f>
        <v>0</v>
      </c>
      <c r="F79" s="109">
        <f>V.Poor!T14</f>
        <v>0</v>
      </c>
      <c r="G79" s="109">
        <f>Poor!T14</f>
        <v>0</v>
      </c>
      <c r="H79" s="109">
        <f>Middle!T14</f>
        <v>35731.748571428572</v>
      </c>
      <c r="I79" s="109">
        <f>Rich!T14</f>
        <v>0</v>
      </c>
    </row>
    <row r="80" spans="1:9">
      <c r="A80" t="str">
        <f>V.Poor!Q15</f>
        <v>Labour - public works</v>
      </c>
      <c r="B80" s="109">
        <f>V.Poor!R15</f>
        <v>7454.2433472895491</v>
      </c>
      <c r="C80" s="109">
        <f>Poor!R15</f>
        <v>10648.919067556497</v>
      </c>
      <c r="D80" s="109">
        <f>Middle!R15</f>
        <v>0</v>
      </c>
      <c r="E80" s="109">
        <f>Rich!R15</f>
        <v>0</v>
      </c>
      <c r="F80" s="109">
        <f>V.Poor!T15</f>
        <v>5947.2000000000007</v>
      </c>
      <c r="G80" s="109">
        <f>Poor!T15</f>
        <v>8496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4141.2463040497487</v>
      </c>
      <c r="D82" s="109">
        <f>Middle!R17</f>
        <v>0</v>
      </c>
      <c r="E82" s="109">
        <f>Rich!R17</f>
        <v>0</v>
      </c>
      <c r="F82" s="109">
        <f>V.Poor!T17</f>
        <v>0</v>
      </c>
      <c r="G82" s="109">
        <f>Poor!T17</f>
        <v>2643.2</v>
      </c>
      <c r="H82" s="109">
        <f>Middle!T17</f>
        <v>0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2031.5005249868352</v>
      </c>
      <c r="C83" s="109">
        <f>Poor!R18</f>
        <v>2031.500524986835</v>
      </c>
      <c r="D83" s="109">
        <f>Middle!R18</f>
        <v>1857.3719085593918</v>
      </c>
      <c r="E83" s="109">
        <f>Rich!R18</f>
        <v>0</v>
      </c>
      <c r="F83" s="109">
        <f>V.Poor!T18</f>
        <v>2266.3545552122823</v>
      </c>
      <c r="G83" s="109">
        <f>Poor!T18</f>
        <v>2266.3545552122823</v>
      </c>
      <c r="H83" s="109">
        <f>Middle!T18</f>
        <v>2072.0955933369441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31716.030622872437</v>
      </c>
      <c r="C85" s="109">
        <f>Poor!R20</f>
        <v>31920.134905000599</v>
      </c>
      <c r="D85" s="109">
        <f>Middle!R20</f>
        <v>33691.151564212087</v>
      </c>
      <c r="E85" s="109">
        <f>Rich!R20</f>
        <v>0</v>
      </c>
      <c r="F85" s="109">
        <f>V.Poor!T20</f>
        <v>25303.919999999998</v>
      </c>
      <c r="G85" s="109">
        <f>Poor!T20</f>
        <v>25466.76</v>
      </c>
      <c r="H85" s="109">
        <f>Middle!T20</f>
        <v>26879.72571428572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56335.986173104189</v>
      </c>
      <c r="C88" s="109">
        <f>Poor!R23</f>
        <v>70425.674076600117</v>
      </c>
      <c r="D88" s="109">
        <f>Middle!R23</f>
        <v>137822.7596082073</v>
      </c>
      <c r="E88" s="109">
        <f>Rich!R23</f>
        <v>0</v>
      </c>
      <c r="F88" s="109">
        <f>V.Poor!T23</f>
        <v>37431.472319286579</v>
      </c>
      <c r="G88" s="109">
        <f>Poor!T23</f>
        <v>46879.523756144816</v>
      </c>
      <c r="H88" s="109">
        <f>Middle!T23</f>
        <v>75124.512720922008</v>
      </c>
      <c r="I88" s="109">
        <f>Rich!T23</f>
        <v>0</v>
      </c>
    </row>
    <row r="89" spans="1:9">
      <c r="A89" t="str">
        <f>V.Poor!Q24</f>
        <v>Food Poverty line</v>
      </c>
      <c r="B89" s="109">
        <f>V.Poor!R24</f>
        <v>33489.867316657939</v>
      </c>
      <c r="C89" s="109">
        <f>Poor!R24</f>
        <v>33489.867316657932</v>
      </c>
      <c r="D89" s="109">
        <f>Middle!R24</f>
        <v>33489.867316657939</v>
      </c>
      <c r="E89" s="109">
        <f>Rich!R24</f>
        <v>0</v>
      </c>
      <c r="F89" s="109">
        <f>V.Poor!T24</f>
        <v>33489.867316657939</v>
      </c>
      <c r="G89" s="109">
        <f>Poor!T24</f>
        <v>33489.867316657932</v>
      </c>
      <c r="H89" s="109">
        <f>Middle!T24</f>
        <v>33489.867316657939</v>
      </c>
      <c r="I89" s="109">
        <f>Rich!T24</f>
        <v>0</v>
      </c>
    </row>
    <row r="90" spans="1:9">
      <c r="A90" s="108" t="str">
        <f>V.Poor!Q25</f>
        <v>Lower Bound Poverty line</v>
      </c>
      <c r="B90" s="109">
        <f>V.Poor!R25</f>
        <v>51872.693983324607</v>
      </c>
      <c r="C90" s="109">
        <f>Poor!R25</f>
        <v>51872.693983324607</v>
      </c>
      <c r="D90" s="109">
        <f>Middle!R25</f>
        <v>51872.693983324607</v>
      </c>
      <c r="E90" s="109">
        <f>Rich!R25</f>
        <v>0</v>
      </c>
      <c r="F90" s="109">
        <f>V.Poor!T25</f>
        <v>51872.693983324607</v>
      </c>
      <c r="G90" s="109">
        <f>Poor!T25</f>
        <v>51872.693983324607</v>
      </c>
      <c r="H90" s="109">
        <f>Middle!T25</f>
        <v>51872.693983324607</v>
      </c>
      <c r="I90" s="109">
        <f>Rich!T25</f>
        <v>0</v>
      </c>
    </row>
    <row r="91" spans="1:9">
      <c r="A91" s="108" t="str">
        <f>V.Poor!Q26</f>
        <v>Upper Bound Poverty line</v>
      </c>
      <c r="B91" s="109">
        <f>V.Poor!R26</f>
        <v>84610.613983324612</v>
      </c>
      <c r="C91" s="109">
        <f>Poor!R26</f>
        <v>84610.613983324598</v>
      </c>
      <c r="D91" s="109">
        <f>Middle!R26</f>
        <v>84610.613983324612</v>
      </c>
      <c r="E91" s="109">
        <f>Rich!R26</f>
        <v>0</v>
      </c>
      <c r="F91" s="109">
        <f>V.Poor!T26</f>
        <v>84610.613983324612</v>
      </c>
      <c r="G91" s="109">
        <f>Poor!T26</f>
        <v>84610.613983324598</v>
      </c>
      <c r="H91" s="109">
        <f>Middle!T26</f>
        <v>84610.613983324612</v>
      </c>
      <c r="I91" s="109">
        <f>Rich!T26</f>
        <v>0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33489.867316657939</v>
      </c>
      <c r="G93" s="109">
        <f>Poor!T24</f>
        <v>33489.867316657932</v>
      </c>
      <c r="H93" s="109">
        <f>Middle!T24</f>
        <v>33489.867316657939</v>
      </c>
      <c r="I93" s="109">
        <f>Rich!T24</f>
        <v>0</v>
      </c>
    </row>
    <row r="94" spans="1:9">
      <c r="A94" t="str">
        <f>V.Poor!Q25</f>
        <v>Lower Bound Poverty line</v>
      </c>
      <c r="F94" s="109">
        <f>V.Poor!T25</f>
        <v>51872.693983324607</v>
      </c>
      <c r="G94" s="109">
        <f>Poor!T25</f>
        <v>51872.693983324607</v>
      </c>
      <c r="H94" s="109">
        <f>Middle!T25</f>
        <v>51872.693983324607</v>
      </c>
      <c r="I94" s="109">
        <f>Rich!T25</f>
        <v>0</v>
      </c>
    </row>
    <row r="95" spans="1:9">
      <c r="A95" t="str">
        <f>V.Poor!Q26</f>
        <v>Upper Bound Poverty line</v>
      </c>
      <c r="F95" s="109">
        <f>V.Poor!T26</f>
        <v>84610.613983324612</v>
      </c>
      <c r="G95" s="109">
        <f>Poor!T26</f>
        <v>84610.613983324598</v>
      </c>
      <c r="H95" s="109">
        <f>Middle!T26</f>
        <v>84610.613983324612</v>
      </c>
      <c r="I95" s="109">
        <f>Rich!T26</f>
        <v>0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42">
        <f>IF(B89&gt;B$88,B89-B$88,0)</f>
        <v>0</v>
      </c>
      <c r="C98" s="242">
        <f t="shared" ref="C98:I101" si="0">IF(C89&gt;C$88,C89-C$88,0)</f>
        <v>0</v>
      </c>
      <c r="D98" s="242">
        <f t="shared" si="0"/>
        <v>0</v>
      </c>
      <c r="E98" s="242">
        <f t="shared" si="0"/>
        <v>0</v>
      </c>
      <c r="F98" s="242">
        <f t="shared" si="0"/>
        <v>0</v>
      </c>
      <c r="G98" s="242">
        <f t="shared" si="0"/>
        <v>0</v>
      </c>
      <c r="H98" s="242">
        <f t="shared" si="0"/>
        <v>0</v>
      </c>
      <c r="I98" s="242">
        <f t="shared" si="0"/>
        <v>0</v>
      </c>
    </row>
    <row r="99" spans="1:9">
      <c r="A99" t="s">
        <v>142</v>
      </c>
      <c r="B99" s="242">
        <f>IF(B90&gt;B$88,B90-B$88,0)</f>
        <v>0</v>
      </c>
      <c r="C99" s="242">
        <f t="shared" si="0"/>
        <v>0</v>
      </c>
      <c r="D99" s="242">
        <f t="shared" si="0"/>
        <v>0</v>
      </c>
      <c r="E99" s="242">
        <f t="shared" si="0"/>
        <v>0</v>
      </c>
      <c r="F99" s="242">
        <f t="shared" si="0"/>
        <v>14441.221664038028</v>
      </c>
      <c r="G99" s="242">
        <f t="shared" si="0"/>
        <v>4993.1702271797913</v>
      </c>
      <c r="H99" s="242">
        <f t="shared" si="0"/>
        <v>0</v>
      </c>
      <c r="I99" s="242">
        <f t="shared" si="0"/>
        <v>0</v>
      </c>
    </row>
    <row r="100" spans="1:9">
      <c r="A100" t="s">
        <v>143</v>
      </c>
      <c r="B100" s="242">
        <f>IF(B91&gt;B$88,B91-B$88,0)</f>
        <v>28274.627810220423</v>
      </c>
      <c r="C100" s="242">
        <f t="shared" si="0"/>
        <v>14184.939906724481</v>
      </c>
      <c r="D100" s="242">
        <f t="shared" si="0"/>
        <v>0</v>
      </c>
      <c r="E100" s="242">
        <f t="shared" si="0"/>
        <v>0</v>
      </c>
      <c r="F100" s="242">
        <f t="shared" si="0"/>
        <v>47179.141664038034</v>
      </c>
      <c r="G100" s="242">
        <f t="shared" si="0"/>
        <v>37731.090227179782</v>
      </c>
      <c r="H100" s="242">
        <f t="shared" si="0"/>
        <v>9486.1012624026043</v>
      </c>
      <c r="I100" s="242">
        <f t="shared" si="0"/>
        <v>0</v>
      </c>
    </row>
    <row r="101" spans="1:9">
      <c r="A101" t="s">
        <v>144</v>
      </c>
      <c r="B101" s="242">
        <f>IF(B92&gt;B$88,B92-B$88,0)</f>
        <v>0</v>
      </c>
      <c r="C101" s="242">
        <f t="shared" si="0"/>
        <v>0</v>
      </c>
      <c r="D101" s="242">
        <f t="shared" si="0"/>
        <v>0</v>
      </c>
      <c r="E101" s="242">
        <f t="shared" si="0"/>
        <v>0</v>
      </c>
      <c r="F101" s="242">
        <f t="shared" si="0"/>
        <v>0</v>
      </c>
      <c r="G101" s="242">
        <f t="shared" si="0"/>
        <v>0</v>
      </c>
      <c r="H101" s="242">
        <f t="shared" si="0"/>
        <v>0</v>
      </c>
      <c r="I101" s="242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6" customFormat="1" ht="19">
      <c r="A2" s="253"/>
      <c r="B2" s="253"/>
      <c r="C2" s="253"/>
      <c r="D2" s="253"/>
      <c r="E2" s="253"/>
      <c r="F2" s="253"/>
      <c r="G2" s="251"/>
      <c r="H2" s="251"/>
      <c r="I2" s="251"/>
      <c r="J2" s="251"/>
      <c r="K2" s="275" t="str">
        <f>Poor!A1</f>
        <v>ZATGL: 59105</v>
      </c>
      <c r="L2" s="275"/>
      <c r="M2" s="275"/>
      <c r="N2" s="275"/>
      <c r="O2" s="275"/>
      <c r="P2" s="275"/>
      <c r="Q2" s="275"/>
      <c r="R2" s="253"/>
      <c r="S2" s="253"/>
      <c r="T2" s="253"/>
      <c r="U2" s="253"/>
      <c r="V2" s="253"/>
    </row>
    <row r="3" spans="1:22" s="92" customFormat="1" ht="17">
      <c r="A3" s="90"/>
      <c r="B3" s="276" t="str">
        <f>V.Poor!A67</f>
        <v>Expenditure : Very Poor HHs</v>
      </c>
      <c r="C3" s="276"/>
      <c r="D3" s="276"/>
      <c r="E3" s="276"/>
      <c r="F3" s="255"/>
      <c r="G3" s="274" t="str">
        <f>Poor!A67</f>
        <v>Expenditure : Poor HHs</v>
      </c>
      <c r="H3" s="274"/>
      <c r="I3" s="274"/>
      <c r="J3" s="274"/>
      <c r="K3" s="251"/>
      <c r="L3" s="274" t="str">
        <f>Middle!A67</f>
        <v>Expenditure : Middle HHs</v>
      </c>
      <c r="M3" s="274"/>
      <c r="N3" s="274"/>
      <c r="O3" s="274"/>
      <c r="P3" s="274"/>
      <c r="Q3" s="252"/>
      <c r="R3" s="274" t="str">
        <f>Rich!A67</f>
        <v>Expenditure : Better-off HHs</v>
      </c>
      <c r="S3" s="274"/>
      <c r="T3" s="274"/>
      <c r="U3" s="274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2" bestFit="1" customWidth="1"/>
    <col min="2" max="2" width="9" style="202" bestFit="1" customWidth="1"/>
    <col min="3" max="4" width="6.5703125" style="202" bestFit="1" customWidth="1"/>
    <col min="5" max="5" width="8.28515625" style="202" bestFit="1" customWidth="1"/>
    <col min="6" max="9" width="7.5703125" style="202" bestFit="1" customWidth="1"/>
    <col min="10" max="10" width="8.42578125" style="202" bestFit="1" customWidth="1"/>
    <col min="11" max="14" width="7.5703125" style="202" bestFit="1" customWidth="1"/>
    <col min="15" max="15" width="8.28515625" style="202" customWidth="1"/>
    <col min="16" max="43" width="7.42578125" style="202" bestFit="1" customWidth="1"/>
    <col min="44" max="89" width="8.42578125" style="202" bestFit="1" customWidth="1"/>
    <col min="90" max="105" width="9.42578125" style="202" bestFit="1" customWidth="1"/>
    <col min="106" max="16384" width="11.5703125" style="202"/>
  </cols>
  <sheetData>
    <row r="1" spans="1:106">
      <c r="B1" s="202" t="s">
        <v>97</v>
      </c>
      <c r="C1" s="202" t="s">
        <v>96</v>
      </c>
      <c r="D1" s="202" t="s">
        <v>98</v>
      </c>
      <c r="E1" s="202" t="s">
        <v>99</v>
      </c>
    </row>
    <row r="2" spans="1:106">
      <c r="B2" s="203">
        <f>[1]!wb_summary</f>
        <v>0.4</v>
      </c>
      <c r="C2" s="203">
        <f>[1]WB!$CK$10</f>
        <v>0.39</v>
      </c>
      <c r="D2" s="203">
        <f>[1]WB!$CK$11</f>
        <v>0.21</v>
      </c>
      <c r="E2" s="203">
        <f>[1]WB!$CK$12</f>
        <v>0</v>
      </c>
      <c r="F2" s="203">
        <v>0.01</v>
      </c>
      <c r="G2" s="203">
        <v>0.02</v>
      </c>
      <c r="H2" s="203">
        <v>0.03</v>
      </c>
      <c r="I2" s="203">
        <v>0.04</v>
      </c>
      <c r="J2" s="203">
        <v>0.05</v>
      </c>
      <c r="K2" s="203">
        <v>0.06</v>
      </c>
      <c r="L2" s="203">
        <v>7.0000000000000007E-2</v>
      </c>
      <c r="M2" s="203">
        <v>0.08</v>
      </c>
      <c r="N2" s="203">
        <v>0.09</v>
      </c>
      <c r="O2" s="203">
        <v>0.1</v>
      </c>
      <c r="P2" s="203">
        <v>0.11</v>
      </c>
      <c r="Q2" s="203">
        <v>0.12</v>
      </c>
      <c r="R2" s="203">
        <v>0.13</v>
      </c>
      <c r="S2" s="203">
        <v>0.14000000000000001</v>
      </c>
      <c r="T2" s="203">
        <v>0.15</v>
      </c>
      <c r="U2" s="203">
        <v>0.16</v>
      </c>
      <c r="V2" s="203">
        <v>0.17</v>
      </c>
      <c r="W2" s="203">
        <v>0.18</v>
      </c>
      <c r="X2" s="203">
        <v>0.19</v>
      </c>
      <c r="Y2" s="203">
        <v>0.2</v>
      </c>
      <c r="Z2" s="203">
        <v>0.21</v>
      </c>
      <c r="AA2" s="203">
        <v>0.22</v>
      </c>
      <c r="AB2" s="203">
        <v>0.23</v>
      </c>
      <c r="AC2" s="203">
        <v>0.24</v>
      </c>
      <c r="AD2" s="203">
        <v>0.25</v>
      </c>
      <c r="AE2" s="203">
        <v>0.26</v>
      </c>
      <c r="AF2" s="203">
        <v>0.27</v>
      </c>
      <c r="AG2" s="203">
        <v>0.28000000000000003</v>
      </c>
      <c r="AH2" s="203">
        <v>0.28999999999999998</v>
      </c>
      <c r="AI2" s="203">
        <v>0.3</v>
      </c>
      <c r="AJ2" s="203">
        <v>0.31</v>
      </c>
      <c r="AK2" s="203">
        <v>0.32</v>
      </c>
      <c r="AL2" s="203">
        <v>0.33</v>
      </c>
      <c r="AM2" s="203">
        <v>0.34</v>
      </c>
      <c r="AN2" s="203">
        <v>0.35</v>
      </c>
      <c r="AO2" s="203">
        <v>0.36</v>
      </c>
      <c r="AP2" s="203">
        <v>0.37</v>
      </c>
      <c r="AQ2" s="203">
        <v>0.38</v>
      </c>
      <c r="AR2" s="203">
        <v>0.39</v>
      </c>
      <c r="AS2" s="203">
        <v>0.4</v>
      </c>
      <c r="AT2" s="203">
        <v>0.41</v>
      </c>
      <c r="AU2" s="203">
        <v>0.42</v>
      </c>
      <c r="AV2" s="203">
        <v>0.43</v>
      </c>
      <c r="AW2" s="203">
        <v>0.44</v>
      </c>
      <c r="AX2" s="203">
        <v>0.45</v>
      </c>
      <c r="AY2" s="203">
        <v>0.46</v>
      </c>
      <c r="AZ2" s="203">
        <v>0.47</v>
      </c>
      <c r="BA2" s="203">
        <v>0.48</v>
      </c>
      <c r="BB2" s="203">
        <v>0.49</v>
      </c>
      <c r="BC2" s="203">
        <v>0.5</v>
      </c>
      <c r="BD2" s="203">
        <v>0.51</v>
      </c>
      <c r="BE2" s="203">
        <v>0.52</v>
      </c>
      <c r="BF2" s="203">
        <v>0.53</v>
      </c>
      <c r="BG2" s="203">
        <v>0.54</v>
      </c>
      <c r="BH2" s="203">
        <v>0.55000000000000004</v>
      </c>
      <c r="BI2" s="203">
        <v>0.56000000000000005</v>
      </c>
      <c r="BJ2" s="203">
        <v>0.56999999999999995</v>
      </c>
      <c r="BK2" s="203">
        <v>0.57999999999999996</v>
      </c>
      <c r="BL2" s="203">
        <v>0.59</v>
      </c>
      <c r="BM2" s="203">
        <v>0.6</v>
      </c>
      <c r="BN2" s="203">
        <v>0.61</v>
      </c>
      <c r="BO2" s="203">
        <v>0.62</v>
      </c>
      <c r="BP2" s="203">
        <v>0.63</v>
      </c>
      <c r="BQ2" s="203">
        <v>0.64</v>
      </c>
      <c r="BR2" s="203">
        <v>0.65</v>
      </c>
      <c r="BS2" s="203">
        <v>0.66</v>
      </c>
      <c r="BT2" s="203">
        <v>0.67</v>
      </c>
      <c r="BU2" s="203">
        <v>0.68</v>
      </c>
      <c r="BV2" s="203">
        <v>0.69</v>
      </c>
      <c r="BW2" s="203">
        <v>0.7</v>
      </c>
      <c r="BX2" s="203">
        <v>0.71</v>
      </c>
      <c r="BY2" s="203">
        <v>0.72</v>
      </c>
      <c r="BZ2" s="203">
        <v>0.73</v>
      </c>
      <c r="CA2" s="203">
        <v>0.74</v>
      </c>
      <c r="CB2" s="203">
        <v>0.75</v>
      </c>
      <c r="CC2" s="203">
        <v>0.76</v>
      </c>
      <c r="CD2" s="203">
        <v>0.77</v>
      </c>
      <c r="CE2" s="203">
        <v>0.78</v>
      </c>
      <c r="CF2" s="203">
        <v>0.79</v>
      </c>
      <c r="CG2" s="203">
        <v>0.8</v>
      </c>
      <c r="CH2" s="203">
        <v>0.81</v>
      </c>
      <c r="CI2" s="203">
        <v>0.82</v>
      </c>
      <c r="CJ2" s="203">
        <v>0.83</v>
      </c>
      <c r="CK2" s="203">
        <v>0.84</v>
      </c>
      <c r="CL2" s="203">
        <v>0.85</v>
      </c>
      <c r="CM2" s="203">
        <v>0.86</v>
      </c>
      <c r="CN2" s="203">
        <v>0.87</v>
      </c>
      <c r="CO2" s="203">
        <v>0.88</v>
      </c>
      <c r="CP2" s="203">
        <v>0.89</v>
      </c>
      <c r="CQ2" s="203">
        <v>0.9</v>
      </c>
      <c r="CR2" s="203">
        <v>0.91</v>
      </c>
      <c r="CS2" s="203">
        <v>0.92</v>
      </c>
      <c r="CT2" s="203">
        <v>0.93</v>
      </c>
      <c r="CU2" s="203">
        <v>0.94</v>
      </c>
      <c r="CV2" s="203">
        <v>0.95</v>
      </c>
      <c r="CW2" s="203">
        <v>0.96</v>
      </c>
      <c r="CX2" s="203">
        <v>0.97</v>
      </c>
      <c r="CY2" s="203">
        <v>0.98</v>
      </c>
      <c r="CZ2" s="203">
        <v>0.99</v>
      </c>
      <c r="DA2" s="203">
        <v>1</v>
      </c>
      <c r="DB2" s="203"/>
    </row>
    <row r="3" spans="1:106">
      <c r="A3" s="202" t="str">
        <f>Income!A72</f>
        <v>Own crops Consumed</v>
      </c>
      <c r="B3" s="204">
        <f>Income!B72</f>
        <v>2474.2340835802729</v>
      </c>
      <c r="C3" s="204">
        <f>Income!C72</f>
        <v>3366.3818132655533</v>
      </c>
      <c r="D3" s="204">
        <f>Income!D72</f>
        <v>3010.7887259041863</v>
      </c>
      <c r="E3" s="204">
        <f>Income!E72</f>
        <v>0</v>
      </c>
      <c r="F3" s="205">
        <f>IF(F$2&lt;=($B$2+$C$2+$D$2),IF(F$2&lt;=($B$2+$C$2),IF(F$2&lt;=$B$2,$B3,$C3),$D3),$E3)</f>
        <v>2474.2340835802729</v>
      </c>
      <c r="G3" s="205">
        <f t="shared" ref="G3:AW7" si="0">IF(G$2&lt;=($B$2+$C$2+$D$2),IF(G$2&lt;=($B$2+$C$2),IF(G$2&lt;=$B$2,$B3,$C3),$D3),$E3)</f>
        <v>2474.2340835802729</v>
      </c>
      <c r="H3" s="205">
        <f t="shared" si="0"/>
        <v>2474.2340835802729</v>
      </c>
      <c r="I3" s="205">
        <f t="shared" si="0"/>
        <v>2474.2340835802729</v>
      </c>
      <c r="J3" s="205">
        <f t="shared" si="0"/>
        <v>2474.2340835802729</v>
      </c>
      <c r="K3" s="205">
        <f t="shared" si="0"/>
        <v>2474.2340835802729</v>
      </c>
      <c r="L3" s="205">
        <f t="shared" si="0"/>
        <v>2474.2340835802729</v>
      </c>
      <c r="M3" s="205">
        <f t="shared" si="0"/>
        <v>2474.2340835802729</v>
      </c>
      <c r="N3" s="205">
        <f t="shared" si="0"/>
        <v>2474.2340835802729</v>
      </c>
      <c r="O3" s="205">
        <f t="shared" si="0"/>
        <v>2474.2340835802729</v>
      </c>
      <c r="P3" s="205">
        <f t="shared" si="0"/>
        <v>2474.2340835802729</v>
      </c>
      <c r="Q3" s="205">
        <f t="shared" si="0"/>
        <v>2474.2340835802729</v>
      </c>
      <c r="R3" s="205">
        <f t="shared" si="0"/>
        <v>2474.2340835802729</v>
      </c>
      <c r="S3" s="205">
        <f t="shared" si="0"/>
        <v>2474.2340835802729</v>
      </c>
      <c r="T3" s="205">
        <f t="shared" si="0"/>
        <v>2474.2340835802729</v>
      </c>
      <c r="U3" s="205">
        <f t="shared" si="0"/>
        <v>2474.2340835802729</v>
      </c>
      <c r="V3" s="205">
        <f t="shared" si="0"/>
        <v>2474.2340835802729</v>
      </c>
      <c r="W3" s="205">
        <f t="shared" si="0"/>
        <v>2474.2340835802729</v>
      </c>
      <c r="X3" s="205">
        <f t="shared" si="0"/>
        <v>2474.2340835802729</v>
      </c>
      <c r="Y3" s="205">
        <f t="shared" si="0"/>
        <v>2474.2340835802729</v>
      </c>
      <c r="Z3" s="205">
        <f t="shared" si="0"/>
        <v>2474.2340835802729</v>
      </c>
      <c r="AA3" s="205">
        <f t="shared" si="0"/>
        <v>2474.2340835802729</v>
      </c>
      <c r="AB3" s="205">
        <f t="shared" si="0"/>
        <v>2474.2340835802729</v>
      </c>
      <c r="AC3" s="205">
        <f t="shared" si="0"/>
        <v>2474.2340835802729</v>
      </c>
      <c r="AD3" s="205">
        <f t="shared" si="0"/>
        <v>2474.2340835802729</v>
      </c>
      <c r="AE3" s="205">
        <f t="shared" si="0"/>
        <v>2474.2340835802729</v>
      </c>
      <c r="AF3" s="205">
        <f t="shared" si="0"/>
        <v>2474.2340835802729</v>
      </c>
      <c r="AG3" s="205">
        <f t="shared" si="0"/>
        <v>2474.2340835802729</v>
      </c>
      <c r="AH3" s="205">
        <f t="shared" si="0"/>
        <v>2474.2340835802729</v>
      </c>
      <c r="AI3" s="205">
        <f t="shared" si="0"/>
        <v>2474.2340835802729</v>
      </c>
      <c r="AJ3" s="205">
        <f t="shared" si="0"/>
        <v>2474.2340835802729</v>
      </c>
      <c r="AK3" s="205">
        <f t="shared" si="0"/>
        <v>2474.2340835802729</v>
      </c>
      <c r="AL3" s="205">
        <f t="shared" si="0"/>
        <v>2474.2340835802729</v>
      </c>
      <c r="AM3" s="205">
        <f t="shared" si="0"/>
        <v>2474.2340835802729</v>
      </c>
      <c r="AN3" s="205">
        <f t="shared" si="0"/>
        <v>2474.2340835802729</v>
      </c>
      <c r="AO3" s="205">
        <f t="shared" si="0"/>
        <v>2474.2340835802729</v>
      </c>
      <c r="AP3" s="205">
        <f t="shared" si="0"/>
        <v>2474.2340835802729</v>
      </c>
      <c r="AQ3" s="205">
        <f t="shared" si="0"/>
        <v>2474.2340835802729</v>
      </c>
      <c r="AR3" s="205">
        <f t="shared" si="0"/>
        <v>2474.2340835802729</v>
      </c>
      <c r="AS3" s="205">
        <f t="shared" si="0"/>
        <v>2474.2340835802729</v>
      </c>
      <c r="AT3" s="205">
        <f t="shared" si="0"/>
        <v>3366.3818132655533</v>
      </c>
      <c r="AU3" s="205">
        <f t="shared" si="0"/>
        <v>3366.3818132655533</v>
      </c>
      <c r="AV3" s="205">
        <f t="shared" si="0"/>
        <v>3366.3818132655533</v>
      </c>
      <c r="AW3" s="205">
        <f t="shared" si="0"/>
        <v>3366.3818132655533</v>
      </c>
      <c r="AX3" s="205">
        <f t="shared" ref="AX3:BZ10" si="1">IF(AX$2&lt;=($B$2+$C$2+$D$2),IF(AX$2&lt;=($B$2+$C$2),IF(AX$2&lt;=$B$2,$B3,$C3),$D3),$E3)</f>
        <v>3366.3818132655533</v>
      </c>
      <c r="AY3" s="205">
        <f t="shared" si="1"/>
        <v>3366.3818132655533</v>
      </c>
      <c r="AZ3" s="205">
        <f t="shared" si="1"/>
        <v>3366.3818132655533</v>
      </c>
      <c r="BA3" s="205">
        <f t="shared" si="1"/>
        <v>3366.3818132655533</v>
      </c>
      <c r="BB3" s="205">
        <f t="shared" si="1"/>
        <v>3366.3818132655533</v>
      </c>
      <c r="BC3" s="205">
        <f t="shared" si="1"/>
        <v>3366.3818132655533</v>
      </c>
      <c r="BD3" s="205">
        <f t="shared" si="1"/>
        <v>3366.3818132655533</v>
      </c>
      <c r="BE3" s="205">
        <f t="shared" si="1"/>
        <v>3366.3818132655533</v>
      </c>
      <c r="BF3" s="205">
        <f t="shared" si="1"/>
        <v>3366.3818132655533</v>
      </c>
      <c r="BG3" s="205">
        <f t="shared" si="1"/>
        <v>3366.3818132655533</v>
      </c>
      <c r="BH3" s="205">
        <f t="shared" si="1"/>
        <v>3366.3818132655533</v>
      </c>
      <c r="BI3" s="205">
        <f t="shared" si="1"/>
        <v>3366.3818132655533</v>
      </c>
      <c r="BJ3" s="205">
        <f t="shared" si="1"/>
        <v>3366.3818132655533</v>
      </c>
      <c r="BK3" s="205">
        <f t="shared" si="1"/>
        <v>3366.3818132655533</v>
      </c>
      <c r="BL3" s="205">
        <f t="shared" si="1"/>
        <v>3366.3818132655533</v>
      </c>
      <c r="BM3" s="205">
        <f t="shared" si="1"/>
        <v>3366.3818132655533</v>
      </c>
      <c r="BN3" s="205">
        <f t="shared" si="1"/>
        <v>3366.3818132655533</v>
      </c>
      <c r="BO3" s="205">
        <f t="shared" si="1"/>
        <v>3366.3818132655533</v>
      </c>
      <c r="BP3" s="205">
        <f t="shared" si="1"/>
        <v>3366.3818132655533</v>
      </c>
      <c r="BQ3" s="205">
        <f t="shared" si="1"/>
        <v>3366.3818132655533</v>
      </c>
      <c r="BR3" s="205">
        <f t="shared" si="1"/>
        <v>3366.3818132655533</v>
      </c>
      <c r="BS3" s="205">
        <f t="shared" si="1"/>
        <v>3366.3818132655533</v>
      </c>
      <c r="BT3" s="205">
        <f t="shared" si="1"/>
        <v>3366.3818132655533</v>
      </c>
      <c r="BU3" s="205">
        <f t="shared" si="1"/>
        <v>3366.3818132655533</v>
      </c>
      <c r="BV3" s="205">
        <f t="shared" si="1"/>
        <v>3366.3818132655533</v>
      </c>
      <c r="BW3" s="205">
        <f t="shared" si="1"/>
        <v>3366.3818132655533</v>
      </c>
      <c r="BX3" s="205">
        <f t="shared" si="1"/>
        <v>3366.3818132655533</v>
      </c>
      <c r="BY3" s="205">
        <f t="shared" si="1"/>
        <v>3366.3818132655533</v>
      </c>
      <c r="BZ3" s="205">
        <f t="shared" si="1"/>
        <v>3366.3818132655533</v>
      </c>
      <c r="CA3" s="205">
        <f t="shared" ref="CA3:CR15" si="2">IF(CA$2&lt;=($B$2+$C$2+$D$2),IF(CA$2&lt;=($B$2+$C$2),IF(CA$2&lt;=$B$2,$B3,$C3),$D3),$E3)</f>
        <v>3366.3818132655533</v>
      </c>
      <c r="CB3" s="205">
        <f t="shared" si="2"/>
        <v>3366.3818132655533</v>
      </c>
      <c r="CC3" s="205">
        <f t="shared" si="2"/>
        <v>3366.3818132655533</v>
      </c>
      <c r="CD3" s="205">
        <f t="shared" si="2"/>
        <v>3366.3818132655533</v>
      </c>
      <c r="CE3" s="205">
        <f t="shared" si="2"/>
        <v>3366.3818132655533</v>
      </c>
      <c r="CF3" s="205">
        <f t="shared" si="2"/>
        <v>3366.3818132655533</v>
      </c>
      <c r="CG3" s="205">
        <f t="shared" si="2"/>
        <v>3010.7887259041863</v>
      </c>
      <c r="CH3" s="205">
        <f t="shared" si="2"/>
        <v>3010.7887259041863</v>
      </c>
      <c r="CI3" s="205">
        <f t="shared" si="2"/>
        <v>3010.7887259041863</v>
      </c>
      <c r="CJ3" s="205">
        <f t="shared" si="2"/>
        <v>3010.7887259041863</v>
      </c>
      <c r="CK3" s="205">
        <f t="shared" si="2"/>
        <v>3010.7887259041863</v>
      </c>
      <c r="CL3" s="205">
        <f t="shared" si="2"/>
        <v>3010.7887259041863</v>
      </c>
      <c r="CM3" s="205">
        <f t="shared" si="2"/>
        <v>3010.7887259041863</v>
      </c>
      <c r="CN3" s="205">
        <f t="shared" si="2"/>
        <v>3010.7887259041863</v>
      </c>
      <c r="CO3" s="205">
        <f t="shared" si="2"/>
        <v>3010.7887259041863</v>
      </c>
      <c r="CP3" s="205">
        <f t="shared" si="2"/>
        <v>3010.7887259041863</v>
      </c>
      <c r="CQ3" s="205">
        <f t="shared" si="2"/>
        <v>3010.7887259041863</v>
      </c>
      <c r="CR3" s="205">
        <f t="shared" si="2"/>
        <v>3010.7887259041863</v>
      </c>
      <c r="CS3" s="205">
        <f t="shared" ref="CS3:DA15" si="3">IF(CS$2&lt;=($B$2+$C$2+$D$2),IF(CS$2&lt;=($B$2+$C$2),IF(CS$2&lt;=$B$2,$B3,$C3),$D3),$E3)</f>
        <v>3010.7887259041863</v>
      </c>
      <c r="CT3" s="205">
        <f t="shared" si="3"/>
        <v>3010.7887259041863</v>
      </c>
      <c r="CU3" s="205">
        <f t="shared" si="3"/>
        <v>3010.7887259041863</v>
      </c>
      <c r="CV3" s="205">
        <f t="shared" si="3"/>
        <v>3010.7887259041863</v>
      </c>
      <c r="CW3" s="205">
        <f t="shared" si="3"/>
        <v>3010.7887259041863</v>
      </c>
      <c r="CX3" s="205">
        <f t="shared" si="3"/>
        <v>3010.7887259041863</v>
      </c>
      <c r="CY3" s="205">
        <f t="shared" si="3"/>
        <v>3010.7887259041863</v>
      </c>
      <c r="CZ3" s="205">
        <f t="shared" si="3"/>
        <v>3010.7887259041863</v>
      </c>
      <c r="DA3" s="205">
        <f t="shared" si="3"/>
        <v>3010.7887259041863</v>
      </c>
      <c r="DB3" s="205"/>
    </row>
    <row r="4" spans="1:106">
      <c r="A4" s="202" t="str">
        <f>Income!A73</f>
        <v>Own crops sold</v>
      </c>
      <c r="B4" s="204">
        <f>Income!B73</f>
        <v>22.185248057409371</v>
      </c>
      <c r="C4" s="204">
        <f>Income!C73</f>
        <v>236.64264594569994</v>
      </c>
      <c r="D4" s="204">
        <f>Income!D73</f>
        <v>219.73959980672137</v>
      </c>
      <c r="E4" s="204">
        <f>Income!E73</f>
        <v>0</v>
      </c>
      <c r="F4" s="205">
        <f t="shared" ref="F4:U17" si="4">IF(F$2&lt;=($B$2+$C$2+$D$2),IF(F$2&lt;=($B$2+$C$2),IF(F$2&lt;=$B$2,$B4,$C4),$D4),$E4)</f>
        <v>22.185248057409371</v>
      </c>
      <c r="G4" s="205">
        <f t="shared" si="0"/>
        <v>22.185248057409371</v>
      </c>
      <c r="H4" s="205">
        <f t="shared" si="0"/>
        <v>22.185248057409371</v>
      </c>
      <c r="I4" s="205">
        <f t="shared" si="0"/>
        <v>22.185248057409371</v>
      </c>
      <c r="J4" s="205">
        <f t="shared" si="0"/>
        <v>22.185248057409371</v>
      </c>
      <c r="K4" s="205">
        <f t="shared" si="0"/>
        <v>22.185248057409371</v>
      </c>
      <c r="L4" s="205">
        <f t="shared" si="0"/>
        <v>22.185248057409371</v>
      </c>
      <c r="M4" s="205">
        <f t="shared" si="0"/>
        <v>22.185248057409371</v>
      </c>
      <c r="N4" s="205">
        <f t="shared" si="0"/>
        <v>22.185248057409371</v>
      </c>
      <c r="O4" s="205">
        <f t="shared" si="0"/>
        <v>22.185248057409371</v>
      </c>
      <c r="P4" s="205">
        <f t="shared" si="0"/>
        <v>22.185248057409371</v>
      </c>
      <c r="Q4" s="205">
        <f t="shared" si="0"/>
        <v>22.185248057409371</v>
      </c>
      <c r="R4" s="205">
        <f t="shared" si="0"/>
        <v>22.185248057409371</v>
      </c>
      <c r="S4" s="205">
        <f t="shared" si="0"/>
        <v>22.185248057409371</v>
      </c>
      <c r="T4" s="205">
        <f t="shared" si="0"/>
        <v>22.185248057409371</v>
      </c>
      <c r="U4" s="205">
        <f t="shared" si="0"/>
        <v>22.185248057409371</v>
      </c>
      <c r="V4" s="205">
        <f t="shared" si="0"/>
        <v>22.185248057409371</v>
      </c>
      <c r="W4" s="205">
        <f t="shared" si="0"/>
        <v>22.185248057409371</v>
      </c>
      <c r="X4" s="205">
        <f t="shared" si="0"/>
        <v>22.185248057409371</v>
      </c>
      <c r="Y4" s="205">
        <f t="shared" si="0"/>
        <v>22.185248057409371</v>
      </c>
      <c r="Z4" s="205">
        <f t="shared" si="0"/>
        <v>22.185248057409371</v>
      </c>
      <c r="AA4" s="205">
        <f t="shared" si="0"/>
        <v>22.185248057409371</v>
      </c>
      <c r="AB4" s="205">
        <f t="shared" si="0"/>
        <v>22.185248057409371</v>
      </c>
      <c r="AC4" s="205">
        <f t="shared" si="0"/>
        <v>22.185248057409371</v>
      </c>
      <c r="AD4" s="205">
        <f t="shared" si="0"/>
        <v>22.185248057409371</v>
      </c>
      <c r="AE4" s="205">
        <f t="shared" si="0"/>
        <v>22.185248057409371</v>
      </c>
      <c r="AF4" s="205">
        <f t="shared" si="0"/>
        <v>22.185248057409371</v>
      </c>
      <c r="AG4" s="205">
        <f t="shared" si="0"/>
        <v>22.185248057409371</v>
      </c>
      <c r="AH4" s="205">
        <f t="shared" si="0"/>
        <v>22.185248057409371</v>
      </c>
      <c r="AI4" s="205">
        <f t="shared" si="0"/>
        <v>22.185248057409371</v>
      </c>
      <c r="AJ4" s="205">
        <f t="shared" si="0"/>
        <v>22.185248057409371</v>
      </c>
      <c r="AK4" s="205">
        <f t="shared" si="0"/>
        <v>22.185248057409371</v>
      </c>
      <c r="AL4" s="205">
        <f t="shared" si="0"/>
        <v>22.185248057409371</v>
      </c>
      <c r="AM4" s="205">
        <f t="shared" si="0"/>
        <v>22.185248057409371</v>
      </c>
      <c r="AN4" s="205">
        <f t="shared" si="0"/>
        <v>22.185248057409371</v>
      </c>
      <c r="AO4" s="205">
        <f t="shared" si="0"/>
        <v>22.185248057409371</v>
      </c>
      <c r="AP4" s="205">
        <f t="shared" si="0"/>
        <v>22.185248057409371</v>
      </c>
      <c r="AQ4" s="205">
        <f t="shared" si="0"/>
        <v>22.185248057409371</v>
      </c>
      <c r="AR4" s="205">
        <f t="shared" si="0"/>
        <v>22.185248057409371</v>
      </c>
      <c r="AS4" s="205">
        <f t="shared" si="0"/>
        <v>22.185248057409371</v>
      </c>
      <c r="AT4" s="205">
        <f t="shared" si="0"/>
        <v>236.64264594569994</v>
      </c>
      <c r="AU4" s="205">
        <f t="shared" si="0"/>
        <v>236.64264594569994</v>
      </c>
      <c r="AV4" s="205">
        <f t="shared" si="0"/>
        <v>236.64264594569994</v>
      </c>
      <c r="AW4" s="205">
        <f t="shared" si="0"/>
        <v>236.64264594569994</v>
      </c>
      <c r="AX4" s="205">
        <f t="shared" si="1"/>
        <v>236.64264594569994</v>
      </c>
      <c r="AY4" s="205">
        <f t="shared" si="1"/>
        <v>236.64264594569994</v>
      </c>
      <c r="AZ4" s="205">
        <f t="shared" si="1"/>
        <v>236.64264594569994</v>
      </c>
      <c r="BA4" s="205">
        <f t="shared" si="1"/>
        <v>236.64264594569994</v>
      </c>
      <c r="BB4" s="205">
        <f t="shared" si="1"/>
        <v>236.64264594569994</v>
      </c>
      <c r="BC4" s="205">
        <f t="shared" si="1"/>
        <v>236.64264594569994</v>
      </c>
      <c r="BD4" s="205">
        <f t="shared" si="1"/>
        <v>236.64264594569994</v>
      </c>
      <c r="BE4" s="205">
        <f t="shared" si="1"/>
        <v>236.64264594569994</v>
      </c>
      <c r="BF4" s="205">
        <f t="shared" si="1"/>
        <v>236.64264594569994</v>
      </c>
      <c r="BG4" s="205">
        <f t="shared" si="1"/>
        <v>236.64264594569994</v>
      </c>
      <c r="BH4" s="205">
        <f t="shared" si="1"/>
        <v>236.64264594569994</v>
      </c>
      <c r="BI4" s="205">
        <f t="shared" si="1"/>
        <v>236.64264594569994</v>
      </c>
      <c r="BJ4" s="205">
        <f t="shared" si="1"/>
        <v>236.64264594569994</v>
      </c>
      <c r="BK4" s="205">
        <f t="shared" si="1"/>
        <v>236.64264594569994</v>
      </c>
      <c r="BL4" s="205">
        <f t="shared" si="1"/>
        <v>236.64264594569994</v>
      </c>
      <c r="BM4" s="205">
        <f t="shared" si="1"/>
        <v>236.64264594569994</v>
      </c>
      <c r="BN4" s="205">
        <f t="shared" si="1"/>
        <v>236.64264594569994</v>
      </c>
      <c r="BO4" s="205">
        <f t="shared" si="1"/>
        <v>236.64264594569994</v>
      </c>
      <c r="BP4" s="205">
        <f t="shared" si="1"/>
        <v>236.64264594569994</v>
      </c>
      <c r="BQ4" s="205">
        <f t="shared" si="1"/>
        <v>236.64264594569994</v>
      </c>
      <c r="BR4" s="205">
        <f t="shared" si="1"/>
        <v>236.64264594569994</v>
      </c>
      <c r="BS4" s="205">
        <f t="shared" si="1"/>
        <v>236.64264594569994</v>
      </c>
      <c r="BT4" s="205">
        <f t="shared" si="1"/>
        <v>236.64264594569994</v>
      </c>
      <c r="BU4" s="205">
        <f t="shared" si="1"/>
        <v>236.64264594569994</v>
      </c>
      <c r="BV4" s="205">
        <f t="shared" si="1"/>
        <v>236.64264594569994</v>
      </c>
      <c r="BW4" s="205">
        <f t="shared" si="1"/>
        <v>236.64264594569994</v>
      </c>
      <c r="BX4" s="205">
        <f t="shared" si="1"/>
        <v>236.64264594569994</v>
      </c>
      <c r="BY4" s="205">
        <f t="shared" si="1"/>
        <v>236.64264594569994</v>
      </c>
      <c r="BZ4" s="205">
        <f t="shared" si="1"/>
        <v>236.64264594569994</v>
      </c>
      <c r="CA4" s="205">
        <f t="shared" si="2"/>
        <v>236.64264594569994</v>
      </c>
      <c r="CB4" s="205">
        <f t="shared" si="2"/>
        <v>236.64264594569994</v>
      </c>
      <c r="CC4" s="205">
        <f t="shared" si="2"/>
        <v>236.64264594569994</v>
      </c>
      <c r="CD4" s="205">
        <f t="shared" si="2"/>
        <v>236.64264594569994</v>
      </c>
      <c r="CE4" s="205">
        <f t="shared" si="2"/>
        <v>236.64264594569994</v>
      </c>
      <c r="CF4" s="205">
        <f t="shared" si="2"/>
        <v>236.64264594569994</v>
      </c>
      <c r="CG4" s="205">
        <f t="shared" si="2"/>
        <v>219.73959980672137</v>
      </c>
      <c r="CH4" s="205">
        <f t="shared" si="2"/>
        <v>219.73959980672137</v>
      </c>
      <c r="CI4" s="205">
        <f t="shared" si="2"/>
        <v>219.73959980672137</v>
      </c>
      <c r="CJ4" s="205">
        <f t="shared" si="2"/>
        <v>219.73959980672137</v>
      </c>
      <c r="CK4" s="205">
        <f t="shared" si="2"/>
        <v>219.73959980672137</v>
      </c>
      <c r="CL4" s="205">
        <f t="shared" si="2"/>
        <v>219.73959980672137</v>
      </c>
      <c r="CM4" s="205">
        <f t="shared" si="2"/>
        <v>219.73959980672137</v>
      </c>
      <c r="CN4" s="205">
        <f t="shared" si="2"/>
        <v>219.73959980672137</v>
      </c>
      <c r="CO4" s="205">
        <f t="shared" si="2"/>
        <v>219.73959980672137</v>
      </c>
      <c r="CP4" s="205">
        <f t="shared" si="2"/>
        <v>219.73959980672137</v>
      </c>
      <c r="CQ4" s="205">
        <f t="shared" si="2"/>
        <v>219.73959980672137</v>
      </c>
      <c r="CR4" s="205">
        <f t="shared" si="2"/>
        <v>219.73959980672137</v>
      </c>
      <c r="CS4" s="205">
        <f t="shared" si="3"/>
        <v>219.73959980672137</v>
      </c>
      <c r="CT4" s="205">
        <f t="shared" si="3"/>
        <v>219.73959980672137</v>
      </c>
      <c r="CU4" s="205">
        <f t="shared" si="3"/>
        <v>219.73959980672137</v>
      </c>
      <c r="CV4" s="205">
        <f t="shared" si="3"/>
        <v>219.73959980672137</v>
      </c>
      <c r="CW4" s="205">
        <f t="shared" si="3"/>
        <v>219.73959980672137</v>
      </c>
      <c r="CX4" s="205">
        <f t="shared" si="3"/>
        <v>219.73959980672137</v>
      </c>
      <c r="CY4" s="205">
        <f t="shared" si="3"/>
        <v>219.73959980672137</v>
      </c>
      <c r="CZ4" s="205">
        <f t="shared" si="3"/>
        <v>219.73959980672137</v>
      </c>
      <c r="DA4" s="205">
        <f t="shared" si="3"/>
        <v>219.73959980672137</v>
      </c>
      <c r="DB4" s="205"/>
    </row>
    <row r="5" spans="1:106">
      <c r="A5" s="202" t="str">
        <f>Income!A74</f>
        <v>Animal products consumed</v>
      </c>
      <c r="B5" s="204">
        <f>Income!B74</f>
        <v>789.14337078418851</v>
      </c>
      <c r="C5" s="204">
        <f>Income!C74</f>
        <v>1706.4092365501797</v>
      </c>
      <c r="D5" s="204">
        <f>Income!D74</f>
        <v>2389.4591102806739</v>
      </c>
      <c r="E5" s="204">
        <f>Income!E74</f>
        <v>0</v>
      </c>
      <c r="F5" s="205">
        <f t="shared" si="4"/>
        <v>789.14337078418851</v>
      </c>
      <c r="G5" s="205">
        <f t="shared" si="0"/>
        <v>789.14337078418851</v>
      </c>
      <c r="H5" s="205">
        <f t="shared" si="0"/>
        <v>789.14337078418851</v>
      </c>
      <c r="I5" s="205">
        <f t="shared" si="0"/>
        <v>789.14337078418851</v>
      </c>
      <c r="J5" s="205">
        <f t="shared" si="0"/>
        <v>789.14337078418851</v>
      </c>
      <c r="K5" s="205">
        <f t="shared" si="0"/>
        <v>789.14337078418851</v>
      </c>
      <c r="L5" s="205">
        <f t="shared" si="0"/>
        <v>789.14337078418851</v>
      </c>
      <c r="M5" s="205">
        <f t="shared" si="0"/>
        <v>789.14337078418851</v>
      </c>
      <c r="N5" s="205">
        <f t="shared" si="0"/>
        <v>789.14337078418851</v>
      </c>
      <c r="O5" s="205">
        <f t="shared" si="0"/>
        <v>789.14337078418851</v>
      </c>
      <c r="P5" s="205">
        <f t="shared" si="0"/>
        <v>789.14337078418851</v>
      </c>
      <c r="Q5" s="205">
        <f t="shared" si="0"/>
        <v>789.14337078418851</v>
      </c>
      <c r="R5" s="205">
        <f t="shared" si="0"/>
        <v>789.14337078418851</v>
      </c>
      <c r="S5" s="205">
        <f t="shared" si="0"/>
        <v>789.14337078418851</v>
      </c>
      <c r="T5" s="205">
        <f t="shared" si="0"/>
        <v>789.14337078418851</v>
      </c>
      <c r="U5" s="205">
        <f t="shared" si="0"/>
        <v>789.14337078418851</v>
      </c>
      <c r="V5" s="205">
        <f t="shared" si="0"/>
        <v>789.14337078418851</v>
      </c>
      <c r="W5" s="205">
        <f t="shared" si="0"/>
        <v>789.14337078418851</v>
      </c>
      <c r="X5" s="205">
        <f t="shared" si="0"/>
        <v>789.14337078418851</v>
      </c>
      <c r="Y5" s="205">
        <f t="shared" si="0"/>
        <v>789.14337078418851</v>
      </c>
      <c r="Z5" s="205">
        <f t="shared" si="0"/>
        <v>789.14337078418851</v>
      </c>
      <c r="AA5" s="205">
        <f t="shared" si="0"/>
        <v>789.14337078418851</v>
      </c>
      <c r="AB5" s="205">
        <f t="shared" si="0"/>
        <v>789.14337078418851</v>
      </c>
      <c r="AC5" s="205">
        <f t="shared" si="0"/>
        <v>789.14337078418851</v>
      </c>
      <c r="AD5" s="205">
        <f t="shared" si="0"/>
        <v>789.14337078418851</v>
      </c>
      <c r="AE5" s="205">
        <f t="shared" si="0"/>
        <v>789.14337078418851</v>
      </c>
      <c r="AF5" s="205">
        <f t="shared" si="0"/>
        <v>789.14337078418851</v>
      </c>
      <c r="AG5" s="205">
        <f t="shared" si="0"/>
        <v>789.14337078418851</v>
      </c>
      <c r="AH5" s="205">
        <f t="shared" si="0"/>
        <v>789.14337078418851</v>
      </c>
      <c r="AI5" s="205">
        <f t="shared" si="0"/>
        <v>789.14337078418851</v>
      </c>
      <c r="AJ5" s="205">
        <f t="shared" si="0"/>
        <v>789.14337078418851</v>
      </c>
      <c r="AK5" s="205">
        <f t="shared" si="0"/>
        <v>789.14337078418851</v>
      </c>
      <c r="AL5" s="205">
        <f t="shared" si="0"/>
        <v>789.14337078418851</v>
      </c>
      <c r="AM5" s="205">
        <f t="shared" si="0"/>
        <v>789.14337078418851</v>
      </c>
      <c r="AN5" s="205">
        <f t="shared" si="0"/>
        <v>789.14337078418851</v>
      </c>
      <c r="AO5" s="205">
        <f t="shared" si="0"/>
        <v>789.14337078418851</v>
      </c>
      <c r="AP5" s="205">
        <f t="shared" si="0"/>
        <v>789.14337078418851</v>
      </c>
      <c r="AQ5" s="205">
        <f t="shared" si="0"/>
        <v>789.14337078418851</v>
      </c>
      <c r="AR5" s="205">
        <f t="shared" si="0"/>
        <v>789.14337078418851</v>
      </c>
      <c r="AS5" s="205">
        <f t="shared" si="0"/>
        <v>789.14337078418851</v>
      </c>
      <c r="AT5" s="205">
        <f t="shared" si="0"/>
        <v>1706.4092365501797</v>
      </c>
      <c r="AU5" s="205">
        <f t="shared" si="0"/>
        <v>1706.4092365501797</v>
      </c>
      <c r="AV5" s="205">
        <f t="shared" si="0"/>
        <v>1706.4092365501797</v>
      </c>
      <c r="AW5" s="205">
        <f t="shared" si="0"/>
        <v>1706.4092365501797</v>
      </c>
      <c r="AX5" s="205">
        <f t="shared" si="1"/>
        <v>1706.4092365501797</v>
      </c>
      <c r="AY5" s="205">
        <f t="shared" si="1"/>
        <v>1706.4092365501797</v>
      </c>
      <c r="AZ5" s="205">
        <f t="shared" si="1"/>
        <v>1706.4092365501797</v>
      </c>
      <c r="BA5" s="205">
        <f t="shared" si="1"/>
        <v>1706.4092365501797</v>
      </c>
      <c r="BB5" s="205">
        <f t="shared" si="1"/>
        <v>1706.4092365501797</v>
      </c>
      <c r="BC5" s="205">
        <f t="shared" si="1"/>
        <v>1706.4092365501797</v>
      </c>
      <c r="BD5" s="205">
        <f t="shared" si="1"/>
        <v>1706.4092365501797</v>
      </c>
      <c r="BE5" s="205">
        <f t="shared" si="1"/>
        <v>1706.4092365501797</v>
      </c>
      <c r="BF5" s="205">
        <f t="shared" si="1"/>
        <v>1706.4092365501797</v>
      </c>
      <c r="BG5" s="205">
        <f t="shared" si="1"/>
        <v>1706.4092365501797</v>
      </c>
      <c r="BH5" s="205">
        <f t="shared" si="1"/>
        <v>1706.4092365501797</v>
      </c>
      <c r="BI5" s="205">
        <f t="shared" si="1"/>
        <v>1706.4092365501797</v>
      </c>
      <c r="BJ5" s="205">
        <f t="shared" si="1"/>
        <v>1706.4092365501797</v>
      </c>
      <c r="BK5" s="205">
        <f t="shared" si="1"/>
        <v>1706.4092365501797</v>
      </c>
      <c r="BL5" s="205">
        <f t="shared" si="1"/>
        <v>1706.4092365501797</v>
      </c>
      <c r="BM5" s="205">
        <f t="shared" si="1"/>
        <v>1706.4092365501797</v>
      </c>
      <c r="BN5" s="205">
        <f t="shared" si="1"/>
        <v>1706.4092365501797</v>
      </c>
      <c r="BO5" s="205">
        <f t="shared" si="1"/>
        <v>1706.4092365501797</v>
      </c>
      <c r="BP5" s="205">
        <f t="shared" si="1"/>
        <v>1706.4092365501797</v>
      </c>
      <c r="BQ5" s="205">
        <f t="shared" si="1"/>
        <v>1706.4092365501797</v>
      </c>
      <c r="BR5" s="205">
        <f t="shared" si="1"/>
        <v>1706.4092365501797</v>
      </c>
      <c r="BS5" s="205">
        <f t="shared" si="1"/>
        <v>1706.4092365501797</v>
      </c>
      <c r="BT5" s="205">
        <f t="shared" si="1"/>
        <v>1706.4092365501797</v>
      </c>
      <c r="BU5" s="205">
        <f t="shared" si="1"/>
        <v>1706.4092365501797</v>
      </c>
      <c r="BV5" s="205">
        <f t="shared" si="1"/>
        <v>1706.4092365501797</v>
      </c>
      <c r="BW5" s="205">
        <f t="shared" si="1"/>
        <v>1706.4092365501797</v>
      </c>
      <c r="BX5" s="205">
        <f t="shared" si="1"/>
        <v>1706.4092365501797</v>
      </c>
      <c r="BY5" s="205">
        <f t="shared" si="1"/>
        <v>1706.4092365501797</v>
      </c>
      <c r="BZ5" s="205">
        <f t="shared" si="1"/>
        <v>1706.4092365501797</v>
      </c>
      <c r="CA5" s="205">
        <f t="shared" si="2"/>
        <v>1706.4092365501797</v>
      </c>
      <c r="CB5" s="205">
        <f t="shared" si="2"/>
        <v>1706.4092365501797</v>
      </c>
      <c r="CC5" s="205">
        <f t="shared" si="2"/>
        <v>1706.4092365501797</v>
      </c>
      <c r="CD5" s="205">
        <f t="shared" si="2"/>
        <v>1706.4092365501797</v>
      </c>
      <c r="CE5" s="205">
        <f t="shared" si="2"/>
        <v>1706.4092365501797</v>
      </c>
      <c r="CF5" s="205">
        <f t="shared" si="2"/>
        <v>1706.4092365501797</v>
      </c>
      <c r="CG5" s="205">
        <f t="shared" si="2"/>
        <v>2389.4591102806739</v>
      </c>
      <c r="CH5" s="205">
        <f t="shared" si="2"/>
        <v>2389.4591102806739</v>
      </c>
      <c r="CI5" s="205">
        <f t="shared" si="2"/>
        <v>2389.4591102806739</v>
      </c>
      <c r="CJ5" s="205">
        <f t="shared" si="2"/>
        <v>2389.4591102806739</v>
      </c>
      <c r="CK5" s="205">
        <f t="shared" si="2"/>
        <v>2389.4591102806739</v>
      </c>
      <c r="CL5" s="205">
        <f t="shared" si="2"/>
        <v>2389.4591102806739</v>
      </c>
      <c r="CM5" s="205">
        <f t="shared" si="2"/>
        <v>2389.4591102806739</v>
      </c>
      <c r="CN5" s="205">
        <f t="shared" si="2"/>
        <v>2389.4591102806739</v>
      </c>
      <c r="CO5" s="205">
        <f t="shared" si="2"/>
        <v>2389.4591102806739</v>
      </c>
      <c r="CP5" s="205">
        <f t="shared" si="2"/>
        <v>2389.4591102806739</v>
      </c>
      <c r="CQ5" s="205">
        <f t="shared" si="2"/>
        <v>2389.4591102806739</v>
      </c>
      <c r="CR5" s="205">
        <f t="shared" si="2"/>
        <v>2389.4591102806739</v>
      </c>
      <c r="CS5" s="205">
        <f t="shared" si="3"/>
        <v>2389.4591102806739</v>
      </c>
      <c r="CT5" s="205">
        <f t="shared" si="3"/>
        <v>2389.4591102806739</v>
      </c>
      <c r="CU5" s="205">
        <f t="shared" si="3"/>
        <v>2389.4591102806739</v>
      </c>
      <c r="CV5" s="205">
        <f t="shared" si="3"/>
        <v>2389.4591102806739</v>
      </c>
      <c r="CW5" s="205">
        <f t="shared" si="3"/>
        <v>2389.4591102806739</v>
      </c>
      <c r="CX5" s="205">
        <f t="shared" si="3"/>
        <v>2389.4591102806739</v>
      </c>
      <c r="CY5" s="205">
        <f t="shared" si="3"/>
        <v>2389.4591102806739</v>
      </c>
      <c r="CZ5" s="205">
        <f t="shared" si="3"/>
        <v>2389.4591102806739</v>
      </c>
      <c r="DA5" s="205">
        <f t="shared" si="3"/>
        <v>2389.4591102806739</v>
      </c>
      <c r="DB5" s="205"/>
    </row>
    <row r="6" spans="1:106">
      <c r="A6" s="202" t="str">
        <f>Income!A75</f>
        <v>Animal products sold</v>
      </c>
      <c r="B6" s="204">
        <f>Income!B75</f>
        <v>0</v>
      </c>
      <c r="C6" s="204">
        <f>Income!C75</f>
        <v>0</v>
      </c>
      <c r="D6" s="204">
        <f>Income!D75</f>
        <v>0</v>
      </c>
      <c r="E6" s="204">
        <f>Income!E75</f>
        <v>0</v>
      </c>
      <c r="F6" s="205">
        <f t="shared" si="4"/>
        <v>0</v>
      </c>
      <c r="G6" s="205">
        <f t="shared" si="0"/>
        <v>0</v>
      </c>
      <c r="H6" s="205">
        <f t="shared" si="0"/>
        <v>0</v>
      </c>
      <c r="I6" s="205">
        <f t="shared" si="0"/>
        <v>0</v>
      </c>
      <c r="J6" s="205">
        <f t="shared" si="0"/>
        <v>0</v>
      </c>
      <c r="K6" s="205">
        <f t="shared" si="0"/>
        <v>0</v>
      </c>
      <c r="L6" s="205">
        <f t="shared" si="0"/>
        <v>0</v>
      </c>
      <c r="M6" s="205">
        <f t="shared" si="0"/>
        <v>0</v>
      </c>
      <c r="N6" s="205">
        <f t="shared" si="0"/>
        <v>0</v>
      </c>
      <c r="O6" s="205">
        <f t="shared" si="0"/>
        <v>0</v>
      </c>
      <c r="P6" s="205">
        <f t="shared" si="0"/>
        <v>0</v>
      </c>
      <c r="Q6" s="205">
        <f t="shared" si="0"/>
        <v>0</v>
      </c>
      <c r="R6" s="205">
        <f t="shared" si="0"/>
        <v>0</v>
      </c>
      <c r="S6" s="205">
        <f t="shared" si="0"/>
        <v>0</v>
      </c>
      <c r="T6" s="205">
        <f t="shared" si="0"/>
        <v>0</v>
      </c>
      <c r="U6" s="205">
        <f t="shared" si="0"/>
        <v>0</v>
      </c>
      <c r="V6" s="205">
        <f t="shared" si="0"/>
        <v>0</v>
      </c>
      <c r="W6" s="205">
        <f t="shared" si="0"/>
        <v>0</v>
      </c>
      <c r="X6" s="205">
        <f t="shared" si="0"/>
        <v>0</v>
      </c>
      <c r="Y6" s="205">
        <f t="shared" si="0"/>
        <v>0</v>
      </c>
      <c r="Z6" s="205">
        <f t="shared" si="0"/>
        <v>0</v>
      </c>
      <c r="AA6" s="205">
        <f t="shared" si="0"/>
        <v>0</v>
      </c>
      <c r="AB6" s="205">
        <f t="shared" si="0"/>
        <v>0</v>
      </c>
      <c r="AC6" s="205">
        <f t="shared" si="0"/>
        <v>0</v>
      </c>
      <c r="AD6" s="205">
        <f t="shared" si="0"/>
        <v>0</v>
      </c>
      <c r="AE6" s="205">
        <f t="shared" si="0"/>
        <v>0</v>
      </c>
      <c r="AF6" s="205">
        <f t="shared" si="0"/>
        <v>0</v>
      </c>
      <c r="AG6" s="205">
        <f t="shared" si="0"/>
        <v>0</v>
      </c>
      <c r="AH6" s="205">
        <f t="shared" si="0"/>
        <v>0</v>
      </c>
      <c r="AI6" s="205">
        <f t="shared" si="0"/>
        <v>0</v>
      </c>
      <c r="AJ6" s="205">
        <f t="shared" si="0"/>
        <v>0</v>
      </c>
      <c r="AK6" s="205">
        <f t="shared" si="0"/>
        <v>0</v>
      </c>
      <c r="AL6" s="205">
        <f t="shared" si="0"/>
        <v>0</v>
      </c>
      <c r="AM6" s="205">
        <f t="shared" si="0"/>
        <v>0</v>
      </c>
      <c r="AN6" s="205">
        <f t="shared" si="0"/>
        <v>0</v>
      </c>
      <c r="AO6" s="205">
        <f t="shared" si="0"/>
        <v>0</v>
      </c>
      <c r="AP6" s="205">
        <f t="shared" si="0"/>
        <v>0</v>
      </c>
      <c r="AQ6" s="205">
        <f t="shared" si="0"/>
        <v>0</v>
      </c>
      <c r="AR6" s="205">
        <f t="shared" si="0"/>
        <v>0</v>
      </c>
      <c r="AS6" s="205">
        <f t="shared" si="0"/>
        <v>0</v>
      </c>
      <c r="AT6" s="205">
        <f t="shared" si="0"/>
        <v>0</v>
      </c>
      <c r="AU6" s="205">
        <f t="shared" si="0"/>
        <v>0</v>
      </c>
      <c r="AV6" s="205">
        <f t="shared" si="0"/>
        <v>0</v>
      </c>
      <c r="AW6" s="205">
        <f t="shared" si="0"/>
        <v>0</v>
      </c>
      <c r="AX6" s="205">
        <f t="shared" si="1"/>
        <v>0</v>
      </c>
      <c r="AY6" s="205">
        <f t="shared" si="1"/>
        <v>0</v>
      </c>
      <c r="AZ6" s="205">
        <f t="shared" si="1"/>
        <v>0</v>
      </c>
      <c r="BA6" s="205">
        <f t="shared" si="1"/>
        <v>0</v>
      </c>
      <c r="BB6" s="205">
        <f t="shared" si="1"/>
        <v>0</v>
      </c>
      <c r="BC6" s="205">
        <f t="shared" si="1"/>
        <v>0</v>
      </c>
      <c r="BD6" s="205">
        <f t="shared" si="1"/>
        <v>0</v>
      </c>
      <c r="BE6" s="205">
        <f t="shared" si="1"/>
        <v>0</v>
      </c>
      <c r="BF6" s="205">
        <f t="shared" si="1"/>
        <v>0</v>
      </c>
      <c r="BG6" s="205">
        <f t="shared" si="1"/>
        <v>0</v>
      </c>
      <c r="BH6" s="205">
        <f t="shared" si="1"/>
        <v>0</v>
      </c>
      <c r="BI6" s="205">
        <f t="shared" si="1"/>
        <v>0</v>
      </c>
      <c r="BJ6" s="205">
        <f t="shared" si="1"/>
        <v>0</v>
      </c>
      <c r="BK6" s="205">
        <f t="shared" si="1"/>
        <v>0</v>
      </c>
      <c r="BL6" s="205">
        <f t="shared" si="1"/>
        <v>0</v>
      </c>
      <c r="BM6" s="205">
        <f t="shared" si="1"/>
        <v>0</v>
      </c>
      <c r="BN6" s="205">
        <f t="shared" si="1"/>
        <v>0</v>
      </c>
      <c r="BO6" s="205">
        <f t="shared" si="1"/>
        <v>0</v>
      </c>
      <c r="BP6" s="205">
        <f t="shared" si="1"/>
        <v>0</v>
      </c>
      <c r="BQ6" s="205">
        <f t="shared" si="1"/>
        <v>0</v>
      </c>
      <c r="BR6" s="205">
        <f t="shared" si="1"/>
        <v>0</v>
      </c>
      <c r="BS6" s="205">
        <f t="shared" si="1"/>
        <v>0</v>
      </c>
      <c r="BT6" s="205">
        <f t="shared" si="1"/>
        <v>0</v>
      </c>
      <c r="BU6" s="205">
        <f t="shared" si="1"/>
        <v>0</v>
      </c>
      <c r="BV6" s="205">
        <f t="shared" si="1"/>
        <v>0</v>
      </c>
      <c r="BW6" s="205">
        <f t="shared" si="1"/>
        <v>0</v>
      </c>
      <c r="BX6" s="205">
        <f t="shared" si="1"/>
        <v>0</v>
      </c>
      <c r="BY6" s="205">
        <f t="shared" si="1"/>
        <v>0</v>
      </c>
      <c r="BZ6" s="205">
        <f t="shared" si="1"/>
        <v>0</v>
      </c>
      <c r="CA6" s="205">
        <f t="shared" si="2"/>
        <v>0</v>
      </c>
      <c r="CB6" s="205">
        <f t="shared" si="2"/>
        <v>0</v>
      </c>
      <c r="CC6" s="205">
        <f t="shared" si="2"/>
        <v>0</v>
      </c>
      <c r="CD6" s="205">
        <f t="shared" si="2"/>
        <v>0</v>
      </c>
      <c r="CE6" s="205">
        <f t="shared" si="2"/>
        <v>0</v>
      </c>
      <c r="CF6" s="205">
        <f t="shared" si="2"/>
        <v>0</v>
      </c>
      <c r="CG6" s="205">
        <f t="shared" si="2"/>
        <v>0</v>
      </c>
      <c r="CH6" s="205">
        <f t="shared" si="2"/>
        <v>0</v>
      </c>
      <c r="CI6" s="205">
        <f t="shared" si="2"/>
        <v>0</v>
      </c>
      <c r="CJ6" s="205">
        <f t="shared" si="2"/>
        <v>0</v>
      </c>
      <c r="CK6" s="205">
        <f t="shared" si="2"/>
        <v>0</v>
      </c>
      <c r="CL6" s="205">
        <f t="shared" si="2"/>
        <v>0</v>
      </c>
      <c r="CM6" s="205">
        <f t="shared" si="2"/>
        <v>0</v>
      </c>
      <c r="CN6" s="205">
        <f t="shared" si="2"/>
        <v>0</v>
      </c>
      <c r="CO6" s="205">
        <f t="shared" si="2"/>
        <v>0</v>
      </c>
      <c r="CP6" s="205">
        <f t="shared" si="2"/>
        <v>0</v>
      </c>
      <c r="CQ6" s="205">
        <f t="shared" si="2"/>
        <v>0</v>
      </c>
      <c r="CR6" s="205">
        <f t="shared" si="2"/>
        <v>0</v>
      </c>
      <c r="CS6" s="205">
        <f t="shared" si="3"/>
        <v>0</v>
      </c>
      <c r="CT6" s="205">
        <f t="shared" si="3"/>
        <v>0</v>
      </c>
      <c r="CU6" s="205">
        <f t="shared" si="3"/>
        <v>0</v>
      </c>
      <c r="CV6" s="205">
        <f t="shared" si="3"/>
        <v>0</v>
      </c>
      <c r="CW6" s="205">
        <f t="shared" si="3"/>
        <v>0</v>
      </c>
      <c r="CX6" s="205">
        <f t="shared" si="3"/>
        <v>0</v>
      </c>
      <c r="CY6" s="205">
        <f t="shared" si="3"/>
        <v>0</v>
      </c>
      <c r="CZ6" s="205">
        <f t="shared" si="3"/>
        <v>0</v>
      </c>
      <c r="DA6" s="205">
        <f t="shared" si="3"/>
        <v>0</v>
      </c>
      <c r="DB6" s="205"/>
    </row>
    <row r="7" spans="1:106">
      <c r="A7" s="202" t="str">
        <f>Income!A76</f>
        <v>Animals sold</v>
      </c>
      <c r="B7" s="204">
        <f>Income!B76</f>
        <v>9317.8041841119357</v>
      </c>
      <c r="C7" s="204">
        <f>Income!C76</f>
        <v>14642.263717890182</v>
      </c>
      <c r="D7" s="204">
        <f>Income!D76</f>
        <v>21804.929519282352</v>
      </c>
      <c r="E7" s="204">
        <f>Income!E76</f>
        <v>0</v>
      </c>
      <c r="F7" s="205">
        <f t="shared" si="4"/>
        <v>9317.8041841119357</v>
      </c>
      <c r="G7" s="205">
        <f t="shared" si="0"/>
        <v>9317.8041841119357</v>
      </c>
      <c r="H7" s="205">
        <f t="shared" si="0"/>
        <v>9317.8041841119357</v>
      </c>
      <c r="I7" s="205">
        <f t="shared" si="0"/>
        <v>9317.8041841119357</v>
      </c>
      <c r="J7" s="205">
        <f t="shared" si="0"/>
        <v>9317.8041841119357</v>
      </c>
      <c r="K7" s="205">
        <f t="shared" si="0"/>
        <v>9317.8041841119357</v>
      </c>
      <c r="L7" s="205">
        <f t="shared" si="0"/>
        <v>9317.8041841119357</v>
      </c>
      <c r="M7" s="205">
        <f t="shared" si="0"/>
        <v>9317.8041841119357</v>
      </c>
      <c r="N7" s="205">
        <f t="shared" si="0"/>
        <v>9317.8041841119357</v>
      </c>
      <c r="O7" s="205">
        <f t="shared" si="0"/>
        <v>9317.8041841119357</v>
      </c>
      <c r="P7" s="205">
        <f t="shared" si="0"/>
        <v>9317.8041841119357</v>
      </c>
      <c r="Q7" s="205">
        <f t="shared" si="0"/>
        <v>9317.8041841119357</v>
      </c>
      <c r="R7" s="205">
        <f t="shared" si="0"/>
        <v>9317.8041841119357</v>
      </c>
      <c r="S7" s="205">
        <f t="shared" si="0"/>
        <v>9317.8041841119357</v>
      </c>
      <c r="T7" s="205">
        <f t="shared" si="0"/>
        <v>9317.8041841119357</v>
      </c>
      <c r="U7" s="205">
        <f t="shared" si="0"/>
        <v>9317.8041841119357</v>
      </c>
      <c r="V7" s="205">
        <f t="shared" si="0"/>
        <v>9317.8041841119357</v>
      </c>
      <c r="W7" s="205">
        <f t="shared" si="0"/>
        <v>9317.8041841119357</v>
      </c>
      <c r="X7" s="205">
        <f t="shared" si="0"/>
        <v>9317.8041841119357</v>
      </c>
      <c r="Y7" s="205">
        <f t="shared" si="0"/>
        <v>9317.8041841119357</v>
      </c>
      <c r="Z7" s="205">
        <f t="shared" si="0"/>
        <v>9317.8041841119357</v>
      </c>
      <c r="AA7" s="205">
        <f t="shared" si="0"/>
        <v>9317.8041841119357</v>
      </c>
      <c r="AB7" s="205">
        <f t="shared" si="0"/>
        <v>9317.8041841119357</v>
      </c>
      <c r="AC7" s="205">
        <f t="shared" si="0"/>
        <v>9317.8041841119357</v>
      </c>
      <c r="AD7" s="205">
        <f t="shared" si="0"/>
        <v>9317.8041841119357</v>
      </c>
      <c r="AE7" s="205">
        <f t="shared" si="0"/>
        <v>9317.8041841119357</v>
      </c>
      <c r="AF7" s="205">
        <f t="shared" si="0"/>
        <v>9317.8041841119357</v>
      </c>
      <c r="AG7" s="205">
        <f t="shared" si="0"/>
        <v>9317.8041841119357</v>
      </c>
      <c r="AH7" s="205">
        <f t="shared" si="0"/>
        <v>9317.8041841119357</v>
      </c>
      <c r="AI7" s="205">
        <f t="shared" si="0"/>
        <v>9317.8041841119357</v>
      </c>
      <c r="AJ7" s="205">
        <f t="shared" si="0"/>
        <v>9317.8041841119357</v>
      </c>
      <c r="AK7" s="205">
        <f t="shared" si="0"/>
        <v>9317.8041841119357</v>
      </c>
      <c r="AL7" s="205">
        <f t="shared" si="0"/>
        <v>9317.8041841119357</v>
      </c>
      <c r="AM7" s="205">
        <f t="shared" si="0"/>
        <v>9317.8041841119357</v>
      </c>
      <c r="AN7" s="205">
        <f t="shared" si="0"/>
        <v>9317.8041841119357</v>
      </c>
      <c r="AO7" s="205">
        <f t="shared" si="0"/>
        <v>9317.8041841119357</v>
      </c>
      <c r="AP7" s="205">
        <f t="shared" si="0"/>
        <v>9317.8041841119357</v>
      </c>
      <c r="AQ7" s="205">
        <f t="shared" si="0"/>
        <v>9317.8041841119357</v>
      </c>
      <c r="AR7" s="205">
        <f t="shared" si="0"/>
        <v>9317.8041841119357</v>
      </c>
      <c r="AS7" s="205">
        <f t="shared" si="0"/>
        <v>9317.8041841119357</v>
      </c>
      <c r="AT7" s="205">
        <f t="shared" si="0"/>
        <v>14642.263717890182</v>
      </c>
      <c r="AU7" s="205">
        <f t="shared" ref="AU7:BJ8" si="5">IF(AU$2&lt;=($B$2+$C$2+$D$2),IF(AU$2&lt;=($B$2+$C$2),IF(AU$2&lt;=$B$2,$B7,$C7),$D7),$E7)</f>
        <v>14642.263717890182</v>
      </c>
      <c r="AV7" s="205">
        <f t="shared" si="5"/>
        <v>14642.263717890182</v>
      </c>
      <c r="AW7" s="205">
        <f t="shared" si="5"/>
        <v>14642.263717890182</v>
      </c>
      <c r="AX7" s="205">
        <f t="shared" si="5"/>
        <v>14642.263717890182</v>
      </c>
      <c r="AY7" s="205">
        <f t="shared" si="5"/>
        <v>14642.263717890182</v>
      </c>
      <c r="AZ7" s="205">
        <f t="shared" si="5"/>
        <v>14642.263717890182</v>
      </c>
      <c r="BA7" s="205">
        <f t="shared" si="5"/>
        <v>14642.263717890182</v>
      </c>
      <c r="BB7" s="205">
        <f t="shared" si="5"/>
        <v>14642.263717890182</v>
      </c>
      <c r="BC7" s="205">
        <f t="shared" si="5"/>
        <v>14642.263717890182</v>
      </c>
      <c r="BD7" s="205">
        <f t="shared" si="5"/>
        <v>14642.263717890182</v>
      </c>
      <c r="BE7" s="205">
        <f t="shared" si="5"/>
        <v>14642.263717890182</v>
      </c>
      <c r="BF7" s="205">
        <f t="shared" si="5"/>
        <v>14642.263717890182</v>
      </c>
      <c r="BG7" s="205">
        <f t="shared" si="5"/>
        <v>14642.263717890182</v>
      </c>
      <c r="BH7" s="205">
        <f t="shared" si="5"/>
        <v>14642.263717890182</v>
      </c>
      <c r="BI7" s="205">
        <f t="shared" si="5"/>
        <v>14642.263717890182</v>
      </c>
      <c r="BJ7" s="205">
        <f t="shared" si="5"/>
        <v>14642.263717890182</v>
      </c>
      <c r="BK7" s="205">
        <f t="shared" si="1"/>
        <v>14642.263717890182</v>
      </c>
      <c r="BL7" s="205">
        <f t="shared" si="1"/>
        <v>14642.263717890182</v>
      </c>
      <c r="BM7" s="205">
        <f t="shared" si="1"/>
        <v>14642.263717890182</v>
      </c>
      <c r="BN7" s="205">
        <f t="shared" si="1"/>
        <v>14642.263717890182</v>
      </c>
      <c r="BO7" s="205">
        <f t="shared" si="1"/>
        <v>14642.263717890182</v>
      </c>
      <c r="BP7" s="205">
        <f t="shared" si="1"/>
        <v>14642.263717890182</v>
      </c>
      <c r="BQ7" s="205">
        <f t="shared" si="1"/>
        <v>14642.263717890182</v>
      </c>
      <c r="BR7" s="205">
        <f t="shared" si="1"/>
        <v>14642.263717890182</v>
      </c>
      <c r="BS7" s="205">
        <f t="shared" si="1"/>
        <v>14642.263717890182</v>
      </c>
      <c r="BT7" s="205">
        <f t="shared" si="1"/>
        <v>14642.263717890182</v>
      </c>
      <c r="BU7" s="205">
        <f t="shared" si="1"/>
        <v>14642.263717890182</v>
      </c>
      <c r="BV7" s="205">
        <f t="shared" si="1"/>
        <v>14642.263717890182</v>
      </c>
      <c r="BW7" s="205">
        <f t="shared" si="1"/>
        <v>14642.263717890182</v>
      </c>
      <c r="BX7" s="205">
        <f t="shared" si="1"/>
        <v>14642.263717890182</v>
      </c>
      <c r="BY7" s="205">
        <f t="shared" si="1"/>
        <v>14642.263717890182</v>
      </c>
      <c r="BZ7" s="205">
        <f t="shared" si="1"/>
        <v>14642.263717890182</v>
      </c>
      <c r="CA7" s="205">
        <f t="shared" si="2"/>
        <v>14642.263717890182</v>
      </c>
      <c r="CB7" s="205">
        <f t="shared" si="2"/>
        <v>14642.263717890182</v>
      </c>
      <c r="CC7" s="205">
        <f t="shared" si="2"/>
        <v>14642.263717890182</v>
      </c>
      <c r="CD7" s="205">
        <f t="shared" si="2"/>
        <v>14642.263717890182</v>
      </c>
      <c r="CE7" s="205">
        <f t="shared" si="2"/>
        <v>14642.263717890182</v>
      </c>
      <c r="CF7" s="205">
        <f t="shared" si="2"/>
        <v>14642.263717890182</v>
      </c>
      <c r="CG7" s="205">
        <f t="shared" si="2"/>
        <v>21804.929519282352</v>
      </c>
      <c r="CH7" s="205">
        <f t="shared" si="2"/>
        <v>21804.929519282352</v>
      </c>
      <c r="CI7" s="205">
        <f t="shared" si="2"/>
        <v>21804.929519282352</v>
      </c>
      <c r="CJ7" s="205">
        <f t="shared" si="2"/>
        <v>21804.929519282352</v>
      </c>
      <c r="CK7" s="205">
        <f t="shared" si="2"/>
        <v>21804.929519282352</v>
      </c>
      <c r="CL7" s="205">
        <f t="shared" si="2"/>
        <v>21804.929519282352</v>
      </c>
      <c r="CM7" s="205">
        <f t="shared" si="2"/>
        <v>21804.929519282352</v>
      </c>
      <c r="CN7" s="205">
        <f t="shared" si="2"/>
        <v>21804.929519282352</v>
      </c>
      <c r="CO7" s="205">
        <f t="shared" si="2"/>
        <v>21804.929519282352</v>
      </c>
      <c r="CP7" s="205">
        <f t="shared" si="2"/>
        <v>21804.929519282352</v>
      </c>
      <c r="CQ7" s="205">
        <f t="shared" si="2"/>
        <v>21804.929519282352</v>
      </c>
      <c r="CR7" s="205">
        <f t="shared" si="2"/>
        <v>21804.929519282352</v>
      </c>
      <c r="CS7" s="205">
        <f t="shared" si="3"/>
        <v>21804.929519282352</v>
      </c>
      <c r="CT7" s="205">
        <f t="shared" si="3"/>
        <v>21804.929519282352</v>
      </c>
      <c r="CU7" s="205">
        <f t="shared" si="3"/>
        <v>21804.929519282352</v>
      </c>
      <c r="CV7" s="205">
        <f t="shared" si="3"/>
        <v>21804.929519282352</v>
      </c>
      <c r="CW7" s="205">
        <f t="shared" si="3"/>
        <v>21804.929519282352</v>
      </c>
      <c r="CX7" s="205">
        <f t="shared" si="3"/>
        <v>21804.929519282352</v>
      </c>
      <c r="CY7" s="205">
        <f t="shared" si="3"/>
        <v>21804.929519282352</v>
      </c>
      <c r="CZ7" s="205">
        <f t="shared" si="3"/>
        <v>21804.929519282352</v>
      </c>
      <c r="DA7" s="205">
        <f t="shared" si="3"/>
        <v>21804.929519282352</v>
      </c>
      <c r="DB7" s="205"/>
    </row>
    <row r="8" spans="1:106">
      <c r="A8" s="202" t="str">
        <f>Income!A77</f>
        <v>Wild foods consumed and sold</v>
      </c>
      <c r="B8" s="204">
        <f>Income!B77</f>
        <v>134.83800122135537</v>
      </c>
      <c r="C8" s="204">
        <f>Income!C77</f>
        <v>134.83800122135534</v>
      </c>
      <c r="D8" s="204">
        <f>Income!D77</f>
        <v>205.46743043254153</v>
      </c>
      <c r="E8" s="204">
        <f>Income!E77</f>
        <v>0</v>
      </c>
      <c r="F8" s="205">
        <f t="shared" si="4"/>
        <v>134.83800122135537</v>
      </c>
      <c r="G8" s="205">
        <f t="shared" si="4"/>
        <v>134.83800122135537</v>
      </c>
      <c r="H8" s="205">
        <f t="shared" si="4"/>
        <v>134.83800122135537</v>
      </c>
      <c r="I8" s="205">
        <f t="shared" si="4"/>
        <v>134.83800122135537</v>
      </c>
      <c r="J8" s="205">
        <f t="shared" si="4"/>
        <v>134.83800122135537</v>
      </c>
      <c r="K8" s="205">
        <f t="shared" si="4"/>
        <v>134.83800122135537</v>
      </c>
      <c r="L8" s="205">
        <f t="shared" si="4"/>
        <v>134.83800122135537</v>
      </c>
      <c r="M8" s="205">
        <f t="shared" si="4"/>
        <v>134.83800122135537</v>
      </c>
      <c r="N8" s="205">
        <f t="shared" si="4"/>
        <v>134.83800122135537</v>
      </c>
      <c r="O8" s="205">
        <f t="shared" si="4"/>
        <v>134.83800122135537</v>
      </c>
      <c r="P8" s="205">
        <f t="shared" si="4"/>
        <v>134.83800122135537</v>
      </c>
      <c r="Q8" s="205">
        <f t="shared" si="4"/>
        <v>134.83800122135537</v>
      </c>
      <c r="R8" s="205">
        <f t="shared" si="4"/>
        <v>134.83800122135537</v>
      </c>
      <c r="S8" s="205">
        <f t="shared" si="4"/>
        <v>134.83800122135537</v>
      </c>
      <c r="T8" s="205">
        <f t="shared" si="4"/>
        <v>134.83800122135537</v>
      </c>
      <c r="U8" s="205">
        <f t="shared" si="4"/>
        <v>134.83800122135537</v>
      </c>
      <c r="V8" s="205">
        <f t="shared" ref="V8:AK18" si="6">IF(V$2&lt;=($B$2+$C$2+$D$2),IF(V$2&lt;=($B$2+$C$2),IF(V$2&lt;=$B$2,$B8,$C8),$D8),$E8)</f>
        <v>134.83800122135537</v>
      </c>
      <c r="W8" s="205">
        <f t="shared" si="6"/>
        <v>134.83800122135537</v>
      </c>
      <c r="X8" s="205">
        <f t="shared" si="6"/>
        <v>134.83800122135537</v>
      </c>
      <c r="Y8" s="205">
        <f t="shared" si="6"/>
        <v>134.83800122135537</v>
      </c>
      <c r="Z8" s="205">
        <f t="shared" si="6"/>
        <v>134.83800122135537</v>
      </c>
      <c r="AA8" s="205">
        <f t="shared" si="6"/>
        <v>134.83800122135537</v>
      </c>
      <c r="AB8" s="205">
        <f t="shared" si="6"/>
        <v>134.83800122135537</v>
      </c>
      <c r="AC8" s="205">
        <f t="shared" si="6"/>
        <v>134.83800122135537</v>
      </c>
      <c r="AD8" s="205">
        <f t="shared" si="6"/>
        <v>134.83800122135537</v>
      </c>
      <c r="AE8" s="205">
        <f t="shared" si="6"/>
        <v>134.83800122135537</v>
      </c>
      <c r="AF8" s="205">
        <f t="shared" si="6"/>
        <v>134.83800122135537</v>
      </c>
      <c r="AG8" s="205">
        <f t="shared" si="6"/>
        <v>134.83800122135537</v>
      </c>
      <c r="AH8" s="205">
        <f t="shared" si="6"/>
        <v>134.83800122135537</v>
      </c>
      <c r="AI8" s="205">
        <f t="shared" si="6"/>
        <v>134.83800122135537</v>
      </c>
      <c r="AJ8" s="205">
        <f t="shared" si="6"/>
        <v>134.83800122135537</v>
      </c>
      <c r="AK8" s="205">
        <f t="shared" si="6"/>
        <v>134.83800122135537</v>
      </c>
      <c r="AL8" s="205">
        <f t="shared" ref="AL8:BA18" si="7">IF(AL$2&lt;=($B$2+$C$2+$D$2),IF(AL$2&lt;=($B$2+$C$2),IF(AL$2&lt;=$B$2,$B8,$C8),$D8),$E8)</f>
        <v>134.83800122135537</v>
      </c>
      <c r="AM8" s="205">
        <f t="shared" si="7"/>
        <v>134.83800122135537</v>
      </c>
      <c r="AN8" s="205">
        <f t="shared" si="7"/>
        <v>134.83800122135537</v>
      </c>
      <c r="AO8" s="205">
        <f t="shared" si="7"/>
        <v>134.83800122135537</v>
      </c>
      <c r="AP8" s="205">
        <f t="shared" si="7"/>
        <v>134.83800122135537</v>
      </c>
      <c r="AQ8" s="205">
        <f t="shared" si="7"/>
        <v>134.83800122135537</v>
      </c>
      <c r="AR8" s="205">
        <f t="shared" si="7"/>
        <v>134.83800122135537</v>
      </c>
      <c r="AS8" s="205">
        <f t="shared" si="7"/>
        <v>134.83800122135537</v>
      </c>
      <c r="AT8" s="205">
        <f t="shared" si="7"/>
        <v>134.83800122135534</v>
      </c>
      <c r="AU8" s="205">
        <f t="shared" si="7"/>
        <v>134.83800122135534</v>
      </c>
      <c r="AV8" s="205">
        <f t="shared" si="7"/>
        <v>134.83800122135534</v>
      </c>
      <c r="AW8" s="205">
        <f t="shared" si="7"/>
        <v>134.83800122135534</v>
      </c>
      <c r="AX8" s="205">
        <f t="shared" si="7"/>
        <v>134.83800122135534</v>
      </c>
      <c r="AY8" s="205">
        <f t="shared" si="7"/>
        <v>134.83800122135534</v>
      </c>
      <c r="AZ8" s="205">
        <f t="shared" si="7"/>
        <v>134.83800122135534</v>
      </c>
      <c r="BA8" s="205">
        <f t="shared" si="7"/>
        <v>134.83800122135534</v>
      </c>
      <c r="BB8" s="205">
        <f t="shared" si="5"/>
        <v>134.83800122135534</v>
      </c>
      <c r="BC8" s="205">
        <f t="shared" si="5"/>
        <v>134.83800122135534</v>
      </c>
      <c r="BD8" s="205">
        <f t="shared" si="5"/>
        <v>134.83800122135534</v>
      </c>
      <c r="BE8" s="205">
        <f t="shared" si="5"/>
        <v>134.83800122135534</v>
      </c>
      <c r="BF8" s="205">
        <f t="shared" si="5"/>
        <v>134.83800122135534</v>
      </c>
      <c r="BG8" s="205">
        <f t="shared" si="5"/>
        <v>134.83800122135534</v>
      </c>
      <c r="BH8" s="205">
        <f t="shared" si="5"/>
        <v>134.83800122135534</v>
      </c>
      <c r="BI8" s="205">
        <f t="shared" si="5"/>
        <v>134.83800122135534</v>
      </c>
      <c r="BJ8" s="205">
        <f t="shared" si="5"/>
        <v>134.83800122135534</v>
      </c>
      <c r="BK8" s="205">
        <f t="shared" si="1"/>
        <v>134.83800122135534</v>
      </c>
      <c r="BL8" s="205">
        <f t="shared" si="1"/>
        <v>134.83800122135534</v>
      </c>
      <c r="BM8" s="205">
        <f t="shared" si="1"/>
        <v>134.83800122135534</v>
      </c>
      <c r="BN8" s="205">
        <f t="shared" si="1"/>
        <v>134.83800122135534</v>
      </c>
      <c r="BO8" s="205">
        <f t="shared" si="1"/>
        <v>134.83800122135534</v>
      </c>
      <c r="BP8" s="205">
        <f t="shared" si="1"/>
        <v>134.83800122135534</v>
      </c>
      <c r="BQ8" s="205">
        <f t="shared" si="1"/>
        <v>134.83800122135534</v>
      </c>
      <c r="BR8" s="205">
        <f t="shared" si="1"/>
        <v>134.83800122135534</v>
      </c>
      <c r="BS8" s="205">
        <f t="shared" si="1"/>
        <v>134.83800122135534</v>
      </c>
      <c r="BT8" s="205">
        <f t="shared" si="1"/>
        <v>134.83800122135534</v>
      </c>
      <c r="BU8" s="205">
        <f t="shared" si="1"/>
        <v>134.83800122135534</v>
      </c>
      <c r="BV8" s="205">
        <f t="shared" si="1"/>
        <v>134.83800122135534</v>
      </c>
      <c r="BW8" s="205">
        <f t="shared" si="1"/>
        <v>134.83800122135534</v>
      </c>
      <c r="BX8" s="205">
        <f t="shared" si="1"/>
        <v>134.83800122135534</v>
      </c>
      <c r="BY8" s="205">
        <f t="shared" si="1"/>
        <v>134.83800122135534</v>
      </c>
      <c r="BZ8" s="205">
        <f t="shared" si="1"/>
        <v>134.83800122135534</v>
      </c>
      <c r="CA8" s="205">
        <f t="shared" si="2"/>
        <v>134.83800122135534</v>
      </c>
      <c r="CB8" s="205">
        <f t="shared" si="2"/>
        <v>134.83800122135534</v>
      </c>
      <c r="CC8" s="205">
        <f t="shared" si="2"/>
        <v>134.83800122135534</v>
      </c>
      <c r="CD8" s="205">
        <f t="shared" si="2"/>
        <v>134.83800122135534</v>
      </c>
      <c r="CE8" s="205">
        <f t="shared" si="2"/>
        <v>134.83800122135534</v>
      </c>
      <c r="CF8" s="205">
        <f t="shared" si="2"/>
        <v>134.83800122135534</v>
      </c>
      <c r="CG8" s="205">
        <f t="shared" si="2"/>
        <v>205.46743043254153</v>
      </c>
      <c r="CH8" s="205">
        <f t="shared" si="2"/>
        <v>205.46743043254153</v>
      </c>
      <c r="CI8" s="205">
        <f t="shared" si="2"/>
        <v>205.46743043254153</v>
      </c>
      <c r="CJ8" s="205">
        <f t="shared" si="2"/>
        <v>205.46743043254153</v>
      </c>
      <c r="CK8" s="205">
        <f t="shared" si="2"/>
        <v>205.46743043254153</v>
      </c>
      <c r="CL8" s="205">
        <f t="shared" si="2"/>
        <v>205.46743043254153</v>
      </c>
      <c r="CM8" s="205">
        <f t="shared" si="2"/>
        <v>205.46743043254153</v>
      </c>
      <c r="CN8" s="205">
        <f t="shared" si="2"/>
        <v>205.46743043254153</v>
      </c>
      <c r="CO8" s="205">
        <f t="shared" si="2"/>
        <v>205.46743043254153</v>
      </c>
      <c r="CP8" s="205">
        <f t="shared" si="2"/>
        <v>205.46743043254153</v>
      </c>
      <c r="CQ8" s="205">
        <f t="shared" si="2"/>
        <v>205.46743043254153</v>
      </c>
      <c r="CR8" s="205">
        <f t="shared" si="2"/>
        <v>205.46743043254153</v>
      </c>
      <c r="CS8" s="205">
        <f t="shared" si="3"/>
        <v>205.46743043254153</v>
      </c>
      <c r="CT8" s="205">
        <f t="shared" si="3"/>
        <v>205.46743043254153</v>
      </c>
      <c r="CU8" s="205">
        <f t="shared" si="3"/>
        <v>205.46743043254153</v>
      </c>
      <c r="CV8" s="205">
        <f t="shared" si="3"/>
        <v>205.46743043254153</v>
      </c>
      <c r="CW8" s="205">
        <f t="shared" si="3"/>
        <v>205.46743043254153</v>
      </c>
      <c r="CX8" s="205">
        <f t="shared" si="3"/>
        <v>205.46743043254153</v>
      </c>
      <c r="CY8" s="205">
        <f t="shared" si="3"/>
        <v>205.46743043254153</v>
      </c>
      <c r="CZ8" s="205">
        <f t="shared" si="3"/>
        <v>205.46743043254153</v>
      </c>
      <c r="DA8" s="205">
        <f t="shared" si="3"/>
        <v>205.46743043254153</v>
      </c>
      <c r="DB8" s="205"/>
    </row>
    <row r="9" spans="1:106">
      <c r="A9" s="202" t="str">
        <f>Income!A78</f>
        <v>Labour - casual</v>
      </c>
      <c r="B9" s="204">
        <f>Income!B78</f>
        <v>2396.006790200212</v>
      </c>
      <c r="C9" s="204">
        <f>Income!C78</f>
        <v>1597.3378601334746</v>
      </c>
      <c r="D9" s="204">
        <f>Income!D78</f>
        <v>0</v>
      </c>
      <c r="E9" s="204">
        <f>Income!E78</f>
        <v>0</v>
      </c>
      <c r="F9" s="205">
        <f t="shared" si="4"/>
        <v>2396.006790200212</v>
      </c>
      <c r="G9" s="205">
        <f t="shared" si="4"/>
        <v>2396.006790200212</v>
      </c>
      <c r="H9" s="205">
        <f t="shared" si="4"/>
        <v>2396.006790200212</v>
      </c>
      <c r="I9" s="205">
        <f t="shared" si="4"/>
        <v>2396.006790200212</v>
      </c>
      <c r="J9" s="205">
        <f t="shared" si="4"/>
        <v>2396.006790200212</v>
      </c>
      <c r="K9" s="205">
        <f t="shared" si="4"/>
        <v>2396.006790200212</v>
      </c>
      <c r="L9" s="205">
        <f t="shared" si="4"/>
        <v>2396.006790200212</v>
      </c>
      <c r="M9" s="205">
        <f t="shared" si="4"/>
        <v>2396.006790200212</v>
      </c>
      <c r="N9" s="205">
        <f t="shared" si="4"/>
        <v>2396.006790200212</v>
      </c>
      <c r="O9" s="205">
        <f t="shared" si="4"/>
        <v>2396.006790200212</v>
      </c>
      <c r="P9" s="205">
        <f t="shared" si="4"/>
        <v>2396.006790200212</v>
      </c>
      <c r="Q9" s="205">
        <f t="shared" si="4"/>
        <v>2396.006790200212</v>
      </c>
      <c r="R9" s="205">
        <f t="shared" si="4"/>
        <v>2396.006790200212</v>
      </c>
      <c r="S9" s="205">
        <f t="shared" si="4"/>
        <v>2396.006790200212</v>
      </c>
      <c r="T9" s="205">
        <f t="shared" si="4"/>
        <v>2396.006790200212</v>
      </c>
      <c r="U9" s="205">
        <f t="shared" si="4"/>
        <v>2396.006790200212</v>
      </c>
      <c r="V9" s="205">
        <f t="shared" si="6"/>
        <v>2396.006790200212</v>
      </c>
      <c r="W9" s="205">
        <f t="shared" si="6"/>
        <v>2396.006790200212</v>
      </c>
      <c r="X9" s="205">
        <f t="shared" si="6"/>
        <v>2396.006790200212</v>
      </c>
      <c r="Y9" s="205">
        <f t="shared" si="6"/>
        <v>2396.006790200212</v>
      </c>
      <c r="Z9" s="205">
        <f t="shared" si="6"/>
        <v>2396.006790200212</v>
      </c>
      <c r="AA9" s="205">
        <f t="shared" si="6"/>
        <v>2396.006790200212</v>
      </c>
      <c r="AB9" s="205">
        <f t="shared" si="6"/>
        <v>2396.006790200212</v>
      </c>
      <c r="AC9" s="205">
        <f t="shared" si="6"/>
        <v>2396.006790200212</v>
      </c>
      <c r="AD9" s="205">
        <f t="shared" si="6"/>
        <v>2396.006790200212</v>
      </c>
      <c r="AE9" s="205">
        <f t="shared" si="6"/>
        <v>2396.006790200212</v>
      </c>
      <c r="AF9" s="205">
        <f t="shared" si="6"/>
        <v>2396.006790200212</v>
      </c>
      <c r="AG9" s="205">
        <f t="shared" si="6"/>
        <v>2396.006790200212</v>
      </c>
      <c r="AH9" s="205">
        <f t="shared" si="6"/>
        <v>2396.006790200212</v>
      </c>
      <c r="AI9" s="205">
        <f t="shared" si="6"/>
        <v>2396.006790200212</v>
      </c>
      <c r="AJ9" s="205">
        <f t="shared" si="6"/>
        <v>2396.006790200212</v>
      </c>
      <c r="AK9" s="205">
        <f t="shared" si="6"/>
        <v>2396.006790200212</v>
      </c>
      <c r="AL9" s="205">
        <f t="shared" si="7"/>
        <v>2396.006790200212</v>
      </c>
      <c r="AM9" s="205">
        <f t="shared" si="7"/>
        <v>2396.006790200212</v>
      </c>
      <c r="AN9" s="205">
        <f t="shared" si="7"/>
        <v>2396.006790200212</v>
      </c>
      <c r="AO9" s="205">
        <f t="shared" si="7"/>
        <v>2396.006790200212</v>
      </c>
      <c r="AP9" s="205">
        <f t="shared" si="7"/>
        <v>2396.006790200212</v>
      </c>
      <c r="AQ9" s="205">
        <f t="shared" si="7"/>
        <v>2396.006790200212</v>
      </c>
      <c r="AR9" s="205">
        <f t="shared" si="7"/>
        <v>2396.006790200212</v>
      </c>
      <c r="AS9" s="205">
        <f t="shared" si="7"/>
        <v>2396.006790200212</v>
      </c>
      <c r="AT9" s="205">
        <f t="shared" si="7"/>
        <v>1597.3378601334746</v>
      </c>
      <c r="AU9" s="205">
        <f t="shared" si="7"/>
        <v>1597.3378601334746</v>
      </c>
      <c r="AV9" s="205">
        <f t="shared" si="7"/>
        <v>1597.3378601334746</v>
      </c>
      <c r="AW9" s="205">
        <f t="shared" si="7"/>
        <v>1597.3378601334746</v>
      </c>
      <c r="AX9" s="205">
        <f t="shared" si="1"/>
        <v>1597.3378601334746</v>
      </c>
      <c r="AY9" s="205">
        <f t="shared" si="1"/>
        <v>1597.3378601334746</v>
      </c>
      <c r="AZ9" s="205">
        <f t="shared" si="1"/>
        <v>1597.3378601334746</v>
      </c>
      <c r="BA9" s="205">
        <f t="shared" si="1"/>
        <v>1597.3378601334746</v>
      </c>
      <c r="BB9" s="205">
        <f t="shared" si="1"/>
        <v>1597.3378601334746</v>
      </c>
      <c r="BC9" s="205">
        <f t="shared" si="1"/>
        <v>1597.3378601334746</v>
      </c>
      <c r="BD9" s="205">
        <f t="shared" si="1"/>
        <v>1597.3378601334746</v>
      </c>
      <c r="BE9" s="205">
        <f t="shared" si="1"/>
        <v>1597.3378601334746</v>
      </c>
      <c r="BF9" s="205">
        <f t="shared" si="1"/>
        <v>1597.3378601334746</v>
      </c>
      <c r="BG9" s="205">
        <f t="shared" si="1"/>
        <v>1597.3378601334746</v>
      </c>
      <c r="BH9" s="205">
        <f t="shared" si="1"/>
        <v>1597.3378601334746</v>
      </c>
      <c r="BI9" s="205">
        <f t="shared" si="1"/>
        <v>1597.3378601334746</v>
      </c>
      <c r="BJ9" s="205">
        <f t="shared" si="1"/>
        <v>1597.3378601334746</v>
      </c>
      <c r="BK9" s="205">
        <f t="shared" si="1"/>
        <v>1597.3378601334746</v>
      </c>
      <c r="BL9" s="205">
        <f t="shared" si="1"/>
        <v>1597.3378601334746</v>
      </c>
      <c r="BM9" s="205">
        <f t="shared" si="1"/>
        <v>1597.3378601334746</v>
      </c>
      <c r="BN9" s="205">
        <f t="shared" si="1"/>
        <v>1597.3378601334746</v>
      </c>
      <c r="BO9" s="205">
        <f t="shared" si="1"/>
        <v>1597.3378601334746</v>
      </c>
      <c r="BP9" s="205">
        <f t="shared" si="1"/>
        <v>1597.3378601334746</v>
      </c>
      <c r="BQ9" s="205">
        <f t="shared" si="1"/>
        <v>1597.3378601334746</v>
      </c>
      <c r="BR9" s="205">
        <f t="shared" si="1"/>
        <v>1597.3378601334746</v>
      </c>
      <c r="BS9" s="205">
        <f t="shared" si="1"/>
        <v>1597.3378601334746</v>
      </c>
      <c r="BT9" s="205">
        <f t="shared" si="1"/>
        <v>1597.3378601334746</v>
      </c>
      <c r="BU9" s="205">
        <f t="shared" si="1"/>
        <v>1597.3378601334746</v>
      </c>
      <c r="BV9" s="205">
        <f t="shared" si="1"/>
        <v>1597.3378601334746</v>
      </c>
      <c r="BW9" s="205">
        <f t="shared" si="1"/>
        <v>1597.3378601334746</v>
      </c>
      <c r="BX9" s="205">
        <f t="shared" si="1"/>
        <v>1597.3378601334746</v>
      </c>
      <c r="BY9" s="205">
        <f t="shared" si="1"/>
        <v>1597.3378601334746</v>
      </c>
      <c r="BZ9" s="205">
        <f t="shared" si="1"/>
        <v>1597.3378601334746</v>
      </c>
      <c r="CA9" s="205">
        <f t="shared" si="2"/>
        <v>1597.3378601334746</v>
      </c>
      <c r="CB9" s="205">
        <f t="shared" si="2"/>
        <v>1597.3378601334746</v>
      </c>
      <c r="CC9" s="205">
        <f t="shared" si="2"/>
        <v>1597.3378601334746</v>
      </c>
      <c r="CD9" s="205">
        <f t="shared" si="2"/>
        <v>1597.3378601334746</v>
      </c>
      <c r="CE9" s="205">
        <f t="shared" si="2"/>
        <v>1597.3378601334746</v>
      </c>
      <c r="CF9" s="205">
        <f t="shared" si="2"/>
        <v>1597.3378601334746</v>
      </c>
      <c r="CG9" s="205">
        <f t="shared" si="2"/>
        <v>0</v>
      </c>
      <c r="CH9" s="205">
        <f t="shared" si="2"/>
        <v>0</v>
      </c>
      <c r="CI9" s="205">
        <f t="shared" si="2"/>
        <v>0</v>
      </c>
      <c r="CJ9" s="205">
        <f t="shared" si="2"/>
        <v>0</v>
      </c>
      <c r="CK9" s="205">
        <f t="shared" si="2"/>
        <v>0</v>
      </c>
      <c r="CL9" s="205">
        <f t="shared" si="2"/>
        <v>0</v>
      </c>
      <c r="CM9" s="205">
        <f t="shared" si="2"/>
        <v>0</v>
      </c>
      <c r="CN9" s="205">
        <f t="shared" si="2"/>
        <v>0</v>
      </c>
      <c r="CO9" s="205">
        <f t="shared" si="2"/>
        <v>0</v>
      </c>
      <c r="CP9" s="205">
        <f t="shared" si="2"/>
        <v>0</v>
      </c>
      <c r="CQ9" s="205">
        <f t="shared" si="2"/>
        <v>0</v>
      </c>
      <c r="CR9" s="205">
        <f t="shared" si="2"/>
        <v>0</v>
      </c>
      <c r="CS9" s="205">
        <f t="shared" si="3"/>
        <v>0</v>
      </c>
      <c r="CT9" s="205">
        <f t="shared" si="3"/>
        <v>0</v>
      </c>
      <c r="CU9" s="205">
        <f t="shared" si="3"/>
        <v>0</v>
      </c>
      <c r="CV9" s="205">
        <f t="shared" si="3"/>
        <v>0</v>
      </c>
      <c r="CW9" s="205">
        <f t="shared" si="3"/>
        <v>0</v>
      </c>
      <c r="CX9" s="205">
        <f t="shared" si="3"/>
        <v>0</v>
      </c>
      <c r="CY9" s="205">
        <f t="shared" si="3"/>
        <v>0</v>
      </c>
      <c r="CZ9" s="205">
        <f t="shared" si="3"/>
        <v>0</v>
      </c>
      <c r="DA9" s="205">
        <f t="shared" si="3"/>
        <v>0</v>
      </c>
      <c r="DB9" s="205"/>
    </row>
    <row r="10" spans="1:106">
      <c r="A10" s="202" t="str">
        <f>Income!A79</f>
        <v>Labour - formal emp</v>
      </c>
      <c r="B10" s="204">
        <f>Income!B79</f>
        <v>0</v>
      </c>
      <c r="C10" s="204">
        <f>Income!C79</f>
        <v>0</v>
      </c>
      <c r="D10" s="204">
        <f>Income!D79</f>
        <v>74643.851749729351</v>
      </c>
      <c r="E10" s="204">
        <f>Income!E79</f>
        <v>0</v>
      </c>
      <c r="F10" s="205">
        <f t="shared" si="4"/>
        <v>0</v>
      </c>
      <c r="G10" s="205">
        <f t="shared" si="4"/>
        <v>0</v>
      </c>
      <c r="H10" s="205">
        <f t="shared" si="4"/>
        <v>0</v>
      </c>
      <c r="I10" s="205">
        <f t="shared" si="4"/>
        <v>0</v>
      </c>
      <c r="J10" s="205">
        <f t="shared" si="4"/>
        <v>0</v>
      </c>
      <c r="K10" s="205">
        <f t="shared" si="4"/>
        <v>0</v>
      </c>
      <c r="L10" s="205">
        <f t="shared" si="4"/>
        <v>0</v>
      </c>
      <c r="M10" s="205">
        <f t="shared" si="4"/>
        <v>0</v>
      </c>
      <c r="N10" s="205">
        <f t="shared" si="4"/>
        <v>0</v>
      </c>
      <c r="O10" s="205">
        <f t="shared" si="4"/>
        <v>0</v>
      </c>
      <c r="P10" s="205">
        <f t="shared" si="4"/>
        <v>0</v>
      </c>
      <c r="Q10" s="205">
        <f t="shared" si="4"/>
        <v>0</v>
      </c>
      <c r="R10" s="205">
        <f t="shared" si="4"/>
        <v>0</v>
      </c>
      <c r="S10" s="205">
        <f t="shared" si="4"/>
        <v>0</v>
      </c>
      <c r="T10" s="205">
        <f t="shared" si="4"/>
        <v>0</v>
      </c>
      <c r="U10" s="205">
        <f t="shared" si="4"/>
        <v>0</v>
      </c>
      <c r="V10" s="205">
        <f t="shared" si="6"/>
        <v>0</v>
      </c>
      <c r="W10" s="205">
        <f t="shared" si="6"/>
        <v>0</v>
      </c>
      <c r="X10" s="205">
        <f t="shared" si="6"/>
        <v>0</v>
      </c>
      <c r="Y10" s="205">
        <f t="shared" si="6"/>
        <v>0</v>
      </c>
      <c r="Z10" s="205">
        <f t="shared" si="6"/>
        <v>0</v>
      </c>
      <c r="AA10" s="205">
        <f t="shared" si="6"/>
        <v>0</v>
      </c>
      <c r="AB10" s="205">
        <f t="shared" si="6"/>
        <v>0</v>
      </c>
      <c r="AC10" s="205">
        <f t="shared" si="6"/>
        <v>0</v>
      </c>
      <c r="AD10" s="205">
        <f t="shared" si="6"/>
        <v>0</v>
      </c>
      <c r="AE10" s="205">
        <f t="shared" si="6"/>
        <v>0</v>
      </c>
      <c r="AF10" s="205">
        <f t="shared" si="6"/>
        <v>0</v>
      </c>
      <c r="AG10" s="205">
        <f t="shared" si="6"/>
        <v>0</v>
      </c>
      <c r="AH10" s="205">
        <f t="shared" si="6"/>
        <v>0</v>
      </c>
      <c r="AI10" s="205">
        <f t="shared" si="6"/>
        <v>0</v>
      </c>
      <c r="AJ10" s="205">
        <f t="shared" si="6"/>
        <v>0</v>
      </c>
      <c r="AK10" s="205">
        <f t="shared" si="6"/>
        <v>0</v>
      </c>
      <c r="AL10" s="205">
        <f t="shared" si="7"/>
        <v>0</v>
      </c>
      <c r="AM10" s="205">
        <f t="shared" si="7"/>
        <v>0</v>
      </c>
      <c r="AN10" s="205">
        <f t="shared" si="7"/>
        <v>0</v>
      </c>
      <c r="AO10" s="205">
        <f t="shared" si="7"/>
        <v>0</v>
      </c>
      <c r="AP10" s="205">
        <f t="shared" si="7"/>
        <v>0</v>
      </c>
      <c r="AQ10" s="205">
        <f t="shared" si="7"/>
        <v>0</v>
      </c>
      <c r="AR10" s="205">
        <f t="shared" si="7"/>
        <v>0</v>
      </c>
      <c r="AS10" s="205">
        <f t="shared" si="7"/>
        <v>0</v>
      </c>
      <c r="AT10" s="205">
        <f t="shared" si="7"/>
        <v>0</v>
      </c>
      <c r="AU10" s="205">
        <f t="shared" si="7"/>
        <v>0</v>
      </c>
      <c r="AV10" s="205">
        <f t="shared" si="7"/>
        <v>0</v>
      </c>
      <c r="AW10" s="205">
        <f t="shared" si="7"/>
        <v>0</v>
      </c>
      <c r="AX10" s="205">
        <f t="shared" si="1"/>
        <v>0</v>
      </c>
      <c r="AY10" s="205">
        <f t="shared" si="1"/>
        <v>0</v>
      </c>
      <c r="AZ10" s="205">
        <f t="shared" si="1"/>
        <v>0</v>
      </c>
      <c r="BA10" s="205">
        <f t="shared" si="1"/>
        <v>0</v>
      </c>
      <c r="BB10" s="205">
        <f t="shared" si="1"/>
        <v>0</v>
      </c>
      <c r="BC10" s="205">
        <f t="shared" si="1"/>
        <v>0</v>
      </c>
      <c r="BD10" s="205">
        <f t="shared" si="1"/>
        <v>0</v>
      </c>
      <c r="BE10" s="205">
        <f t="shared" si="1"/>
        <v>0</v>
      </c>
      <c r="BF10" s="205">
        <f t="shared" si="1"/>
        <v>0</v>
      </c>
      <c r="BG10" s="205">
        <f t="shared" si="1"/>
        <v>0</v>
      </c>
      <c r="BH10" s="205">
        <f t="shared" si="1"/>
        <v>0</v>
      </c>
      <c r="BI10" s="205">
        <f t="shared" si="1"/>
        <v>0</v>
      </c>
      <c r="BJ10" s="205">
        <f t="shared" si="1"/>
        <v>0</v>
      </c>
      <c r="BK10" s="205">
        <f t="shared" si="1"/>
        <v>0</v>
      </c>
      <c r="BL10" s="205">
        <f t="shared" si="1"/>
        <v>0</v>
      </c>
      <c r="BM10" s="205">
        <f t="shared" si="1"/>
        <v>0</v>
      </c>
      <c r="BN10" s="205">
        <f t="shared" si="1"/>
        <v>0</v>
      </c>
      <c r="BO10" s="205">
        <f t="shared" si="1"/>
        <v>0</v>
      </c>
      <c r="BP10" s="205">
        <f t="shared" si="1"/>
        <v>0</v>
      </c>
      <c r="BQ10" s="205">
        <f t="shared" si="1"/>
        <v>0</v>
      </c>
      <c r="BR10" s="205">
        <f t="shared" ref="AX10:BZ18" si="8">IF(BR$2&lt;=($B$2+$C$2+$D$2),IF(BR$2&lt;=($B$2+$C$2),IF(BR$2&lt;=$B$2,$B10,$C10),$D10),$E10)</f>
        <v>0</v>
      </c>
      <c r="BS10" s="205">
        <f t="shared" si="8"/>
        <v>0</v>
      </c>
      <c r="BT10" s="205">
        <f t="shared" si="8"/>
        <v>0</v>
      </c>
      <c r="BU10" s="205">
        <f t="shared" si="8"/>
        <v>0</v>
      </c>
      <c r="BV10" s="205">
        <f t="shared" si="8"/>
        <v>0</v>
      </c>
      <c r="BW10" s="205">
        <f t="shared" si="8"/>
        <v>0</v>
      </c>
      <c r="BX10" s="205">
        <f t="shared" si="8"/>
        <v>0</v>
      </c>
      <c r="BY10" s="205">
        <f t="shared" si="8"/>
        <v>0</v>
      </c>
      <c r="BZ10" s="205">
        <f t="shared" si="8"/>
        <v>0</v>
      </c>
      <c r="CA10" s="205">
        <f t="shared" si="2"/>
        <v>0</v>
      </c>
      <c r="CB10" s="205">
        <f t="shared" si="2"/>
        <v>0</v>
      </c>
      <c r="CC10" s="205">
        <f t="shared" si="2"/>
        <v>0</v>
      </c>
      <c r="CD10" s="205">
        <f t="shared" si="2"/>
        <v>0</v>
      </c>
      <c r="CE10" s="205">
        <f t="shared" si="2"/>
        <v>0</v>
      </c>
      <c r="CF10" s="205">
        <f t="shared" si="2"/>
        <v>0</v>
      </c>
      <c r="CG10" s="205">
        <f t="shared" si="2"/>
        <v>74643.851749729351</v>
      </c>
      <c r="CH10" s="205">
        <f t="shared" si="2"/>
        <v>74643.851749729351</v>
      </c>
      <c r="CI10" s="205">
        <f t="shared" si="2"/>
        <v>74643.851749729351</v>
      </c>
      <c r="CJ10" s="205">
        <f t="shared" si="2"/>
        <v>74643.851749729351</v>
      </c>
      <c r="CK10" s="205">
        <f t="shared" si="2"/>
        <v>74643.851749729351</v>
      </c>
      <c r="CL10" s="205">
        <f t="shared" si="2"/>
        <v>74643.851749729351</v>
      </c>
      <c r="CM10" s="205">
        <f t="shared" si="2"/>
        <v>74643.851749729351</v>
      </c>
      <c r="CN10" s="205">
        <f t="shared" si="2"/>
        <v>74643.851749729351</v>
      </c>
      <c r="CO10" s="205">
        <f t="shared" si="2"/>
        <v>74643.851749729351</v>
      </c>
      <c r="CP10" s="205">
        <f t="shared" si="2"/>
        <v>74643.851749729351</v>
      </c>
      <c r="CQ10" s="205">
        <f t="shared" si="2"/>
        <v>74643.851749729351</v>
      </c>
      <c r="CR10" s="205">
        <f t="shared" si="2"/>
        <v>74643.851749729351</v>
      </c>
      <c r="CS10" s="205">
        <f t="shared" si="3"/>
        <v>74643.851749729351</v>
      </c>
      <c r="CT10" s="205">
        <f t="shared" si="3"/>
        <v>74643.851749729351</v>
      </c>
      <c r="CU10" s="205">
        <f t="shared" si="3"/>
        <v>74643.851749729351</v>
      </c>
      <c r="CV10" s="205">
        <f t="shared" si="3"/>
        <v>74643.851749729351</v>
      </c>
      <c r="CW10" s="205">
        <f t="shared" si="3"/>
        <v>74643.851749729351</v>
      </c>
      <c r="CX10" s="205">
        <f t="shared" si="3"/>
        <v>74643.851749729351</v>
      </c>
      <c r="CY10" s="205">
        <f t="shared" si="3"/>
        <v>74643.851749729351</v>
      </c>
      <c r="CZ10" s="205">
        <f t="shared" si="3"/>
        <v>74643.851749729351</v>
      </c>
      <c r="DA10" s="205">
        <f t="shared" si="3"/>
        <v>74643.851749729351</v>
      </c>
      <c r="DB10" s="205"/>
    </row>
    <row r="11" spans="1:106">
      <c r="A11" s="202" t="str">
        <f>Income!A81</f>
        <v>Self - employment</v>
      </c>
      <c r="B11" s="204">
        <f>Income!B81</f>
        <v>0</v>
      </c>
      <c r="C11" s="204">
        <f>Income!C81</f>
        <v>0</v>
      </c>
      <c r="D11" s="204">
        <f>Income!D81</f>
        <v>0</v>
      </c>
      <c r="E11" s="204">
        <f>Income!E81</f>
        <v>0</v>
      </c>
      <c r="F11" s="205">
        <f t="shared" si="4"/>
        <v>0</v>
      </c>
      <c r="G11" s="205">
        <f t="shared" si="4"/>
        <v>0</v>
      </c>
      <c r="H11" s="205">
        <f t="shared" si="4"/>
        <v>0</v>
      </c>
      <c r="I11" s="205">
        <f t="shared" si="4"/>
        <v>0</v>
      </c>
      <c r="J11" s="205">
        <f t="shared" si="4"/>
        <v>0</v>
      </c>
      <c r="K11" s="205">
        <f t="shared" si="4"/>
        <v>0</v>
      </c>
      <c r="L11" s="205">
        <f t="shared" si="4"/>
        <v>0</v>
      </c>
      <c r="M11" s="205">
        <f t="shared" si="4"/>
        <v>0</v>
      </c>
      <c r="N11" s="205">
        <f t="shared" si="4"/>
        <v>0</v>
      </c>
      <c r="O11" s="205">
        <f t="shared" si="4"/>
        <v>0</v>
      </c>
      <c r="P11" s="205">
        <f t="shared" si="4"/>
        <v>0</v>
      </c>
      <c r="Q11" s="205">
        <f t="shared" si="4"/>
        <v>0</v>
      </c>
      <c r="R11" s="205">
        <f t="shared" si="4"/>
        <v>0</v>
      </c>
      <c r="S11" s="205">
        <f t="shared" si="4"/>
        <v>0</v>
      </c>
      <c r="T11" s="205">
        <f t="shared" si="4"/>
        <v>0</v>
      </c>
      <c r="U11" s="205">
        <f t="shared" si="4"/>
        <v>0</v>
      </c>
      <c r="V11" s="205">
        <f t="shared" si="6"/>
        <v>0</v>
      </c>
      <c r="W11" s="205">
        <f t="shared" si="6"/>
        <v>0</v>
      </c>
      <c r="X11" s="205">
        <f t="shared" si="6"/>
        <v>0</v>
      </c>
      <c r="Y11" s="205">
        <f t="shared" si="6"/>
        <v>0</v>
      </c>
      <c r="Z11" s="205">
        <f t="shared" si="6"/>
        <v>0</v>
      </c>
      <c r="AA11" s="205">
        <f t="shared" si="6"/>
        <v>0</v>
      </c>
      <c r="AB11" s="205">
        <f t="shared" si="6"/>
        <v>0</v>
      </c>
      <c r="AC11" s="205">
        <f t="shared" si="6"/>
        <v>0</v>
      </c>
      <c r="AD11" s="205">
        <f t="shared" si="6"/>
        <v>0</v>
      </c>
      <c r="AE11" s="205">
        <f t="shared" si="6"/>
        <v>0</v>
      </c>
      <c r="AF11" s="205">
        <f t="shared" si="6"/>
        <v>0</v>
      </c>
      <c r="AG11" s="205">
        <f t="shared" si="6"/>
        <v>0</v>
      </c>
      <c r="AH11" s="205">
        <f t="shared" si="6"/>
        <v>0</v>
      </c>
      <c r="AI11" s="205">
        <f t="shared" si="6"/>
        <v>0</v>
      </c>
      <c r="AJ11" s="205">
        <f t="shared" si="6"/>
        <v>0</v>
      </c>
      <c r="AK11" s="205">
        <f t="shared" si="6"/>
        <v>0</v>
      </c>
      <c r="AL11" s="205">
        <f t="shared" si="7"/>
        <v>0</v>
      </c>
      <c r="AM11" s="205">
        <f t="shared" si="7"/>
        <v>0</v>
      </c>
      <c r="AN11" s="205">
        <f t="shared" si="7"/>
        <v>0</v>
      </c>
      <c r="AO11" s="205">
        <f t="shared" si="7"/>
        <v>0</v>
      </c>
      <c r="AP11" s="205">
        <f t="shared" si="7"/>
        <v>0</v>
      </c>
      <c r="AQ11" s="205">
        <f t="shared" si="7"/>
        <v>0</v>
      </c>
      <c r="AR11" s="205">
        <f t="shared" si="7"/>
        <v>0</v>
      </c>
      <c r="AS11" s="205">
        <f t="shared" si="7"/>
        <v>0</v>
      </c>
      <c r="AT11" s="205">
        <f t="shared" si="7"/>
        <v>0</v>
      </c>
      <c r="AU11" s="205">
        <f t="shared" si="7"/>
        <v>0</v>
      </c>
      <c r="AV11" s="205">
        <f t="shared" si="7"/>
        <v>0</v>
      </c>
      <c r="AW11" s="205">
        <f t="shared" si="7"/>
        <v>0</v>
      </c>
      <c r="AX11" s="205">
        <f t="shared" si="8"/>
        <v>0</v>
      </c>
      <c r="AY11" s="205">
        <f t="shared" si="8"/>
        <v>0</v>
      </c>
      <c r="AZ11" s="205">
        <f t="shared" si="8"/>
        <v>0</v>
      </c>
      <c r="BA11" s="205">
        <f t="shared" si="8"/>
        <v>0</v>
      </c>
      <c r="BB11" s="205">
        <f t="shared" si="8"/>
        <v>0</v>
      </c>
      <c r="BC11" s="205">
        <f t="shared" si="8"/>
        <v>0</v>
      </c>
      <c r="BD11" s="205">
        <f t="shared" si="8"/>
        <v>0</v>
      </c>
      <c r="BE11" s="205">
        <f t="shared" si="8"/>
        <v>0</v>
      </c>
      <c r="BF11" s="205">
        <f t="shared" si="8"/>
        <v>0</v>
      </c>
      <c r="BG11" s="205">
        <f t="shared" si="8"/>
        <v>0</v>
      </c>
      <c r="BH11" s="205">
        <f t="shared" si="8"/>
        <v>0</v>
      </c>
      <c r="BI11" s="205">
        <f t="shared" si="8"/>
        <v>0</v>
      </c>
      <c r="BJ11" s="205">
        <f t="shared" si="8"/>
        <v>0</v>
      </c>
      <c r="BK11" s="205">
        <f t="shared" si="8"/>
        <v>0</v>
      </c>
      <c r="BL11" s="205">
        <f t="shared" si="8"/>
        <v>0</v>
      </c>
      <c r="BM11" s="205">
        <f t="shared" si="8"/>
        <v>0</v>
      </c>
      <c r="BN11" s="205">
        <f t="shared" si="8"/>
        <v>0</v>
      </c>
      <c r="BO11" s="205">
        <f t="shared" si="8"/>
        <v>0</v>
      </c>
      <c r="BP11" s="205">
        <f t="shared" si="8"/>
        <v>0</v>
      </c>
      <c r="BQ11" s="205">
        <f t="shared" si="8"/>
        <v>0</v>
      </c>
      <c r="BR11" s="205">
        <f t="shared" si="8"/>
        <v>0</v>
      </c>
      <c r="BS11" s="205">
        <f t="shared" si="8"/>
        <v>0</v>
      </c>
      <c r="BT11" s="205">
        <f t="shared" si="8"/>
        <v>0</v>
      </c>
      <c r="BU11" s="205">
        <f t="shared" si="8"/>
        <v>0</v>
      </c>
      <c r="BV11" s="205">
        <f t="shared" si="8"/>
        <v>0</v>
      </c>
      <c r="BW11" s="205">
        <f t="shared" si="8"/>
        <v>0</v>
      </c>
      <c r="BX11" s="205">
        <f t="shared" si="8"/>
        <v>0</v>
      </c>
      <c r="BY11" s="205">
        <f t="shared" si="8"/>
        <v>0</v>
      </c>
      <c r="BZ11" s="205">
        <f t="shared" si="8"/>
        <v>0</v>
      </c>
      <c r="CA11" s="205">
        <f t="shared" si="2"/>
        <v>0</v>
      </c>
      <c r="CB11" s="205">
        <f t="shared" si="2"/>
        <v>0</v>
      </c>
      <c r="CC11" s="205">
        <f t="shared" si="2"/>
        <v>0</v>
      </c>
      <c r="CD11" s="205">
        <f t="shared" si="2"/>
        <v>0</v>
      </c>
      <c r="CE11" s="205">
        <f t="shared" si="2"/>
        <v>0</v>
      </c>
      <c r="CF11" s="205">
        <f t="shared" si="2"/>
        <v>0</v>
      </c>
      <c r="CG11" s="205">
        <f t="shared" si="2"/>
        <v>0</v>
      </c>
      <c r="CH11" s="205">
        <f t="shared" si="2"/>
        <v>0</v>
      </c>
      <c r="CI11" s="205">
        <f t="shared" si="2"/>
        <v>0</v>
      </c>
      <c r="CJ11" s="205">
        <f t="shared" si="2"/>
        <v>0</v>
      </c>
      <c r="CK11" s="205">
        <f t="shared" si="2"/>
        <v>0</v>
      </c>
      <c r="CL11" s="205">
        <f t="shared" si="2"/>
        <v>0</v>
      </c>
      <c r="CM11" s="205">
        <f t="shared" si="2"/>
        <v>0</v>
      </c>
      <c r="CN11" s="205">
        <f t="shared" si="2"/>
        <v>0</v>
      </c>
      <c r="CO11" s="205">
        <f t="shared" si="2"/>
        <v>0</v>
      </c>
      <c r="CP11" s="205">
        <f t="shared" si="2"/>
        <v>0</v>
      </c>
      <c r="CQ11" s="205">
        <f t="shared" si="2"/>
        <v>0</v>
      </c>
      <c r="CR11" s="205">
        <f t="shared" si="2"/>
        <v>0</v>
      </c>
      <c r="CS11" s="205">
        <f t="shared" si="3"/>
        <v>0</v>
      </c>
      <c r="CT11" s="205">
        <f t="shared" si="3"/>
        <v>0</v>
      </c>
      <c r="CU11" s="205">
        <f t="shared" si="3"/>
        <v>0</v>
      </c>
      <c r="CV11" s="205">
        <f t="shared" si="3"/>
        <v>0</v>
      </c>
      <c r="CW11" s="205">
        <f t="shared" si="3"/>
        <v>0</v>
      </c>
      <c r="CX11" s="205">
        <f t="shared" si="3"/>
        <v>0</v>
      </c>
      <c r="CY11" s="205">
        <f t="shared" si="3"/>
        <v>0</v>
      </c>
      <c r="CZ11" s="205">
        <f t="shared" si="3"/>
        <v>0</v>
      </c>
      <c r="DA11" s="205">
        <f t="shared" si="3"/>
        <v>0</v>
      </c>
      <c r="DB11" s="205"/>
    </row>
    <row r="12" spans="1:106">
      <c r="A12" s="202" t="str">
        <f>Income!A82</f>
        <v>Small business/petty trading</v>
      </c>
      <c r="B12" s="204">
        <f>Income!B82</f>
        <v>0</v>
      </c>
      <c r="C12" s="204">
        <f>Income!C82</f>
        <v>4141.2463040497487</v>
      </c>
      <c r="D12" s="204">
        <f>Income!D82</f>
        <v>0</v>
      </c>
      <c r="E12" s="204">
        <f>Income!E82</f>
        <v>0</v>
      </c>
      <c r="F12" s="205">
        <f t="shared" si="4"/>
        <v>0</v>
      </c>
      <c r="G12" s="205">
        <f t="shared" si="4"/>
        <v>0</v>
      </c>
      <c r="H12" s="205">
        <f t="shared" si="4"/>
        <v>0</v>
      </c>
      <c r="I12" s="205">
        <f t="shared" si="4"/>
        <v>0</v>
      </c>
      <c r="J12" s="205">
        <f t="shared" si="4"/>
        <v>0</v>
      </c>
      <c r="K12" s="205">
        <f t="shared" si="4"/>
        <v>0</v>
      </c>
      <c r="L12" s="205">
        <f t="shared" si="4"/>
        <v>0</v>
      </c>
      <c r="M12" s="205">
        <f t="shared" si="4"/>
        <v>0</v>
      </c>
      <c r="N12" s="205">
        <f t="shared" si="4"/>
        <v>0</v>
      </c>
      <c r="O12" s="205">
        <f t="shared" si="4"/>
        <v>0</v>
      </c>
      <c r="P12" s="205">
        <f t="shared" si="4"/>
        <v>0</v>
      </c>
      <c r="Q12" s="205">
        <f t="shared" si="4"/>
        <v>0</v>
      </c>
      <c r="R12" s="205">
        <f t="shared" si="4"/>
        <v>0</v>
      </c>
      <c r="S12" s="205">
        <f t="shared" si="4"/>
        <v>0</v>
      </c>
      <c r="T12" s="205">
        <f t="shared" si="4"/>
        <v>0</v>
      </c>
      <c r="U12" s="205">
        <f t="shared" si="4"/>
        <v>0</v>
      </c>
      <c r="V12" s="205">
        <f t="shared" si="6"/>
        <v>0</v>
      </c>
      <c r="W12" s="205">
        <f t="shared" si="6"/>
        <v>0</v>
      </c>
      <c r="X12" s="205">
        <f t="shared" si="6"/>
        <v>0</v>
      </c>
      <c r="Y12" s="205">
        <f t="shared" si="6"/>
        <v>0</v>
      </c>
      <c r="Z12" s="205">
        <f t="shared" si="6"/>
        <v>0</v>
      </c>
      <c r="AA12" s="205">
        <f t="shared" si="6"/>
        <v>0</v>
      </c>
      <c r="AB12" s="205">
        <f t="shared" si="6"/>
        <v>0</v>
      </c>
      <c r="AC12" s="205">
        <f t="shared" si="6"/>
        <v>0</v>
      </c>
      <c r="AD12" s="205">
        <f t="shared" si="6"/>
        <v>0</v>
      </c>
      <c r="AE12" s="205">
        <f t="shared" si="6"/>
        <v>0</v>
      </c>
      <c r="AF12" s="205">
        <f t="shared" si="6"/>
        <v>0</v>
      </c>
      <c r="AG12" s="205">
        <f t="shared" si="6"/>
        <v>0</v>
      </c>
      <c r="AH12" s="205">
        <f t="shared" si="6"/>
        <v>0</v>
      </c>
      <c r="AI12" s="205">
        <f t="shared" si="6"/>
        <v>0</v>
      </c>
      <c r="AJ12" s="205">
        <f t="shared" si="6"/>
        <v>0</v>
      </c>
      <c r="AK12" s="205">
        <f t="shared" si="6"/>
        <v>0</v>
      </c>
      <c r="AL12" s="205">
        <f t="shared" si="7"/>
        <v>0</v>
      </c>
      <c r="AM12" s="205">
        <f t="shared" si="7"/>
        <v>0</v>
      </c>
      <c r="AN12" s="205">
        <f t="shared" si="7"/>
        <v>0</v>
      </c>
      <c r="AO12" s="205">
        <f t="shared" si="7"/>
        <v>0</v>
      </c>
      <c r="AP12" s="205">
        <f t="shared" si="7"/>
        <v>0</v>
      </c>
      <c r="AQ12" s="205">
        <f t="shared" si="7"/>
        <v>0</v>
      </c>
      <c r="AR12" s="205">
        <f t="shared" si="7"/>
        <v>0</v>
      </c>
      <c r="AS12" s="205">
        <f t="shared" si="7"/>
        <v>0</v>
      </c>
      <c r="AT12" s="205">
        <f t="shared" si="7"/>
        <v>4141.2463040497487</v>
      </c>
      <c r="AU12" s="205">
        <f t="shared" si="7"/>
        <v>4141.2463040497487</v>
      </c>
      <c r="AV12" s="205">
        <f t="shared" si="7"/>
        <v>4141.2463040497487</v>
      </c>
      <c r="AW12" s="205">
        <f t="shared" si="7"/>
        <v>4141.2463040497487</v>
      </c>
      <c r="AX12" s="205">
        <f t="shared" si="8"/>
        <v>4141.2463040497487</v>
      </c>
      <c r="AY12" s="205">
        <f t="shared" si="8"/>
        <v>4141.2463040497487</v>
      </c>
      <c r="AZ12" s="205">
        <f t="shared" si="8"/>
        <v>4141.2463040497487</v>
      </c>
      <c r="BA12" s="205">
        <f t="shared" si="8"/>
        <v>4141.2463040497487</v>
      </c>
      <c r="BB12" s="205">
        <f t="shared" si="8"/>
        <v>4141.2463040497487</v>
      </c>
      <c r="BC12" s="205">
        <f t="shared" si="8"/>
        <v>4141.2463040497487</v>
      </c>
      <c r="BD12" s="205">
        <f t="shared" si="8"/>
        <v>4141.2463040497487</v>
      </c>
      <c r="BE12" s="205">
        <f t="shared" si="8"/>
        <v>4141.2463040497487</v>
      </c>
      <c r="BF12" s="205">
        <f t="shared" si="8"/>
        <v>4141.2463040497487</v>
      </c>
      <c r="BG12" s="205">
        <f t="shared" si="8"/>
        <v>4141.2463040497487</v>
      </c>
      <c r="BH12" s="205">
        <f t="shared" si="8"/>
        <v>4141.2463040497487</v>
      </c>
      <c r="BI12" s="205">
        <f t="shared" si="8"/>
        <v>4141.2463040497487</v>
      </c>
      <c r="BJ12" s="205">
        <f t="shared" si="8"/>
        <v>4141.2463040497487</v>
      </c>
      <c r="BK12" s="205">
        <f t="shared" si="8"/>
        <v>4141.2463040497487</v>
      </c>
      <c r="BL12" s="205">
        <f t="shared" si="8"/>
        <v>4141.2463040497487</v>
      </c>
      <c r="BM12" s="205">
        <f t="shared" si="8"/>
        <v>4141.2463040497487</v>
      </c>
      <c r="BN12" s="205">
        <f t="shared" si="8"/>
        <v>4141.2463040497487</v>
      </c>
      <c r="BO12" s="205">
        <f t="shared" si="8"/>
        <v>4141.2463040497487</v>
      </c>
      <c r="BP12" s="205">
        <f t="shared" si="8"/>
        <v>4141.2463040497487</v>
      </c>
      <c r="BQ12" s="205">
        <f t="shared" si="8"/>
        <v>4141.2463040497487</v>
      </c>
      <c r="BR12" s="205">
        <f t="shared" si="8"/>
        <v>4141.2463040497487</v>
      </c>
      <c r="BS12" s="205">
        <f t="shared" si="8"/>
        <v>4141.2463040497487</v>
      </c>
      <c r="BT12" s="205">
        <f t="shared" si="8"/>
        <v>4141.2463040497487</v>
      </c>
      <c r="BU12" s="205">
        <f t="shared" si="8"/>
        <v>4141.2463040497487</v>
      </c>
      <c r="BV12" s="205">
        <f t="shared" si="8"/>
        <v>4141.2463040497487</v>
      </c>
      <c r="BW12" s="205">
        <f t="shared" si="8"/>
        <v>4141.2463040497487</v>
      </c>
      <c r="BX12" s="205">
        <f t="shared" si="8"/>
        <v>4141.2463040497487</v>
      </c>
      <c r="BY12" s="205">
        <f t="shared" si="8"/>
        <v>4141.2463040497487</v>
      </c>
      <c r="BZ12" s="205">
        <f t="shared" si="8"/>
        <v>4141.2463040497487</v>
      </c>
      <c r="CA12" s="205">
        <f t="shared" si="2"/>
        <v>4141.2463040497487</v>
      </c>
      <c r="CB12" s="205">
        <f t="shared" si="2"/>
        <v>4141.2463040497487</v>
      </c>
      <c r="CC12" s="205">
        <f t="shared" si="2"/>
        <v>4141.2463040497487</v>
      </c>
      <c r="CD12" s="205">
        <f t="shared" si="2"/>
        <v>4141.2463040497487</v>
      </c>
      <c r="CE12" s="205">
        <f t="shared" si="2"/>
        <v>4141.2463040497487</v>
      </c>
      <c r="CF12" s="205">
        <f t="shared" si="2"/>
        <v>4141.2463040497487</v>
      </c>
      <c r="CG12" s="205">
        <f t="shared" si="2"/>
        <v>0</v>
      </c>
      <c r="CH12" s="205">
        <f t="shared" si="2"/>
        <v>0</v>
      </c>
      <c r="CI12" s="205">
        <f t="shared" si="2"/>
        <v>0</v>
      </c>
      <c r="CJ12" s="205">
        <f t="shared" si="2"/>
        <v>0</v>
      </c>
      <c r="CK12" s="205">
        <f t="shared" si="2"/>
        <v>0</v>
      </c>
      <c r="CL12" s="205">
        <f t="shared" si="2"/>
        <v>0</v>
      </c>
      <c r="CM12" s="205">
        <f t="shared" si="2"/>
        <v>0</v>
      </c>
      <c r="CN12" s="205">
        <f t="shared" si="2"/>
        <v>0</v>
      </c>
      <c r="CO12" s="205">
        <f t="shared" si="2"/>
        <v>0</v>
      </c>
      <c r="CP12" s="205">
        <f t="shared" si="2"/>
        <v>0</v>
      </c>
      <c r="CQ12" s="205">
        <f t="shared" si="2"/>
        <v>0</v>
      </c>
      <c r="CR12" s="205">
        <f t="shared" si="2"/>
        <v>0</v>
      </c>
      <c r="CS12" s="205">
        <f t="shared" si="3"/>
        <v>0</v>
      </c>
      <c r="CT12" s="205">
        <f t="shared" si="3"/>
        <v>0</v>
      </c>
      <c r="CU12" s="205">
        <f t="shared" si="3"/>
        <v>0</v>
      </c>
      <c r="CV12" s="205">
        <f t="shared" si="3"/>
        <v>0</v>
      </c>
      <c r="CW12" s="205">
        <f t="shared" si="3"/>
        <v>0</v>
      </c>
      <c r="CX12" s="205">
        <f t="shared" si="3"/>
        <v>0</v>
      </c>
      <c r="CY12" s="205">
        <f t="shared" si="3"/>
        <v>0</v>
      </c>
      <c r="CZ12" s="205">
        <f t="shared" si="3"/>
        <v>0</v>
      </c>
      <c r="DA12" s="205">
        <f t="shared" si="3"/>
        <v>0</v>
      </c>
      <c r="DB12" s="205"/>
    </row>
    <row r="13" spans="1:106">
      <c r="A13" s="202" t="str">
        <f>Income!A83</f>
        <v>Food transfer - official</v>
      </c>
      <c r="B13" s="204">
        <f>Income!B83</f>
        <v>2031.5005249868352</v>
      </c>
      <c r="C13" s="204">
        <f>Income!C83</f>
        <v>2031.500524986835</v>
      </c>
      <c r="D13" s="204">
        <f>Income!D83</f>
        <v>1857.3719085593918</v>
      </c>
      <c r="E13" s="204">
        <f>Income!E83</f>
        <v>0</v>
      </c>
      <c r="F13" s="205">
        <f t="shared" si="4"/>
        <v>2031.5005249868352</v>
      </c>
      <c r="G13" s="205">
        <f t="shared" si="4"/>
        <v>2031.5005249868352</v>
      </c>
      <c r="H13" s="205">
        <f t="shared" si="4"/>
        <v>2031.5005249868352</v>
      </c>
      <c r="I13" s="205">
        <f t="shared" si="4"/>
        <v>2031.5005249868352</v>
      </c>
      <c r="J13" s="205">
        <f t="shared" si="4"/>
        <v>2031.5005249868352</v>
      </c>
      <c r="K13" s="205">
        <f t="shared" si="4"/>
        <v>2031.5005249868352</v>
      </c>
      <c r="L13" s="205">
        <f t="shared" si="4"/>
        <v>2031.5005249868352</v>
      </c>
      <c r="M13" s="205">
        <f t="shared" si="4"/>
        <v>2031.5005249868352</v>
      </c>
      <c r="N13" s="205">
        <f t="shared" si="4"/>
        <v>2031.5005249868352</v>
      </c>
      <c r="O13" s="205">
        <f t="shared" si="4"/>
        <v>2031.5005249868352</v>
      </c>
      <c r="P13" s="205">
        <f t="shared" si="4"/>
        <v>2031.5005249868352</v>
      </c>
      <c r="Q13" s="205">
        <f t="shared" si="4"/>
        <v>2031.5005249868352</v>
      </c>
      <c r="R13" s="205">
        <f t="shared" si="4"/>
        <v>2031.5005249868352</v>
      </c>
      <c r="S13" s="205">
        <f t="shared" si="4"/>
        <v>2031.5005249868352</v>
      </c>
      <c r="T13" s="205">
        <f t="shared" si="4"/>
        <v>2031.5005249868352</v>
      </c>
      <c r="U13" s="205">
        <f t="shared" si="4"/>
        <v>2031.5005249868352</v>
      </c>
      <c r="V13" s="205">
        <f t="shared" si="6"/>
        <v>2031.5005249868352</v>
      </c>
      <c r="W13" s="205">
        <f t="shared" si="6"/>
        <v>2031.5005249868352</v>
      </c>
      <c r="X13" s="205">
        <f t="shared" si="6"/>
        <v>2031.5005249868352</v>
      </c>
      <c r="Y13" s="205">
        <f t="shared" si="6"/>
        <v>2031.5005249868352</v>
      </c>
      <c r="Z13" s="205">
        <f t="shared" si="6"/>
        <v>2031.5005249868352</v>
      </c>
      <c r="AA13" s="205">
        <f t="shared" si="6"/>
        <v>2031.5005249868352</v>
      </c>
      <c r="AB13" s="205">
        <f t="shared" si="6"/>
        <v>2031.5005249868352</v>
      </c>
      <c r="AC13" s="205">
        <f t="shared" si="6"/>
        <v>2031.5005249868352</v>
      </c>
      <c r="AD13" s="205">
        <f t="shared" si="6"/>
        <v>2031.5005249868352</v>
      </c>
      <c r="AE13" s="205">
        <f t="shared" si="6"/>
        <v>2031.5005249868352</v>
      </c>
      <c r="AF13" s="205">
        <f t="shared" si="6"/>
        <v>2031.5005249868352</v>
      </c>
      <c r="AG13" s="205">
        <f t="shared" si="6"/>
        <v>2031.5005249868352</v>
      </c>
      <c r="AH13" s="205">
        <f t="shared" si="6"/>
        <v>2031.5005249868352</v>
      </c>
      <c r="AI13" s="205">
        <f t="shared" si="6"/>
        <v>2031.5005249868352</v>
      </c>
      <c r="AJ13" s="205">
        <f t="shared" si="6"/>
        <v>2031.5005249868352</v>
      </c>
      <c r="AK13" s="205">
        <f t="shared" si="6"/>
        <v>2031.5005249868352</v>
      </c>
      <c r="AL13" s="205">
        <f t="shared" si="7"/>
        <v>2031.5005249868352</v>
      </c>
      <c r="AM13" s="205">
        <f t="shared" si="7"/>
        <v>2031.5005249868352</v>
      </c>
      <c r="AN13" s="205">
        <f t="shared" si="7"/>
        <v>2031.5005249868352</v>
      </c>
      <c r="AO13" s="205">
        <f t="shared" si="7"/>
        <v>2031.5005249868352</v>
      </c>
      <c r="AP13" s="205">
        <f t="shared" si="7"/>
        <v>2031.5005249868352</v>
      </c>
      <c r="AQ13" s="205">
        <f t="shared" si="7"/>
        <v>2031.5005249868352</v>
      </c>
      <c r="AR13" s="205">
        <f t="shared" si="7"/>
        <v>2031.5005249868352</v>
      </c>
      <c r="AS13" s="205">
        <f t="shared" si="7"/>
        <v>2031.5005249868352</v>
      </c>
      <c r="AT13" s="205">
        <f t="shared" si="7"/>
        <v>2031.500524986835</v>
      </c>
      <c r="AU13" s="205">
        <f t="shared" si="7"/>
        <v>2031.500524986835</v>
      </c>
      <c r="AV13" s="205">
        <f t="shared" si="7"/>
        <v>2031.500524986835</v>
      </c>
      <c r="AW13" s="205">
        <f t="shared" si="7"/>
        <v>2031.500524986835</v>
      </c>
      <c r="AX13" s="205">
        <f t="shared" si="8"/>
        <v>2031.500524986835</v>
      </c>
      <c r="AY13" s="205">
        <f t="shared" si="8"/>
        <v>2031.500524986835</v>
      </c>
      <c r="AZ13" s="205">
        <f t="shared" si="8"/>
        <v>2031.500524986835</v>
      </c>
      <c r="BA13" s="205">
        <f t="shared" si="8"/>
        <v>2031.500524986835</v>
      </c>
      <c r="BB13" s="205">
        <f t="shared" si="8"/>
        <v>2031.500524986835</v>
      </c>
      <c r="BC13" s="205">
        <f t="shared" si="8"/>
        <v>2031.500524986835</v>
      </c>
      <c r="BD13" s="205">
        <f t="shared" si="8"/>
        <v>2031.500524986835</v>
      </c>
      <c r="BE13" s="205">
        <f t="shared" si="8"/>
        <v>2031.500524986835</v>
      </c>
      <c r="BF13" s="205">
        <f t="shared" si="8"/>
        <v>2031.500524986835</v>
      </c>
      <c r="BG13" s="205">
        <f t="shared" si="8"/>
        <v>2031.500524986835</v>
      </c>
      <c r="BH13" s="205">
        <f t="shared" si="8"/>
        <v>2031.500524986835</v>
      </c>
      <c r="BI13" s="205">
        <f t="shared" si="8"/>
        <v>2031.500524986835</v>
      </c>
      <c r="BJ13" s="205">
        <f t="shared" si="8"/>
        <v>2031.500524986835</v>
      </c>
      <c r="BK13" s="205">
        <f t="shared" si="8"/>
        <v>2031.500524986835</v>
      </c>
      <c r="BL13" s="205">
        <f t="shared" si="8"/>
        <v>2031.500524986835</v>
      </c>
      <c r="BM13" s="205">
        <f t="shared" si="8"/>
        <v>2031.500524986835</v>
      </c>
      <c r="BN13" s="205">
        <f t="shared" si="8"/>
        <v>2031.500524986835</v>
      </c>
      <c r="BO13" s="205">
        <f t="shared" si="8"/>
        <v>2031.500524986835</v>
      </c>
      <c r="BP13" s="205">
        <f t="shared" si="8"/>
        <v>2031.500524986835</v>
      </c>
      <c r="BQ13" s="205">
        <f t="shared" si="8"/>
        <v>2031.500524986835</v>
      </c>
      <c r="BR13" s="205">
        <f t="shared" si="8"/>
        <v>2031.500524986835</v>
      </c>
      <c r="BS13" s="205">
        <f t="shared" si="8"/>
        <v>2031.500524986835</v>
      </c>
      <c r="BT13" s="205">
        <f t="shared" si="8"/>
        <v>2031.500524986835</v>
      </c>
      <c r="BU13" s="205">
        <f t="shared" si="8"/>
        <v>2031.500524986835</v>
      </c>
      <c r="BV13" s="205">
        <f t="shared" si="8"/>
        <v>2031.500524986835</v>
      </c>
      <c r="BW13" s="205">
        <f t="shared" si="8"/>
        <v>2031.500524986835</v>
      </c>
      <c r="BX13" s="205">
        <f t="shared" si="8"/>
        <v>2031.500524986835</v>
      </c>
      <c r="BY13" s="205">
        <f t="shared" si="8"/>
        <v>2031.500524986835</v>
      </c>
      <c r="BZ13" s="205">
        <f t="shared" si="8"/>
        <v>2031.500524986835</v>
      </c>
      <c r="CA13" s="205">
        <f t="shared" si="2"/>
        <v>2031.500524986835</v>
      </c>
      <c r="CB13" s="205">
        <f t="shared" si="2"/>
        <v>2031.500524986835</v>
      </c>
      <c r="CC13" s="205">
        <f t="shared" si="2"/>
        <v>2031.500524986835</v>
      </c>
      <c r="CD13" s="205">
        <f t="shared" si="2"/>
        <v>2031.500524986835</v>
      </c>
      <c r="CE13" s="205">
        <f t="shared" si="2"/>
        <v>2031.500524986835</v>
      </c>
      <c r="CF13" s="205">
        <f t="shared" si="2"/>
        <v>2031.500524986835</v>
      </c>
      <c r="CG13" s="205">
        <f t="shared" si="2"/>
        <v>1857.3719085593918</v>
      </c>
      <c r="CH13" s="205">
        <f t="shared" si="2"/>
        <v>1857.3719085593918</v>
      </c>
      <c r="CI13" s="205">
        <f t="shared" si="2"/>
        <v>1857.3719085593918</v>
      </c>
      <c r="CJ13" s="205">
        <f t="shared" si="2"/>
        <v>1857.3719085593918</v>
      </c>
      <c r="CK13" s="205">
        <f t="shared" si="2"/>
        <v>1857.3719085593918</v>
      </c>
      <c r="CL13" s="205">
        <f t="shared" si="2"/>
        <v>1857.3719085593918</v>
      </c>
      <c r="CM13" s="205">
        <f t="shared" si="2"/>
        <v>1857.3719085593918</v>
      </c>
      <c r="CN13" s="205">
        <f t="shared" si="2"/>
        <v>1857.3719085593918</v>
      </c>
      <c r="CO13" s="205">
        <f t="shared" si="2"/>
        <v>1857.3719085593918</v>
      </c>
      <c r="CP13" s="205">
        <f t="shared" si="2"/>
        <v>1857.3719085593918</v>
      </c>
      <c r="CQ13" s="205">
        <f t="shared" si="2"/>
        <v>1857.3719085593918</v>
      </c>
      <c r="CR13" s="205">
        <f t="shared" si="2"/>
        <v>1857.3719085593918</v>
      </c>
      <c r="CS13" s="205">
        <f t="shared" si="3"/>
        <v>1857.3719085593918</v>
      </c>
      <c r="CT13" s="205">
        <f t="shared" si="3"/>
        <v>1857.3719085593918</v>
      </c>
      <c r="CU13" s="205">
        <f t="shared" si="3"/>
        <v>1857.3719085593918</v>
      </c>
      <c r="CV13" s="205">
        <f t="shared" si="3"/>
        <v>1857.3719085593918</v>
      </c>
      <c r="CW13" s="205">
        <f t="shared" si="3"/>
        <v>1857.3719085593918</v>
      </c>
      <c r="CX13" s="205">
        <f t="shared" si="3"/>
        <v>1857.3719085593918</v>
      </c>
      <c r="CY13" s="205">
        <f t="shared" si="3"/>
        <v>1857.3719085593918</v>
      </c>
      <c r="CZ13" s="205">
        <f t="shared" si="3"/>
        <v>1857.3719085593918</v>
      </c>
      <c r="DA13" s="205">
        <f t="shared" si="3"/>
        <v>1857.3719085593918</v>
      </c>
      <c r="DB13" s="205"/>
    </row>
    <row r="14" spans="1:106">
      <c r="A14" s="202" t="str">
        <f>Income!A85</f>
        <v>Cash transfer - official</v>
      </c>
      <c r="B14" s="204">
        <f>Income!B85</f>
        <v>31716.030622872437</v>
      </c>
      <c r="C14" s="204">
        <f>Income!C85</f>
        <v>31920.134905000599</v>
      </c>
      <c r="D14" s="204">
        <f>Income!D85</f>
        <v>33691.151564212087</v>
      </c>
      <c r="E14" s="204">
        <f>Income!E85</f>
        <v>0</v>
      </c>
      <c r="F14" s="205">
        <f t="shared" si="4"/>
        <v>31716.030622872437</v>
      </c>
      <c r="G14" s="205">
        <f t="shared" si="4"/>
        <v>31716.030622872437</v>
      </c>
      <c r="H14" s="205">
        <f t="shared" si="4"/>
        <v>31716.030622872437</v>
      </c>
      <c r="I14" s="205">
        <f t="shared" si="4"/>
        <v>31716.030622872437</v>
      </c>
      <c r="J14" s="205">
        <f t="shared" si="4"/>
        <v>31716.030622872437</v>
      </c>
      <c r="K14" s="205">
        <f t="shared" si="4"/>
        <v>31716.030622872437</v>
      </c>
      <c r="L14" s="205">
        <f t="shared" si="4"/>
        <v>31716.030622872437</v>
      </c>
      <c r="M14" s="205">
        <f t="shared" si="4"/>
        <v>31716.030622872437</v>
      </c>
      <c r="N14" s="205">
        <f t="shared" si="4"/>
        <v>31716.030622872437</v>
      </c>
      <c r="O14" s="205">
        <f t="shared" si="4"/>
        <v>31716.030622872437</v>
      </c>
      <c r="P14" s="205">
        <f t="shared" si="4"/>
        <v>31716.030622872437</v>
      </c>
      <c r="Q14" s="205">
        <f t="shared" si="4"/>
        <v>31716.030622872437</v>
      </c>
      <c r="R14" s="205">
        <f t="shared" si="4"/>
        <v>31716.030622872437</v>
      </c>
      <c r="S14" s="205">
        <f t="shared" si="4"/>
        <v>31716.030622872437</v>
      </c>
      <c r="T14" s="205">
        <f t="shared" si="4"/>
        <v>31716.030622872437</v>
      </c>
      <c r="U14" s="205">
        <f t="shared" si="4"/>
        <v>31716.030622872437</v>
      </c>
      <c r="V14" s="205">
        <f t="shared" si="6"/>
        <v>31716.030622872437</v>
      </c>
      <c r="W14" s="205">
        <f t="shared" si="6"/>
        <v>31716.030622872437</v>
      </c>
      <c r="X14" s="205">
        <f t="shared" si="6"/>
        <v>31716.030622872437</v>
      </c>
      <c r="Y14" s="205">
        <f t="shared" si="6"/>
        <v>31716.030622872437</v>
      </c>
      <c r="Z14" s="205">
        <f t="shared" si="6"/>
        <v>31716.030622872437</v>
      </c>
      <c r="AA14" s="205">
        <f t="shared" si="6"/>
        <v>31716.030622872437</v>
      </c>
      <c r="AB14" s="205">
        <f t="shared" si="6"/>
        <v>31716.030622872437</v>
      </c>
      <c r="AC14" s="205">
        <f t="shared" si="6"/>
        <v>31716.030622872437</v>
      </c>
      <c r="AD14" s="205">
        <f t="shared" si="6"/>
        <v>31716.030622872437</v>
      </c>
      <c r="AE14" s="205">
        <f t="shared" si="6"/>
        <v>31716.030622872437</v>
      </c>
      <c r="AF14" s="205">
        <f t="shared" si="6"/>
        <v>31716.030622872437</v>
      </c>
      <c r="AG14" s="205">
        <f t="shared" si="6"/>
        <v>31716.030622872437</v>
      </c>
      <c r="AH14" s="205">
        <f t="shared" si="6"/>
        <v>31716.030622872437</v>
      </c>
      <c r="AI14" s="205">
        <f t="shared" si="6"/>
        <v>31716.030622872437</v>
      </c>
      <c r="AJ14" s="205">
        <f t="shared" si="6"/>
        <v>31716.030622872437</v>
      </c>
      <c r="AK14" s="205">
        <f t="shared" si="6"/>
        <v>31716.030622872437</v>
      </c>
      <c r="AL14" s="205">
        <f t="shared" si="7"/>
        <v>31716.030622872437</v>
      </c>
      <c r="AM14" s="205">
        <f t="shared" si="7"/>
        <v>31716.030622872437</v>
      </c>
      <c r="AN14" s="205">
        <f t="shared" si="7"/>
        <v>31716.030622872437</v>
      </c>
      <c r="AO14" s="205">
        <f t="shared" si="7"/>
        <v>31716.030622872437</v>
      </c>
      <c r="AP14" s="205">
        <f t="shared" si="7"/>
        <v>31716.030622872437</v>
      </c>
      <c r="AQ14" s="205">
        <f t="shared" si="7"/>
        <v>31716.030622872437</v>
      </c>
      <c r="AR14" s="205">
        <f t="shared" si="7"/>
        <v>31716.030622872437</v>
      </c>
      <c r="AS14" s="205">
        <f t="shared" si="7"/>
        <v>31716.030622872437</v>
      </c>
      <c r="AT14" s="205">
        <f t="shared" si="7"/>
        <v>31920.134905000599</v>
      </c>
      <c r="AU14" s="205">
        <f t="shared" si="7"/>
        <v>31920.134905000599</v>
      </c>
      <c r="AV14" s="205">
        <f t="shared" si="7"/>
        <v>31920.134905000599</v>
      </c>
      <c r="AW14" s="205">
        <f t="shared" si="7"/>
        <v>31920.134905000599</v>
      </c>
      <c r="AX14" s="205">
        <f t="shared" si="7"/>
        <v>31920.134905000599</v>
      </c>
      <c r="AY14" s="205">
        <f t="shared" si="7"/>
        <v>31920.134905000599</v>
      </c>
      <c r="AZ14" s="205">
        <f t="shared" si="7"/>
        <v>31920.134905000599</v>
      </c>
      <c r="BA14" s="205">
        <f t="shared" si="7"/>
        <v>31920.134905000599</v>
      </c>
      <c r="BB14" s="205">
        <f t="shared" si="8"/>
        <v>31920.134905000599</v>
      </c>
      <c r="BC14" s="205">
        <f t="shared" si="8"/>
        <v>31920.134905000599</v>
      </c>
      <c r="BD14" s="205">
        <f t="shared" si="8"/>
        <v>31920.134905000599</v>
      </c>
      <c r="BE14" s="205">
        <f t="shared" si="8"/>
        <v>31920.134905000599</v>
      </c>
      <c r="BF14" s="205">
        <f t="shared" si="8"/>
        <v>31920.134905000599</v>
      </c>
      <c r="BG14" s="205">
        <f t="shared" si="8"/>
        <v>31920.134905000599</v>
      </c>
      <c r="BH14" s="205">
        <f t="shared" si="8"/>
        <v>31920.134905000599</v>
      </c>
      <c r="BI14" s="205">
        <f t="shared" si="8"/>
        <v>31920.134905000599</v>
      </c>
      <c r="BJ14" s="205">
        <f t="shared" si="8"/>
        <v>31920.134905000599</v>
      </c>
      <c r="BK14" s="205">
        <f t="shared" si="8"/>
        <v>31920.134905000599</v>
      </c>
      <c r="BL14" s="205">
        <f t="shared" si="8"/>
        <v>31920.134905000599</v>
      </c>
      <c r="BM14" s="205">
        <f t="shared" si="8"/>
        <v>31920.134905000599</v>
      </c>
      <c r="BN14" s="205">
        <f t="shared" si="8"/>
        <v>31920.134905000599</v>
      </c>
      <c r="BO14" s="205">
        <f t="shared" si="8"/>
        <v>31920.134905000599</v>
      </c>
      <c r="BP14" s="205">
        <f t="shared" si="8"/>
        <v>31920.134905000599</v>
      </c>
      <c r="BQ14" s="205">
        <f t="shared" si="8"/>
        <v>31920.134905000599</v>
      </c>
      <c r="BR14" s="205">
        <f t="shared" si="8"/>
        <v>31920.134905000599</v>
      </c>
      <c r="BS14" s="205">
        <f t="shared" si="8"/>
        <v>31920.134905000599</v>
      </c>
      <c r="BT14" s="205">
        <f t="shared" si="8"/>
        <v>31920.134905000599</v>
      </c>
      <c r="BU14" s="205">
        <f t="shared" si="8"/>
        <v>31920.134905000599</v>
      </c>
      <c r="BV14" s="205">
        <f t="shared" si="8"/>
        <v>31920.134905000599</v>
      </c>
      <c r="BW14" s="205">
        <f t="shared" si="8"/>
        <v>31920.134905000599</v>
      </c>
      <c r="BX14" s="205">
        <f t="shared" si="8"/>
        <v>31920.134905000599</v>
      </c>
      <c r="BY14" s="205">
        <f t="shared" si="8"/>
        <v>31920.134905000599</v>
      </c>
      <c r="BZ14" s="205">
        <f t="shared" si="8"/>
        <v>31920.134905000599</v>
      </c>
      <c r="CA14" s="205">
        <f t="shared" si="2"/>
        <v>31920.134905000599</v>
      </c>
      <c r="CB14" s="205">
        <f t="shared" si="2"/>
        <v>31920.134905000599</v>
      </c>
      <c r="CC14" s="205">
        <f t="shared" si="2"/>
        <v>31920.134905000599</v>
      </c>
      <c r="CD14" s="205">
        <f t="shared" si="2"/>
        <v>31920.134905000599</v>
      </c>
      <c r="CE14" s="205">
        <f t="shared" si="2"/>
        <v>31920.134905000599</v>
      </c>
      <c r="CF14" s="205">
        <f t="shared" si="2"/>
        <v>31920.134905000599</v>
      </c>
      <c r="CG14" s="205">
        <f t="shared" si="2"/>
        <v>33691.151564212087</v>
      </c>
      <c r="CH14" s="205">
        <f t="shared" si="2"/>
        <v>33691.151564212087</v>
      </c>
      <c r="CI14" s="205">
        <f t="shared" si="2"/>
        <v>33691.151564212087</v>
      </c>
      <c r="CJ14" s="205">
        <f t="shared" si="2"/>
        <v>33691.151564212087</v>
      </c>
      <c r="CK14" s="205">
        <f t="shared" si="2"/>
        <v>33691.151564212087</v>
      </c>
      <c r="CL14" s="205">
        <f t="shared" si="2"/>
        <v>33691.151564212087</v>
      </c>
      <c r="CM14" s="205">
        <f t="shared" si="2"/>
        <v>33691.151564212087</v>
      </c>
      <c r="CN14" s="205">
        <f t="shared" si="2"/>
        <v>33691.151564212087</v>
      </c>
      <c r="CO14" s="205">
        <f t="shared" si="2"/>
        <v>33691.151564212087</v>
      </c>
      <c r="CP14" s="205">
        <f t="shared" si="2"/>
        <v>33691.151564212087</v>
      </c>
      <c r="CQ14" s="205">
        <f t="shared" si="2"/>
        <v>33691.151564212087</v>
      </c>
      <c r="CR14" s="205">
        <f t="shared" si="2"/>
        <v>33691.151564212087</v>
      </c>
      <c r="CS14" s="205">
        <f t="shared" si="3"/>
        <v>33691.151564212087</v>
      </c>
      <c r="CT14" s="205">
        <f t="shared" si="3"/>
        <v>33691.151564212087</v>
      </c>
      <c r="CU14" s="205">
        <f t="shared" si="3"/>
        <v>33691.151564212087</v>
      </c>
      <c r="CV14" s="205">
        <f t="shared" si="3"/>
        <v>33691.151564212087</v>
      </c>
      <c r="CW14" s="205">
        <f t="shared" si="3"/>
        <v>33691.151564212087</v>
      </c>
      <c r="CX14" s="205">
        <f t="shared" si="3"/>
        <v>33691.151564212087</v>
      </c>
      <c r="CY14" s="205">
        <f t="shared" si="3"/>
        <v>33691.151564212087</v>
      </c>
      <c r="CZ14" s="205">
        <f t="shared" si="3"/>
        <v>33691.151564212087</v>
      </c>
      <c r="DA14" s="205">
        <f t="shared" si="3"/>
        <v>33691.151564212087</v>
      </c>
      <c r="DB14" s="205"/>
    </row>
    <row r="15" spans="1:106">
      <c r="A15" s="202" t="str">
        <f>Income!A86</f>
        <v>Cash transfer - gifts</v>
      </c>
      <c r="B15" s="204">
        <f>Income!B86</f>
        <v>0</v>
      </c>
      <c r="C15" s="204">
        <f>Income!C86</f>
        <v>0</v>
      </c>
      <c r="D15" s="204">
        <f>Income!D86</f>
        <v>0</v>
      </c>
      <c r="E15" s="204">
        <f>Income!E86</f>
        <v>0</v>
      </c>
      <c r="F15" s="205">
        <f t="shared" si="4"/>
        <v>0</v>
      </c>
      <c r="G15" s="205">
        <f t="shared" si="4"/>
        <v>0</v>
      </c>
      <c r="H15" s="205">
        <f t="shared" si="4"/>
        <v>0</v>
      </c>
      <c r="I15" s="205">
        <f t="shared" si="4"/>
        <v>0</v>
      </c>
      <c r="J15" s="205">
        <f t="shared" si="4"/>
        <v>0</v>
      </c>
      <c r="K15" s="205">
        <f t="shared" si="4"/>
        <v>0</v>
      </c>
      <c r="L15" s="205">
        <f t="shared" si="4"/>
        <v>0</v>
      </c>
      <c r="M15" s="205">
        <f t="shared" si="4"/>
        <v>0</v>
      </c>
      <c r="N15" s="205">
        <f t="shared" si="4"/>
        <v>0</v>
      </c>
      <c r="O15" s="205">
        <f t="shared" si="4"/>
        <v>0</v>
      </c>
      <c r="P15" s="205">
        <f t="shared" si="4"/>
        <v>0</v>
      </c>
      <c r="Q15" s="205">
        <f t="shared" si="4"/>
        <v>0</v>
      </c>
      <c r="R15" s="205">
        <f t="shared" si="4"/>
        <v>0</v>
      </c>
      <c r="S15" s="205">
        <f t="shared" si="4"/>
        <v>0</v>
      </c>
      <c r="T15" s="205">
        <f t="shared" si="4"/>
        <v>0</v>
      </c>
      <c r="U15" s="205">
        <f t="shared" si="4"/>
        <v>0</v>
      </c>
      <c r="V15" s="205">
        <f t="shared" si="6"/>
        <v>0</v>
      </c>
      <c r="W15" s="205">
        <f t="shared" si="6"/>
        <v>0</v>
      </c>
      <c r="X15" s="205">
        <f t="shared" si="6"/>
        <v>0</v>
      </c>
      <c r="Y15" s="205">
        <f t="shared" si="6"/>
        <v>0</v>
      </c>
      <c r="Z15" s="205">
        <f t="shared" si="6"/>
        <v>0</v>
      </c>
      <c r="AA15" s="205">
        <f t="shared" si="6"/>
        <v>0</v>
      </c>
      <c r="AB15" s="205">
        <f t="shared" si="6"/>
        <v>0</v>
      </c>
      <c r="AC15" s="205">
        <f t="shared" si="6"/>
        <v>0</v>
      </c>
      <c r="AD15" s="205">
        <f t="shared" si="6"/>
        <v>0</v>
      </c>
      <c r="AE15" s="205">
        <f t="shared" si="6"/>
        <v>0</v>
      </c>
      <c r="AF15" s="205">
        <f t="shared" si="6"/>
        <v>0</v>
      </c>
      <c r="AG15" s="205">
        <f t="shared" si="6"/>
        <v>0</v>
      </c>
      <c r="AH15" s="205">
        <f t="shared" si="6"/>
        <v>0</v>
      </c>
      <c r="AI15" s="205">
        <f t="shared" si="6"/>
        <v>0</v>
      </c>
      <c r="AJ15" s="205">
        <f t="shared" si="6"/>
        <v>0</v>
      </c>
      <c r="AK15" s="205">
        <f t="shared" si="6"/>
        <v>0</v>
      </c>
      <c r="AL15" s="205">
        <f t="shared" si="7"/>
        <v>0</v>
      </c>
      <c r="AM15" s="205">
        <f t="shared" si="7"/>
        <v>0</v>
      </c>
      <c r="AN15" s="205">
        <f t="shared" si="7"/>
        <v>0</v>
      </c>
      <c r="AO15" s="205">
        <f t="shared" si="7"/>
        <v>0</v>
      </c>
      <c r="AP15" s="205">
        <f t="shared" si="7"/>
        <v>0</v>
      </c>
      <c r="AQ15" s="205">
        <f t="shared" si="7"/>
        <v>0</v>
      </c>
      <c r="AR15" s="205">
        <f t="shared" si="7"/>
        <v>0</v>
      </c>
      <c r="AS15" s="205">
        <f t="shared" si="7"/>
        <v>0</v>
      </c>
      <c r="AT15" s="205">
        <f t="shared" si="7"/>
        <v>0</v>
      </c>
      <c r="AU15" s="205">
        <f t="shared" si="7"/>
        <v>0</v>
      </c>
      <c r="AV15" s="205">
        <f t="shared" si="7"/>
        <v>0</v>
      </c>
      <c r="AW15" s="205">
        <f t="shared" si="7"/>
        <v>0</v>
      </c>
      <c r="AX15" s="205">
        <f t="shared" si="8"/>
        <v>0</v>
      </c>
      <c r="AY15" s="205">
        <f t="shared" si="8"/>
        <v>0</v>
      </c>
      <c r="AZ15" s="205">
        <f t="shared" si="8"/>
        <v>0</v>
      </c>
      <c r="BA15" s="205">
        <f t="shared" si="8"/>
        <v>0</v>
      </c>
      <c r="BB15" s="205">
        <f t="shared" si="8"/>
        <v>0</v>
      </c>
      <c r="BC15" s="205">
        <f t="shared" si="8"/>
        <v>0</v>
      </c>
      <c r="BD15" s="205">
        <f t="shared" si="8"/>
        <v>0</v>
      </c>
      <c r="BE15" s="205">
        <f t="shared" si="8"/>
        <v>0</v>
      </c>
      <c r="BF15" s="205">
        <f t="shared" si="8"/>
        <v>0</v>
      </c>
      <c r="BG15" s="205">
        <f t="shared" si="8"/>
        <v>0</v>
      </c>
      <c r="BH15" s="205">
        <f t="shared" si="8"/>
        <v>0</v>
      </c>
      <c r="BI15" s="205">
        <f t="shared" si="8"/>
        <v>0</v>
      </c>
      <c r="BJ15" s="205">
        <f t="shared" si="8"/>
        <v>0</v>
      </c>
      <c r="BK15" s="205">
        <f t="shared" si="8"/>
        <v>0</v>
      </c>
      <c r="BL15" s="205">
        <f t="shared" si="8"/>
        <v>0</v>
      </c>
      <c r="BM15" s="205">
        <f t="shared" si="8"/>
        <v>0</v>
      </c>
      <c r="BN15" s="205">
        <f t="shared" si="8"/>
        <v>0</v>
      </c>
      <c r="BO15" s="205">
        <f t="shared" si="8"/>
        <v>0</v>
      </c>
      <c r="BP15" s="205">
        <f t="shared" si="8"/>
        <v>0</v>
      </c>
      <c r="BQ15" s="205">
        <f t="shared" si="8"/>
        <v>0</v>
      </c>
      <c r="BR15" s="205">
        <f t="shared" si="8"/>
        <v>0</v>
      </c>
      <c r="BS15" s="205">
        <f t="shared" si="8"/>
        <v>0</v>
      </c>
      <c r="BT15" s="205">
        <f t="shared" si="8"/>
        <v>0</v>
      </c>
      <c r="BU15" s="205">
        <f t="shared" si="8"/>
        <v>0</v>
      </c>
      <c r="BV15" s="205">
        <f t="shared" si="8"/>
        <v>0</v>
      </c>
      <c r="BW15" s="205">
        <f t="shared" si="8"/>
        <v>0</v>
      </c>
      <c r="BX15" s="205">
        <f t="shared" si="8"/>
        <v>0</v>
      </c>
      <c r="BY15" s="205">
        <f t="shared" si="8"/>
        <v>0</v>
      </c>
      <c r="BZ15" s="205">
        <f t="shared" si="8"/>
        <v>0</v>
      </c>
      <c r="CA15" s="205">
        <f t="shared" si="2"/>
        <v>0</v>
      </c>
      <c r="CB15" s="205">
        <f t="shared" si="2"/>
        <v>0</v>
      </c>
      <c r="CC15" s="205">
        <f t="shared" si="2"/>
        <v>0</v>
      </c>
      <c r="CD15" s="205">
        <f t="shared" ref="CC15:CR18" si="9">IF(CD$2&lt;=($B$2+$C$2+$D$2),IF(CD$2&lt;=($B$2+$C$2),IF(CD$2&lt;=$B$2,$B15,$C15),$D15),$E15)</f>
        <v>0</v>
      </c>
      <c r="CE15" s="205">
        <f t="shared" si="9"/>
        <v>0</v>
      </c>
      <c r="CF15" s="205">
        <f t="shared" si="9"/>
        <v>0</v>
      </c>
      <c r="CG15" s="205">
        <f t="shared" si="9"/>
        <v>0</v>
      </c>
      <c r="CH15" s="205">
        <f t="shared" si="9"/>
        <v>0</v>
      </c>
      <c r="CI15" s="205">
        <f t="shared" si="9"/>
        <v>0</v>
      </c>
      <c r="CJ15" s="205">
        <f t="shared" si="9"/>
        <v>0</v>
      </c>
      <c r="CK15" s="205">
        <f t="shared" si="9"/>
        <v>0</v>
      </c>
      <c r="CL15" s="205">
        <f t="shared" si="9"/>
        <v>0</v>
      </c>
      <c r="CM15" s="205">
        <f t="shared" si="9"/>
        <v>0</v>
      </c>
      <c r="CN15" s="205">
        <f t="shared" si="9"/>
        <v>0</v>
      </c>
      <c r="CO15" s="205">
        <f t="shared" si="9"/>
        <v>0</v>
      </c>
      <c r="CP15" s="205">
        <f t="shared" si="9"/>
        <v>0</v>
      </c>
      <c r="CQ15" s="205">
        <f t="shared" si="9"/>
        <v>0</v>
      </c>
      <c r="CR15" s="205">
        <f t="shared" si="9"/>
        <v>0</v>
      </c>
      <c r="CS15" s="205">
        <f t="shared" si="3"/>
        <v>0</v>
      </c>
      <c r="CT15" s="205">
        <f t="shared" si="3"/>
        <v>0</v>
      </c>
      <c r="CU15" s="205">
        <f t="shared" si="3"/>
        <v>0</v>
      </c>
      <c r="CV15" s="205">
        <f t="shared" si="3"/>
        <v>0</v>
      </c>
      <c r="CW15" s="205">
        <f t="shared" si="3"/>
        <v>0</v>
      </c>
      <c r="CX15" s="205">
        <f t="shared" si="3"/>
        <v>0</v>
      </c>
      <c r="CY15" s="205">
        <f t="shared" si="3"/>
        <v>0</v>
      </c>
      <c r="CZ15" s="205">
        <f t="shared" si="3"/>
        <v>0</v>
      </c>
      <c r="DA15" s="205">
        <f t="shared" si="3"/>
        <v>0</v>
      </c>
      <c r="DB15" s="205"/>
    </row>
    <row r="16" spans="1:106">
      <c r="A16" s="202" t="s">
        <v>115</v>
      </c>
      <c r="B16" s="204">
        <f>Income!B88</f>
        <v>56335.986173104189</v>
      </c>
      <c r="C16" s="204">
        <f>Income!C88</f>
        <v>70425.674076600117</v>
      </c>
      <c r="D16" s="204">
        <f>Income!D88</f>
        <v>137822.7596082073</v>
      </c>
      <c r="E16" s="204">
        <f>Income!E88</f>
        <v>0</v>
      </c>
      <c r="F16" s="205">
        <f t="shared" si="4"/>
        <v>56335.986173104189</v>
      </c>
      <c r="G16" s="205">
        <f t="shared" si="4"/>
        <v>56335.986173104189</v>
      </c>
      <c r="H16" s="205">
        <f t="shared" si="4"/>
        <v>56335.986173104189</v>
      </c>
      <c r="I16" s="205">
        <f t="shared" si="4"/>
        <v>56335.986173104189</v>
      </c>
      <c r="J16" s="205">
        <f t="shared" si="4"/>
        <v>56335.986173104189</v>
      </c>
      <c r="K16" s="205">
        <f t="shared" si="4"/>
        <v>56335.986173104189</v>
      </c>
      <c r="L16" s="205">
        <f t="shared" si="4"/>
        <v>56335.986173104189</v>
      </c>
      <c r="M16" s="205">
        <f t="shared" si="4"/>
        <v>56335.986173104189</v>
      </c>
      <c r="N16" s="205">
        <f t="shared" si="4"/>
        <v>56335.986173104189</v>
      </c>
      <c r="O16" s="205">
        <f t="shared" si="4"/>
        <v>56335.986173104189</v>
      </c>
      <c r="P16" s="205">
        <f t="shared" si="4"/>
        <v>56335.986173104189</v>
      </c>
      <c r="Q16" s="205">
        <f t="shared" si="4"/>
        <v>56335.986173104189</v>
      </c>
      <c r="R16" s="205">
        <f t="shared" si="4"/>
        <v>56335.986173104189</v>
      </c>
      <c r="S16" s="205">
        <f t="shared" si="4"/>
        <v>56335.986173104189</v>
      </c>
      <c r="T16" s="205">
        <f t="shared" si="4"/>
        <v>56335.986173104189</v>
      </c>
      <c r="U16" s="205">
        <f t="shared" si="4"/>
        <v>56335.986173104189</v>
      </c>
      <c r="V16" s="205">
        <f t="shared" si="6"/>
        <v>56335.986173104189</v>
      </c>
      <c r="W16" s="205">
        <f t="shared" si="6"/>
        <v>56335.986173104189</v>
      </c>
      <c r="X16" s="205">
        <f t="shared" si="6"/>
        <v>56335.986173104189</v>
      </c>
      <c r="Y16" s="205">
        <f t="shared" si="6"/>
        <v>56335.986173104189</v>
      </c>
      <c r="Z16" s="205">
        <f t="shared" si="6"/>
        <v>56335.986173104189</v>
      </c>
      <c r="AA16" s="205">
        <f t="shared" si="6"/>
        <v>56335.986173104189</v>
      </c>
      <c r="AB16" s="205">
        <f t="shared" si="6"/>
        <v>56335.986173104189</v>
      </c>
      <c r="AC16" s="205">
        <f t="shared" si="6"/>
        <v>56335.986173104189</v>
      </c>
      <c r="AD16" s="205">
        <f t="shared" si="6"/>
        <v>56335.986173104189</v>
      </c>
      <c r="AE16" s="205">
        <f>IF(AE$2&lt;=($B$2+$C$2+$D$2),IF(AE$2&lt;=($B$2+$C$2),IF(AE$2&lt;=$B$2,$B16,$C16),$D16),$E16)</f>
        <v>56335.986173104189</v>
      </c>
      <c r="AF16" s="205">
        <f t="shared" si="6"/>
        <v>56335.986173104189</v>
      </c>
      <c r="AG16" s="205">
        <f t="shared" si="6"/>
        <v>56335.986173104189</v>
      </c>
      <c r="AH16" s="205">
        <f t="shared" si="6"/>
        <v>56335.986173104189</v>
      </c>
      <c r="AI16" s="205">
        <f t="shared" si="6"/>
        <v>56335.986173104189</v>
      </c>
      <c r="AJ16" s="205">
        <f t="shared" si="6"/>
        <v>56335.986173104189</v>
      </c>
      <c r="AK16" s="205">
        <f t="shared" si="6"/>
        <v>56335.986173104189</v>
      </c>
      <c r="AL16" s="205">
        <f t="shared" si="7"/>
        <v>56335.986173104189</v>
      </c>
      <c r="AM16" s="205">
        <f t="shared" si="7"/>
        <v>56335.986173104189</v>
      </c>
      <c r="AN16" s="205">
        <f t="shared" si="7"/>
        <v>56335.986173104189</v>
      </c>
      <c r="AO16" s="205">
        <f t="shared" si="7"/>
        <v>56335.986173104189</v>
      </c>
      <c r="AP16" s="205">
        <f t="shared" si="7"/>
        <v>56335.986173104189</v>
      </c>
      <c r="AQ16" s="205">
        <f t="shared" si="7"/>
        <v>56335.986173104189</v>
      </c>
      <c r="AR16" s="205">
        <f t="shared" si="7"/>
        <v>56335.986173104189</v>
      </c>
      <c r="AS16" s="205">
        <f t="shared" si="7"/>
        <v>56335.986173104189</v>
      </c>
      <c r="AT16" s="205">
        <f t="shared" si="7"/>
        <v>70425.674076600117</v>
      </c>
      <c r="AU16" s="205">
        <f t="shared" si="7"/>
        <v>70425.674076600117</v>
      </c>
      <c r="AV16" s="205">
        <f t="shared" si="7"/>
        <v>70425.674076600117</v>
      </c>
      <c r="AW16" s="205">
        <f t="shared" si="7"/>
        <v>70425.674076600117</v>
      </c>
      <c r="AX16" s="205">
        <f t="shared" si="8"/>
        <v>70425.674076600117</v>
      </c>
      <c r="AY16" s="205">
        <f t="shared" si="8"/>
        <v>70425.674076600117</v>
      </c>
      <c r="AZ16" s="205">
        <f t="shared" si="8"/>
        <v>70425.674076600117</v>
      </c>
      <c r="BA16" s="205">
        <f t="shared" si="8"/>
        <v>70425.674076600117</v>
      </c>
      <c r="BB16" s="205">
        <f t="shared" si="8"/>
        <v>70425.674076600117</v>
      </c>
      <c r="BC16" s="205">
        <f t="shared" si="8"/>
        <v>70425.674076600117</v>
      </c>
      <c r="BD16" s="205">
        <f t="shared" si="8"/>
        <v>70425.674076600117</v>
      </c>
      <c r="BE16" s="205">
        <f t="shared" si="8"/>
        <v>70425.674076600117</v>
      </c>
      <c r="BF16" s="205">
        <f t="shared" si="8"/>
        <v>70425.674076600117</v>
      </c>
      <c r="BG16" s="205">
        <f t="shared" si="8"/>
        <v>70425.674076600117</v>
      </c>
      <c r="BH16" s="205">
        <f t="shared" si="8"/>
        <v>70425.674076600117</v>
      </c>
      <c r="BI16" s="205">
        <f t="shared" si="8"/>
        <v>70425.674076600117</v>
      </c>
      <c r="BJ16" s="205">
        <f t="shared" si="8"/>
        <v>70425.674076600117</v>
      </c>
      <c r="BK16" s="205">
        <f t="shared" si="8"/>
        <v>70425.674076600117</v>
      </c>
      <c r="BL16" s="205">
        <f t="shared" si="8"/>
        <v>70425.674076600117</v>
      </c>
      <c r="BM16" s="205">
        <f t="shared" si="8"/>
        <v>70425.674076600117</v>
      </c>
      <c r="BN16" s="205">
        <f t="shared" si="8"/>
        <v>70425.674076600117</v>
      </c>
      <c r="BO16" s="205">
        <f t="shared" si="8"/>
        <v>70425.674076600117</v>
      </c>
      <c r="BP16" s="205">
        <f t="shared" si="8"/>
        <v>70425.674076600117</v>
      </c>
      <c r="BQ16" s="205">
        <f t="shared" si="8"/>
        <v>70425.674076600117</v>
      </c>
      <c r="BR16" s="205">
        <f t="shared" si="8"/>
        <v>70425.674076600117</v>
      </c>
      <c r="BS16" s="205">
        <f t="shared" si="8"/>
        <v>70425.674076600117</v>
      </c>
      <c r="BT16" s="205">
        <f t="shared" si="8"/>
        <v>70425.674076600117</v>
      </c>
      <c r="BU16" s="205">
        <f t="shared" si="8"/>
        <v>70425.674076600117</v>
      </c>
      <c r="BV16" s="205">
        <f t="shared" si="8"/>
        <v>70425.674076600117</v>
      </c>
      <c r="BW16" s="205">
        <f t="shared" si="8"/>
        <v>70425.674076600117</v>
      </c>
      <c r="BX16" s="205">
        <f t="shared" si="8"/>
        <v>70425.674076600117</v>
      </c>
      <c r="BY16" s="205">
        <f t="shared" si="8"/>
        <v>70425.674076600117</v>
      </c>
      <c r="BZ16" s="205">
        <f t="shared" si="8"/>
        <v>70425.674076600117</v>
      </c>
      <c r="CA16" s="205">
        <f t="shared" ref="CA16:CB18" si="10">IF(CA$2&lt;=($B$2+$C$2+$D$2),IF(CA$2&lt;=($B$2+$C$2),IF(CA$2&lt;=$B$2,$B16,$C16),$D16),$E16)</f>
        <v>70425.674076600117</v>
      </c>
      <c r="CB16" s="205">
        <f t="shared" si="10"/>
        <v>70425.674076600117</v>
      </c>
      <c r="CC16" s="205">
        <f t="shared" si="9"/>
        <v>70425.674076600117</v>
      </c>
      <c r="CD16" s="205">
        <f t="shared" si="9"/>
        <v>70425.674076600117</v>
      </c>
      <c r="CE16" s="205">
        <f t="shared" si="9"/>
        <v>70425.674076600117</v>
      </c>
      <c r="CF16" s="205">
        <f t="shared" si="9"/>
        <v>70425.674076600117</v>
      </c>
      <c r="CG16" s="205">
        <f t="shared" si="9"/>
        <v>137822.7596082073</v>
      </c>
      <c r="CH16" s="205">
        <f t="shared" si="9"/>
        <v>137822.7596082073</v>
      </c>
      <c r="CI16" s="205">
        <f t="shared" si="9"/>
        <v>137822.7596082073</v>
      </c>
      <c r="CJ16" s="205">
        <f t="shared" si="9"/>
        <v>137822.7596082073</v>
      </c>
      <c r="CK16" s="205">
        <f t="shared" si="9"/>
        <v>137822.7596082073</v>
      </c>
      <c r="CL16" s="205">
        <f t="shared" si="9"/>
        <v>137822.7596082073</v>
      </c>
      <c r="CM16" s="205">
        <f t="shared" si="9"/>
        <v>137822.7596082073</v>
      </c>
      <c r="CN16" s="205">
        <f t="shared" si="9"/>
        <v>137822.7596082073</v>
      </c>
      <c r="CO16" s="205">
        <f t="shared" si="9"/>
        <v>137822.7596082073</v>
      </c>
      <c r="CP16" s="205">
        <f t="shared" si="9"/>
        <v>137822.7596082073</v>
      </c>
      <c r="CQ16" s="205">
        <f t="shared" si="9"/>
        <v>137822.7596082073</v>
      </c>
      <c r="CR16" s="205">
        <f t="shared" si="9"/>
        <v>137822.7596082073</v>
      </c>
      <c r="CS16" s="205">
        <f t="shared" ref="CS16:DA18" si="11">IF(CS$2&lt;=($B$2+$C$2+$D$2),IF(CS$2&lt;=($B$2+$C$2),IF(CS$2&lt;=$B$2,$B16,$C16),$D16),$E16)</f>
        <v>137822.7596082073</v>
      </c>
      <c r="CT16" s="205">
        <f t="shared" si="11"/>
        <v>137822.7596082073</v>
      </c>
      <c r="CU16" s="205">
        <f t="shared" si="11"/>
        <v>137822.7596082073</v>
      </c>
      <c r="CV16" s="205">
        <f t="shared" si="11"/>
        <v>137822.7596082073</v>
      </c>
      <c r="CW16" s="205">
        <f t="shared" si="11"/>
        <v>137822.7596082073</v>
      </c>
      <c r="CX16" s="205">
        <f t="shared" si="11"/>
        <v>137822.7596082073</v>
      </c>
      <c r="CY16" s="205">
        <f t="shared" si="11"/>
        <v>137822.7596082073</v>
      </c>
      <c r="CZ16" s="205">
        <f t="shared" si="11"/>
        <v>137822.7596082073</v>
      </c>
      <c r="DA16" s="205">
        <f t="shared" si="11"/>
        <v>137822.7596082073</v>
      </c>
      <c r="DB16" s="205"/>
    </row>
    <row r="17" spans="1:105">
      <c r="A17" s="202" t="s">
        <v>101</v>
      </c>
      <c r="B17" s="204">
        <f>Income!B89</f>
        <v>33489.867316657939</v>
      </c>
      <c r="C17" s="204">
        <f>Income!C89</f>
        <v>33489.867316657932</v>
      </c>
      <c r="D17" s="204">
        <f>Income!D89</f>
        <v>33489.867316657939</v>
      </c>
      <c r="E17" s="204">
        <f>Income!E89</f>
        <v>0</v>
      </c>
      <c r="F17" s="205">
        <f t="shared" si="4"/>
        <v>33489.867316657939</v>
      </c>
      <c r="G17" s="205">
        <f t="shared" si="4"/>
        <v>33489.867316657939</v>
      </c>
      <c r="H17" s="205">
        <f t="shared" si="4"/>
        <v>33489.867316657939</v>
      </c>
      <c r="I17" s="205">
        <f t="shared" si="4"/>
        <v>33489.867316657939</v>
      </c>
      <c r="J17" s="205">
        <f t="shared" si="4"/>
        <v>33489.867316657939</v>
      </c>
      <c r="K17" s="205">
        <f t="shared" si="4"/>
        <v>33489.867316657939</v>
      </c>
      <c r="L17" s="205">
        <f t="shared" si="4"/>
        <v>33489.867316657939</v>
      </c>
      <c r="M17" s="205">
        <f t="shared" si="4"/>
        <v>33489.867316657939</v>
      </c>
      <c r="N17" s="205">
        <f t="shared" si="4"/>
        <v>33489.867316657939</v>
      </c>
      <c r="O17" s="205">
        <f t="shared" si="4"/>
        <v>33489.867316657939</v>
      </c>
      <c r="P17" s="205">
        <f t="shared" si="4"/>
        <v>33489.867316657939</v>
      </c>
      <c r="Q17" s="205">
        <f t="shared" si="4"/>
        <v>33489.867316657939</v>
      </c>
      <c r="R17" s="205">
        <f t="shared" si="4"/>
        <v>33489.867316657939</v>
      </c>
      <c r="S17" s="205">
        <f t="shared" si="4"/>
        <v>33489.867316657939</v>
      </c>
      <c r="T17" s="205">
        <f t="shared" si="4"/>
        <v>33489.867316657939</v>
      </c>
      <c r="U17" s="205">
        <f t="shared" si="4"/>
        <v>33489.867316657939</v>
      </c>
      <c r="V17" s="205">
        <f t="shared" si="6"/>
        <v>33489.867316657939</v>
      </c>
      <c r="W17" s="205">
        <f t="shared" si="6"/>
        <v>33489.867316657939</v>
      </c>
      <c r="X17" s="205">
        <f t="shared" si="6"/>
        <v>33489.867316657939</v>
      </c>
      <c r="Y17" s="205">
        <f t="shared" si="6"/>
        <v>33489.867316657939</v>
      </c>
      <c r="Z17" s="205">
        <f t="shared" si="6"/>
        <v>33489.867316657939</v>
      </c>
      <c r="AA17" s="205">
        <f t="shared" si="6"/>
        <v>33489.867316657939</v>
      </c>
      <c r="AB17" s="205">
        <f t="shared" si="6"/>
        <v>33489.867316657939</v>
      </c>
      <c r="AC17" s="205">
        <f t="shared" si="6"/>
        <v>33489.867316657939</v>
      </c>
      <c r="AD17" s="205">
        <f t="shared" si="6"/>
        <v>33489.867316657939</v>
      </c>
      <c r="AE17" s="205">
        <f t="shared" si="6"/>
        <v>33489.867316657939</v>
      </c>
      <c r="AF17" s="205">
        <f t="shared" si="6"/>
        <v>33489.867316657939</v>
      </c>
      <c r="AG17" s="205">
        <f t="shared" si="6"/>
        <v>33489.867316657939</v>
      </c>
      <c r="AH17" s="205">
        <f t="shared" si="6"/>
        <v>33489.867316657939</v>
      </c>
      <c r="AI17" s="205">
        <f t="shared" si="6"/>
        <v>33489.867316657939</v>
      </c>
      <c r="AJ17" s="205">
        <f t="shared" si="6"/>
        <v>33489.867316657939</v>
      </c>
      <c r="AK17" s="205">
        <f t="shared" si="6"/>
        <v>33489.867316657939</v>
      </c>
      <c r="AL17" s="205">
        <f t="shared" si="7"/>
        <v>33489.867316657939</v>
      </c>
      <c r="AM17" s="205">
        <f t="shared" si="7"/>
        <v>33489.867316657939</v>
      </c>
      <c r="AN17" s="205">
        <f t="shared" si="7"/>
        <v>33489.867316657939</v>
      </c>
      <c r="AO17" s="205">
        <f t="shared" si="7"/>
        <v>33489.867316657939</v>
      </c>
      <c r="AP17" s="205">
        <f t="shared" si="7"/>
        <v>33489.867316657939</v>
      </c>
      <c r="AQ17" s="205">
        <f t="shared" si="7"/>
        <v>33489.867316657939</v>
      </c>
      <c r="AR17" s="205">
        <f t="shared" si="7"/>
        <v>33489.867316657939</v>
      </c>
      <c r="AS17" s="205">
        <f t="shared" si="7"/>
        <v>33489.867316657939</v>
      </c>
      <c r="AT17" s="205">
        <f t="shared" si="7"/>
        <v>33489.867316657932</v>
      </c>
      <c r="AU17" s="205">
        <f t="shared" si="7"/>
        <v>33489.867316657932</v>
      </c>
      <c r="AV17" s="205">
        <f t="shared" si="7"/>
        <v>33489.867316657932</v>
      </c>
      <c r="AW17" s="205">
        <f t="shared" si="7"/>
        <v>33489.867316657932</v>
      </c>
      <c r="AX17" s="205">
        <f t="shared" si="8"/>
        <v>33489.867316657932</v>
      </c>
      <c r="AY17" s="205">
        <f t="shared" si="8"/>
        <v>33489.867316657932</v>
      </c>
      <c r="AZ17" s="205">
        <f t="shared" si="8"/>
        <v>33489.867316657932</v>
      </c>
      <c r="BA17" s="205">
        <f t="shared" si="8"/>
        <v>33489.867316657932</v>
      </c>
      <c r="BB17" s="205">
        <f t="shared" si="8"/>
        <v>33489.867316657932</v>
      </c>
      <c r="BC17" s="205">
        <f t="shared" si="8"/>
        <v>33489.867316657932</v>
      </c>
      <c r="BD17" s="205">
        <f t="shared" si="8"/>
        <v>33489.867316657932</v>
      </c>
      <c r="BE17" s="205">
        <f t="shared" si="8"/>
        <v>33489.867316657932</v>
      </c>
      <c r="BF17" s="205">
        <f t="shared" si="8"/>
        <v>33489.867316657932</v>
      </c>
      <c r="BG17" s="205">
        <f t="shared" si="8"/>
        <v>33489.867316657932</v>
      </c>
      <c r="BH17" s="205">
        <f t="shared" si="8"/>
        <v>33489.867316657932</v>
      </c>
      <c r="BI17" s="205">
        <f t="shared" si="8"/>
        <v>33489.867316657932</v>
      </c>
      <c r="BJ17" s="205">
        <f t="shared" si="8"/>
        <v>33489.867316657932</v>
      </c>
      <c r="BK17" s="205">
        <f t="shared" si="8"/>
        <v>33489.867316657932</v>
      </c>
      <c r="BL17" s="205">
        <f t="shared" si="8"/>
        <v>33489.867316657932</v>
      </c>
      <c r="BM17" s="205">
        <f t="shared" si="8"/>
        <v>33489.867316657932</v>
      </c>
      <c r="BN17" s="205">
        <f t="shared" si="8"/>
        <v>33489.867316657932</v>
      </c>
      <c r="BO17" s="205">
        <f t="shared" si="8"/>
        <v>33489.867316657932</v>
      </c>
      <c r="BP17" s="205">
        <f t="shared" si="8"/>
        <v>33489.867316657932</v>
      </c>
      <c r="BQ17" s="205">
        <f t="shared" si="8"/>
        <v>33489.867316657932</v>
      </c>
      <c r="BR17" s="205">
        <f t="shared" si="8"/>
        <v>33489.867316657932</v>
      </c>
      <c r="BS17" s="205">
        <f t="shared" si="8"/>
        <v>33489.867316657932</v>
      </c>
      <c r="BT17" s="205">
        <f t="shared" si="8"/>
        <v>33489.867316657932</v>
      </c>
      <c r="BU17" s="205">
        <f t="shared" si="8"/>
        <v>33489.867316657932</v>
      </c>
      <c r="BV17" s="205">
        <f t="shared" si="8"/>
        <v>33489.867316657932</v>
      </c>
      <c r="BW17" s="205">
        <f t="shared" si="8"/>
        <v>33489.867316657932</v>
      </c>
      <c r="BX17" s="205">
        <f t="shared" si="8"/>
        <v>33489.867316657932</v>
      </c>
      <c r="BY17" s="205">
        <f t="shared" si="8"/>
        <v>33489.867316657932</v>
      </c>
      <c r="BZ17" s="205">
        <f t="shared" si="8"/>
        <v>33489.867316657932</v>
      </c>
      <c r="CA17" s="205">
        <f t="shared" si="10"/>
        <v>33489.867316657932</v>
      </c>
      <c r="CB17" s="205">
        <f t="shared" si="10"/>
        <v>33489.867316657932</v>
      </c>
      <c r="CC17" s="205">
        <f t="shared" si="9"/>
        <v>33489.867316657932</v>
      </c>
      <c r="CD17" s="205">
        <f t="shared" si="9"/>
        <v>33489.867316657932</v>
      </c>
      <c r="CE17" s="205">
        <f t="shared" si="9"/>
        <v>33489.867316657932</v>
      </c>
      <c r="CF17" s="205">
        <f t="shared" si="9"/>
        <v>33489.867316657932</v>
      </c>
      <c r="CG17" s="205">
        <f t="shared" si="9"/>
        <v>33489.867316657939</v>
      </c>
      <c r="CH17" s="205">
        <f t="shared" si="9"/>
        <v>33489.867316657939</v>
      </c>
      <c r="CI17" s="205">
        <f t="shared" si="9"/>
        <v>33489.867316657939</v>
      </c>
      <c r="CJ17" s="205">
        <f t="shared" si="9"/>
        <v>33489.867316657939</v>
      </c>
      <c r="CK17" s="205">
        <f t="shared" si="9"/>
        <v>33489.867316657939</v>
      </c>
      <c r="CL17" s="205">
        <f t="shared" si="9"/>
        <v>33489.867316657939</v>
      </c>
      <c r="CM17" s="205">
        <f t="shared" si="9"/>
        <v>33489.867316657939</v>
      </c>
      <c r="CN17" s="205">
        <f t="shared" si="9"/>
        <v>33489.867316657939</v>
      </c>
      <c r="CO17" s="205">
        <f t="shared" si="9"/>
        <v>33489.867316657939</v>
      </c>
      <c r="CP17" s="205">
        <f t="shared" si="9"/>
        <v>33489.867316657939</v>
      </c>
      <c r="CQ17" s="205">
        <f t="shared" si="9"/>
        <v>33489.867316657939</v>
      </c>
      <c r="CR17" s="205">
        <f t="shared" si="9"/>
        <v>33489.867316657939</v>
      </c>
      <c r="CS17" s="205">
        <f t="shared" si="11"/>
        <v>33489.867316657939</v>
      </c>
      <c r="CT17" s="205">
        <f t="shared" si="11"/>
        <v>33489.867316657939</v>
      </c>
      <c r="CU17" s="205">
        <f t="shared" si="11"/>
        <v>33489.867316657939</v>
      </c>
      <c r="CV17" s="205">
        <f t="shared" si="11"/>
        <v>33489.867316657939</v>
      </c>
      <c r="CW17" s="205">
        <f t="shared" si="11"/>
        <v>33489.867316657939</v>
      </c>
      <c r="CX17" s="205">
        <f t="shared" si="11"/>
        <v>33489.867316657939</v>
      </c>
      <c r="CY17" s="205">
        <f t="shared" si="11"/>
        <v>33489.867316657939</v>
      </c>
      <c r="CZ17" s="205">
        <f t="shared" si="11"/>
        <v>33489.867316657939</v>
      </c>
      <c r="DA17" s="205">
        <f t="shared" si="11"/>
        <v>33489.867316657939</v>
      </c>
    </row>
    <row r="18" spans="1:105">
      <c r="A18" s="202" t="s">
        <v>85</v>
      </c>
      <c r="B18" s="204">
        <f>Income!B90</f>
        <v>51872.693983324607</v>
      </c>
      <c r="C18" s="204">
        <f>Income!C90</f>
        <v>51872.693983324607</v>
      </c>
      <c r="D18" s="204">
        <f>Income!D90</f>
        <v>51872.693983324607</v>
      </c>
      <c r="E18" s="204">
        <f>Income!E90</f>
        <v>0</v>
      </c>
      <c r="F18" s="205">
        <f t="shared" ref="F18:U18" si="12">IF(F$2&lt;=($B$2+$C$2+$D$2),IF(F$2&lt;=($B$2+$C$2),IF(F$2&lt;=$B$2,$B18,$C18),$D18),$E18)</f>
        <v>51872.693983324607</v>
      </c>
      <c r="G18" s="205">
        <f t="shared" si="12"/>
        <v>51872.693983324607</v>
      </c>
      <c r="H18" s="205">
        <f t="shared" si="12"/>
        <v>51872.693983324607</v>
      </c>
      <c r="I18" s="205">
        <f t="shared" si="12"/>
        <v>51872.693983324607</v>
      </c>
      <c r="J18" s="205">
        <f t="shared" si="12"/>
        <v>51872.693983324607</v>
      </c>
      <c r="K18" s="205">
        <f t="shared" si="12"/>
        <v>51872.693983324607</v>
      </c>
      <c r="L18" s="205">
        <f t="shared" si="12"/>
        <v>51872.693983324607</v>
      </c>
      <c r="M18" s="205">
        <f t="shared" si="12"/>
        <v>51872.693983324607</v>
      </c>
      <c r="N18" s="205">
        <f t="shared" si="12"/>
        <v>51872.693983324607</v>
      </c>
      <c r="O18" s="205">
        <f t="shared" si="12"/>
        <v>51872.693983324607</v>
      </c>
      <c r="P18" s="205">
        <f t="shared" si="12"/>
        <v>51872.693983324607</v>
      </c>
      <c r="Q18" s="205">
        <f t="shared" si="12"/>
        <v>51872.693983324607</v>
      </c>
      <c r="R18" s="205">
        <f t="shared" si="12"/>
        <v>51872.693983324607</v>
      </c>
      <c r="S18" s="205">
        <f t="shared" si="12"/>
        <v>51872.693983324607</v>
      </c>
      <c r="T18" s="205">
        <f t="shared" si="12"/>
        <v>51872.693983324607</v>
      </c>
      <c r="U18" s="205">
        <f t="shared" si="12"/>
        <v>51872.693983324607</v>
      </c>
      <c r="V18" s="205">
        <f t="shared" si="6"/>
        <v>51872.693983324607</v>
      </c>
      <c r="W18" s="205">
        <f t="shared" si="6"/>
        <v>51872.693983324607</v>
      </c>
      <c r="X18" s="205">
        <f t="shared" si="6"/>
        <v>51872.693983324607</v>
      </c>
      <c r="Y18" s="205">
        <f t="shared" si="6"/>
        <v>51872.693983324607</v>
      </c>
      <c r="Z18" s="205">
        <f t="shared" si="6"/>
        <v>51872.693983324607</v>
      </c>
      <c r="AA18" s="205">
        <f t="shared" si="6"/>
        <v>51872.693983324607</v>
      </c>
      <c r="AB18" s="205">
        <f t="shared" si="6"/>
        <v>51872.693983324607</v>
      </c>
      <c r="AC18" s="205">
        <f t="shared" si="6"/>
        <v>51872.693983324607</v>
      </c>
      <c r="AD18" s="205">
        <f t="shared" si="6"/>
        <v>51872.693983324607</v>
      </c>
      <c r="AE18" s="205">
        <f t="shared" si="6"/>
        <v>51872.693983324607</v>
      </c>
      <c r="AF18" s="205">
        <f t="shared" si="6"/>
        <v>51872.693983324607</v>
      </c>
      <c r="AG18" s="205">
        <f t="shared" si="6"/>
        <v>51872.693983324607</v>
      </c>
      <c r="AH18" s="205">
        <f t="shared" si="6"/>
        <v>51872.693983324607</v>
      </c>
      <c r="AI18" s="205">
        <f t="shared" si="6"/>
        <v>51872.693983324607</v>
      </c>
      <c r="AJ18" s="205">
        <f t="shared" si="6"/>
        <v>51872.693983324607</v>
      </c>
      <c r="AK18" s="205">
        <f t="shared" si="6"/>
        <v>51872.693983324607</v>
      </c>
      <c r="AL18" s="205">
        <f t="shared" si="7"/>
        <v>51872.693983324607</v>
      </c>
      <c r="AM18" s="205">
        <f t="shared" si="7"/>
        <v>51872.693983324607</v>
      </c>
      <c r="AN18" s="205">
        <f t="shared" si="7"/>
        <v>51872.693983324607</v>
      </c>
      <c r="AO18" s="205">
        <f t="shared" si="7"/>
        <v>51872.693983324607</v>
      </c>
      <c r="AP18" s="205">
        <f t="shared" si="7"/>
        <v>51872.693983324607</v>
      </c>
      <c r="AQ18" s="205">
        <f t="shared" si="7"/>
        <v>51872.693983324607</v>
      </c>
      <c r="AR18" s="205">
        <f t="shared" si="7"/>
        <v>51872.693983324607</v>
      </c>
      <c r="AS18" s="205">
        <f t="shared" si="7"/>
        <v>51872.693983324607</v>
      </c>
      <c r="AT18" s="205">
        <f t="shared" si="7"/>
        <v>51872.693983324607</v>
      </c>
      <c r="AU18" s="205">
        <f t="shared" si="7"/>
        <v>51872.693983324607</v>
      </c>
      <c r="AV18" s="205">
        <f t="shared" si="7"/>
        <v>51872.693983324607</v>
      </c>
      <c r="AW18" s="205">
        <f t="shared" si="7"/>
        <v>51872.693983324607</v>
      </c>
      <c r="AX18" s="205">
        <f t="shared" si="8"/>
        <v>51872.693983324607</v>
      </c>
      <c r="AY18" s="205">
        <f t="shared" si="8"/>
        <v>51872.693983324607</v>
      </c>
      <c r="AZ18" s="205">
        <f t="shared" si="8"/>
        <v>51872.693983324607</v>
      </c>
      <c r="BA18" s="205">
        <f t="shared" si="8"/>
        <v>51872.693983324607</v>
      </c>
      <c r="BB18" s="205">
        <f t="shared" si="8"/>
        <v>51872.693983324607</v>
      </c>
      <c r="BC18" s="205">
        <f t="shared" si="8"/>
        <v>51872.693983324607</v>
      </c>
      <c r="BD18" s="205">
        <f t="shared" si="8"/>
        <v>51872.693983324607</v>
      </c>
      <c r="BE18" s="205">
        <f t="shared" si="8"/>
        <v>51872.693983324607</v>
      </c>
      <c r="BF18" s="205">
        <f t="shared" si="8"/>
        <v>51872.693983324607</v>
      </c>
      <c r="BG18" s="205">
        <f t="shared" si="8"/>
        <v>51872.693983324607</v>
      </c>
      <c r="BH18" s="205">
        <f t="shared" si="8"/>
        <v>51872.693983324607</v>
      </c>
      <c r="BI18" s="205">
        <f t="shared" si="8"/>
        <v>51872.693983324607</v>
      </c>
      <c r="BJ18" s="205">
        <f t="shared" si="8"/>
        <v>51872.693983324607</v>
      </c>
      <c r="BK18" s="205">
        <f t="shared" si="8"/>
        <v>51872.693983324607</v>
      </c>
      <c r="BL18" s="205">
        <f t="shared" ref="BL18:BZ18" si="13">IF(BL$2&lt;=($B$2+$C$2+$D$2),IF(BL$2&lt;=($B$2+$C$2),IF(BL$2&lt;=$B$2,$B18,$C18),$D18),$E18)</f>
        <v>51872.693983324607</v>
      </c>
      <c r="BM18" s="205">
        <f t="shared" si="13"/>
        <v>51872.693983324607</v>
      </c>
      <c r="BN18" s="205">
        <f t="shared" si="13"/>
        <v>51872.693983324607</v>
      </c>
      <c r="BO18" s="205">
        <f t="shared" si="13"/>
        <v>51872.693983324607</v>
      </c>
      <c r="BP18" s="205">
        <f t="shared" si="13"/>
        <v>51872.693983324607</v>
      </c>
      <c r="BQ18" s="205">
        <f t="shared" si="13"/>
        <v>51872.693983324607</v>
      </c>
      <c r="BR18" s="205">
        <f t="shared" si="13"/>
        <v>51872.693983324607</v>
      </c>
      <c r="BS18" s="205">
        <f t="shared" si="13"/>
        <v>51872.693983324607</v>
      </c>
      <c r="BT18" s="205">
        <f t="shared" si="13"/>
        <v>51872.693983324607</v>
      </c>
      <c r="BU18" s="205">
        <f t="shared" si="13"/>
        <v>51872.693983324607</v>
      </c>
      <c r="BV18" s="205">
        <f t="shared" si="13"/>
        <v>51872.693983324607</v>
      </c>
      <c r="BW18" s="205">
        <f t="shared" si="13"/>
        <v>51872.693983324607</v>
      </c>
      <c r="BX18" s="205">
        <f t="shared" si="13"/>
        <v>51872.693983324607</v>
      </c>
      <c r="BY18" s="205">
        <f t="shared" si="13"/>
        <v>51872.693983324607</v>
      </c>
      <c r="BZ18" s="205">
        <f t="shared" si="13"/>
        <v>51872.693983324607</v>
      </c>
      <c r="CA18" s="205">
        <f t="shared" si="10"/>
        <v>51872.693983324607</v>
      </c>
      <c r="CB18" s="205">
        <f t="shared" si="10"/>
        <v>51872.693983324607</v>
      </c>
      <c r="CC18" s="205">
        <f t="shared" si="9"/>
        <v>51872.693983324607</v>
      </c>
      <c r="CD18" s="205">
        <f t="shared" si="9"/>
        <v>51872.693983324607</v>
      </c>
      <c r="CE18" s="205">
        <f t="shared" si="9"/>
        <v>51872.693983324607</v>
      </c>
      <c r="CF18" s="205">
        <f t="shared" si="9"/>
        <v>51872.693983324607</v>
      </c>
      <c r="CG18" s="205">
        <f t="shared" si="9"/>
        <v>51872.693983324607</v>
      </c>
      <c r="CH18" s="205">
        <f t="shared" si="9"/>
        <v>51872.693983324607</v>
      </c>
      <c r="CI18" s="205">
        <f t="shared" si="9"/>
        <v>51872.693983324607</v>
      </c>
      <c r="CJ18" s="205">
        <f t="shared" si="9"/>
        <v>51872.693983324607</v>
      </c>
      <c r="CK18" s="205">
        <f t="shared" si="9"/>
        <v>51872.693983324607</v>
      </c>
      <c r="CL18" s="205">
        <f t="shared" si="9"/>
        <v>51872.693983324607</v>
      </c>
      <c r="CM18" s="205">
        <f t="shared" si="9"/>
        <v>51872.693983324607</v>
      </c>
      <c r="CN18" s="205">
        <f t="shared" si="9"/>
        <v>51872.693983324607</v>
      </c>
      <c r="CO18" s="205">
        <f t="shared" si="9"/>
        <v>51872.693983324607</v>
      </c>
      <c r="CP18" s="205">
        <f t="shared" si="9"/>
        <v>51872.693983324607</v>
      </c>
      <c r="CQ18" s="205">
        <f t="shared" si="9"/>
        <v>51872.693983324607</v>
      </c>
      <c r="CR18" s="205">
        <f t="shared" si="9"/>
        <v>51872.693983324607</v>
      </c>
      <c r="CS18" s="205">
        <f t="shared" si="11"/>
        <v>51872.693983324607</v>
      </c>
      <c r="CT18" s="205">
        <f t="shared" si="11"/>
        <v>51872.693983324607</v>
      </c>
      <c r="CU18" s="205">
        <f t="shared" si="11"/>
        <v>51872.693983324607</v>
      </c>
      <c r="CV18" s="205">
        <f t="shared" si="11"/>
        <v>51872.693983324607</v>
      </c>
      <c r="CW18" s="205">
        <f t="shared" si="11"/>
        <v>51872.693983324607</v>
      </c>
      <c r="CX18" s="205">
        <f t="shared" si="11"/>
        <v>51872.693983324607</v>
      </c>
      <c r="CY18" s="205">
        <f t="shared" si="11"/>
        <v>51872.693983324607</v>
      </c>
      <c r="CZ18" s="205">
        <f t="shared" si="11"/>
        <v>51872.693983324607</v>
      </c>
      <c r="DA18" s="205">
        <f t="shared" si="11"/>
        <v>51872.693983324607</v>
      </c>
    </row>
    <row r="19" spans="1:105">
      <c r="A19" s="202" t="s">
        <v>116</v>
      </c>
      <c r="F19" s="202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2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2" t="str">
        <f t="shared" si="14"/>
        <v/>
      </c>
      <c r="I19" s="202" t="str">
        <f t="shared" si="14"/>
        <v/>
      </c>
      <c r="J19" s="202" t="str">
        <f t="shared" si="14"/>
        <v/>
      </c>
      <c r="K19" s="202" t="str">
        <f t="shared" si="14"/>
        <v/>
      </c>
      <c r="L19" s="202" t="str">
        <f t="shared" si="14"/>
        <v/>
      </c>
      <c r="M19" s="202" t="str">
        <f t="shared" si="14"/>
        <v/>
      </c>
      <c r="N19" s="202" t="str">
        <f t="shared" si="14"/>
        <v/>
      </c>
      <c r="O19" s="202" t="str">
        <f t="shared" si="14"/>
        <v/>
      </c>
      <c r="P19" s="202" t="str">
        <f t="shared" si="14"/>
        <v/>
      </c>
      <c r="Q19" s="202" t="str">
        <f t="shared" si="14"/>
        <v/>
      </c>
      <c r="R19" s="202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2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2" t="str">
        <f t="shared" si="14"/>
        <v/>
      </c>
      <c r="U19" s="202" t="str">
        <f t="shared" si="14"/>
        <v/>
      </c>
      <c r="V19" s="202" t="str">
        <f t="shared" si="14"/>
        <v/>
      </c>
      <c r="W19" s="202" t="str">
        <f t="shared" si="14"/>
        <v/>
      </c>
      <c r="X19" s="202" t="str">
        <f t="shared" si="14"/>
        <v/>
      </c>
      <c r="Y19" s="202" t="str">
        <f t="shared" si="14"/>
        <v/>
      </c>
      <c r="Z19" s="202">
        <f t="shared" si="14"/>
        <v>56335.986173104189</v>
      </c>
      <c r="AA19" s="202">
        <f t="shared" si="14"/>
        <v>56692.687132686362</v>
      </c>
      <c r="AB19" s="202">
        <f t="shared" si="14"/>
        <v>57049.388092268542</v>
      </c>
      <c r="AC19" s="202">
        <f t="shared" si="14"/>
        <v>57406.089051850715</v>
      </c>
      <c r="AD19" s="202">
        <f t="shared" si="14"/>
        <v>57762.790011432888</v>
      </c>
      <c r="AE19" s="202">
        <f t="shared" si="14"/>
        <v>58119.490971015068</v>
      </c>
      <c r="AF19" s="202">
        <f t="shared" si="14"/>
        <v>58476.191930597241</v>
      </c>
      <c r="AG19" s="202">
        <f t="shared" si="14"/>
        <v>58832.892890179413</v>
      </c>
      <c r="AH19" s="202">
        <f t="shared" si="14"/>
        <v>59189.593849761593</v>
      </c>
      <c r="AI19" s="202">
        <f t="shared" si="14"/>
        <v>59546.294809343766</v>
      </c>
      <c r="AJ19" s="202">
        <f t="shared" si="14"/>
        <v>59902.995768925946</v>
      </c>
      <c r="AK19" s="202">
        <f t="shared" si="14"/>
        <v>60259.696728508119</v>
      </c>
      <c r="AL19" s="202">
        <f t="shared" si="14"/>
        <v>60616.397688090292</v>
      </c>
      <c r="AM19" s="202">
        <f t="shared" si="14"/>
        <v>60973.098647672472</v>
      </c>
      <c r="AN19" s="202">
        <f t="shared" si="14"/>
        <v>61329.799607254645</v>
      </c>
      <c r="AO19" s="202">
        <f t="shared" si="14"/>
        <v>61686.500566836818</v>
      </c>
      <c r="AP19" s="202">
        <f t="shared" si="14"/>
        <v>62043.201526418998</v>
      </c>
      <c r="AQ19" s="202">
        <f t="shared" si="14"/>
        <v>62399.90248600117</v>
      </c>
      <c r="AR19" s="202">
        <f t="shared" si="14"/>
        <v>62756.603445583343</v>
      </c>
      <c r="AS19" s="202">
        <f t="shared" si="14"/>
        <v>63113.304405165523</v>
      </c>
      <c r="AT19" s="202">
        <f t="shared" si="14"/>
        <v>63470.005364747696</v>
      </c>
      <c r="AU19" s="202">
        <f t="shared" si="14"/>
        <v>63826.706324329869</v>
      </c>
      <c r="AV19" s="202">
        <f t="shared" si="14"/>
        <v>64183.407283912049</v>
      </c>
      <c r="AW19" s="202">
        <f t="shared" si="14"/>
        <v>64540.108243494222</v>
      </c>
      <c r="AX19" s="202">
        <f t="shared" si="14"/>
        <v>64896.809203076395</v>
      </c>
      <c r="AY19" s="202">
        <f t="shared" si="14"/>
        <v>65253.510162658575</v>
      </c>
      <c r="AZ19" s="202">
        <f t="shared" si="14"/>
        <v>65610.211122240755</v>
      </c>
      <c r="BA19" s="202">
        <f t="shared" si="14"/>
        <v>65966.912081822928</v>
      </c>
      <c r="BB19" s="202">
        <f t="shared" si="14"/>
        <v>66323.6130414051</v>
      </c>
      <c r="BC19" s="202">
        <f t="shared" si="14"/>
        <v>66680.314000987273</v>
      </c>
      <c r="BD19" s="202">
        <f t="shared" si="14"/>
        <v>67037.014960569446</v>
      </c>
      <c r="BE19" s="202">
        <f t="shared" si="14"/>
        <v>67393.715920151619</v>
      </c>
      <c r="BF19" s="202">
        <f t="shared" si="14"/>
        <v>67750.416879733806</v>
      </c>
      <c r="BG19" s="202">
        <f t="shared" si="14"/>
        <v>68107.117839315979</v>
      </c>
      <c r="BH19" s="202">
        <f t="shared" si="14"/>
        <v>68463.818798898152</v>
      </c>
      <c r="BI19" s="202">
        <f t="shared" si="14"/>
        <v>68820.519758480325</v>
      </c>
      <c r="BJ19" s="202">
        <f t="shared" si="14"/>
        <v>69177.220718062497</v>
      </c>
      <c r="BK19" s="202">
        <f t="shared" si="14"/>
        <v>69533.921677644685</v>
      </c>
      <c r="BL19" s="202">
        <f t="shared" si="14"/>
        <v>69890.622637226857</v>
      </c>
      <c r="BM19" s="202">
        <f t="shared" si="14"/>
        <v>70247.32359680903</v>
      </c>
      <c r="BN19" s="202">
        <f t="shared" si="14"/>
        <v>71548.958835460231</v>
      </c>
      <c r="BO19" s="202">
        <f t="shared" si="14"/>
        <v>73795.528353180474</v>
      </c>
      <c r="BP19" s="202">
        <f t="shared" si="14"/>
        <v>76042.097870900718</v>
      </c>
      <c r="BQ19" s="202">
        <f t="shared" si="14"/>
        <v>78288.667388620961</v>
      </c>
      <c r="BR19" s="202">
        <f t="shared" si="14"/>
        <v>80535.23690634119</v>
      </c>
      <c r="BS19" s="202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82781.806424061433</v>
      </c>
      <c r="BT19" s="202">
        <f t="shared" si="15"/>
        <v>85028.375941781676</v>
      </c>
      <c r="BU19" s="202">
        <f t="shared" si="15"/>
        <v>87274.945459501905</v>
      </c>
      <c r="BV19" s="202">
        <f t="shared" si="15"/>
        <v>89521.514977222148</v>
      </c>
      <c r="BW19" s="202">
        <f t="shared" si="15"/>
        <v>91768.084494942392</v>
      </c>
      <c r="BX19" s="202">
        <f t="shared" si="15"/>
        <v>94014.654012662621</v>
      </c>
      <c r="BY19" s="202">
        <f t="shared" si="15"/>
        <v>96261.223530382864</v>
      </c>
      <c r="BZ19" s="202">
        <f t="shared" si="15"/>
        <v>98507.793048103107</v>
      </c>
      <c r="CA19" s="202">
        <f t="shared" si="15"/>
        <v>100754.36256582335</v>
      </c>
      <c r="CB19" s="202">
        <f t="shared" si="15"/>
        <v>103000.93208354359</v>
      </c>
      <c r="CC19" s="202">
        <f t="shared" si="15"/>
        <v>105247.50160126382</v>
      </c>
      <c r="CD19" s="202">
        <f t="shared" si="15"/>
        <v>107494.07111898407</v>
      </c>
      <c r="CE19" s="202">
        <f t="shared" si="15"/>
        <v>109740.64063670431</v>
      </c>
      <c r="CF19" s="202">
        <f t="shared" si="15"/>
        <v>111987.21015442454</v>
      </c>
      <c r="CG19" s="202">
        <f t="shared" si="15"/>
        <v>114233.77967214478</v>
      </c>
      <c r="CH19" s="202">
        <f t="shared" si="15"/>
        <v>116480.34918986502</v>
      </c>
      <c r="CI19" s="202">
        <f t="shared" si="15"/>
        <v>118726.91870758525</v>
      </c>
      <c r="CJ19" s="202">
        <f t="shared" si="15"/>
        <v>120973.4882253055</v>
      </c>
      <c r="CK19" s="202">
        <f t="shared" si="15"/>
        <v>123220.05774302574</v>
      </c>
      <c r="CL19" s="202">
        <f t="shared" si="15"/>
        <v>125466.62726074597</v>
      </c>
      <c r="CM19" s="202">
        <f t="shared" si="15"/>
        <v>127713.19677846623</v>
      </c>
      <c r="CN19" s="202">
        <f t="shared" si="15"/>
        <v>129959.76629618646</v>
      </c>
      <c r="CO19" s="202">
        <f t="shared" si="15"/>
        <v>132206.33581390668</v>
      </c>
      <c r="CP19" s="202">
        <f t="shared" si="15"/>
        <v>134452.90533162694</v>
      </c>
      <c r="CQ19" s="202">
        <f t="shared" si="15"/>
        <v>136699.47484934717</v>
      </c>
      <c r="CR19" s="202">
        <f t="shared" si="15"/>
        <v>131259.77105543553</v>
      </c>
      <c r="CS19" s="202">
        <f t="shared" si="15"/>
        <v>118133.79394989197</v>
      </c>
      <c r="CT19" s="202">
        <f t="shared" si="15"/>
        <v>105007.81684434842</v>
      </c>
      <c r="CU19" s="202">
        <f t="shared" si="15"/>
        <v>91881.839738804876</v>
      </c>
      <c r="CV19" s="202">
        <f t="shared" si="15"/>
        <v>78755.862633261306</v>
      </c>
      <c r="CW19" s="202">
        <f t="shared" si="15"/>
        <v>65629.885527717764</v>
      </c>
      <c r="CX19" s="202">
        <f t="shared" si="15"/>
        <v>52503.908422174209</v>
      </c>
      <c r="CY19" s="202">
        <f t="shared" si="15"/>
        <v>39377.931316630653</v>
      </c>
      <c r="CZ19" s="202">
        <f t="shared" si="15"/>
        <v>26251.954211087112</v>
      </c>
      <c r="DA19" s="202">
        <f t="shared" si="15"/>
        <v>13125.977105543556</v>
      </c>
    </row>
    <row r="21" spans="1:105">
      <c r="B21" s="202" t="s">
        <v>97</v>
      </c>
      <c r="C21" s="202" t="s">
        <v>96</v>
      </c>
      <c r="D21" s="202" t="s">
        <v>98</v>
      </c>
      <c r="E21" s="202" t="s">
        <v>99</v>
      </c>
    </row>
    <row r="22" spans="1:105">
      <c r="B22" s="206">
        <f>B2*100</f>
        <v>40</v>
      </c>
      <c r="C22" s="206">
        <f>C2*100</f>
        <v>39</v>
      </c>
      <c r="D22" s="206">
        <f>D2*100</f>
        <v>21</v>
      </c>
      <c r="E22" s="206">
        <f>E2*100</f>
        <v>0</v>
      </c>
      <c r="F22" s="206">
        <v>0</v>
      </c>
      <c r="G22" s="206">
        <v>1</v>
      </c>
      <c r="H22" s="206">
        <v>2</v>
      </c>
      <c r="I22" s="206">
        <v>3</v>
      </c>
      <c r="J22" s="206">
        <v>4</v>
      </c>
      <c r="K22" s="206">
        <v>5</v>
      </c>
      <c r="L22" s="206">
        <v>6</v>
      </c>
      <c r="M22" s="206">
        <v>7</v>
      </c>
      <c r="N22" s="206">
        <v>8</v>
      </c>
      <c r="O22" s="206">
        <v>9</v>
      </c>
      <c r="P22" s="206">
        <v>10</v>
      </c>
      <c r="Q22" s="206">
        <v>11</v>
      </c>
      <c r="R22" s="206">
        <v>12</v>
      </c>
      <c r="S22" s="206">
        <v>13</v>
      </c>
      <c r="T22" s="206">
        <v>14</v>
      </c>
      <c r="U22" s="206">
        <v>15</v>
      </c>
      <c r="V22" s="206">
        <v>16</v>
      </c>
      <c r="W22" s="206">
        <v>17</v>
      </c>
      <c r="X22" s="206">
        <v>18</v>
      </c>
      <c r="Y22" s="206">
        <v>19</v>
      </c>
      <c r="Z22" s="206">
        <v>20</v>
      </c>
      <c r="AA22" s="206">
        <v>21</v>
      </c>
      <c r="AB22" s="206">
        <v>22</v>
      </c>
      <c r="AC22" s="206">
        <v>23</v>
      </c>
      <c r="AD22" s="206">
        <v>24</v>
      </c>
      <c r="AE22" s="206">
        <v>25</v>
      </c>
      <c r="AF22" s="206">
        <v>26</v>
      </c>
      <c r="AG22" s="206">
        <v>27</v>
      </c>
      <c r="AH22" s="206">
        <v>28</v>
      </c>
      <c r="AI22" s="206">
        <v>29</v>
      </c>
      <c r="AJ22" s="206">
        <v>30</v>
      </c>
      <c r="AK22" s="206">
        <v>31</v>
      </c>
      <c r="AL22" s="206">
        <v>32</v>
      </c>
      <c r="AM22" s="206">
        <v>33</v>
      </c>
      <c r="AN22" s="206">
        <v>34</v>
      </c>
      <c r="AO22" s="206">
        <v>35</v>
      </c>
      <c r="AP22" s="206">
        <v>36</v>
      </c>
      <c r="AQ22" s="206">
        <v>37</v>
      </c>
      <c r="AR22" s="206">
        <v>38</v>
      </c>
      <c r="AS22" s="206">
        <v>39</v>
      </c>
      <c r="AT22" s="206">
        <v>40</v>
      </c>
      <c r="AU22" s="206">
        <v>41</v>
      </c>
      <c r="AV22" s="206">
        <v>42</v>
      </c>
      <c r="AW22" s="206">
        <v>43</v>
      </c>
      <c r="AX22" s="206">
        <v>44</v>
      </c>
      <c r="AY22" s="206">
        <v>45</v>
      </c>
      <c r="AZ22" s="206">
        <v>46</v>
      </c>
      <c r="BA22" s="206">
        <v>47</v>
      </c>
      <c r="BB22" s="206">
        <v>48</v>
      </c>
      <c r="BC22" s="206">
        <v>49</v>
      </c>
      <c r="BD22" s="206">
        <v>50</v>
      </c>
      <c r="BE22" s="206">
        <v>51</v>
      </c>
      <c r="BF22" s="206">
        <v>52</v>
      </c>
      <c r="BG22" s="206">
        <v>53</v>
      </c>
      <c r="BH22" s="206">
        <v>54</v>
      </c>
      <c r="BI22" s="206">
        <v>55</v>
      </c>
      <c r="BJ22" s="206">
        <v>56</v>
      </c>
      <c r="BK22" s="206">
        <v>57</v>
      </c>
      <c r="BL22" s="206">
        <v>58</v>
      </c>
      <c r="BM22" s="206">
        <v>59</v>
      </c>
      <c r="BN22" s="206">
        <v>60</v>
      </c>
      <c r="BO22" s="206">
        <v>61</v>
      </c>
      <c r="BP22" s="206">
        <v>62</v>
      </c>
      <c r="BQ22" s="206">
        <v>63</v>
      </c>
      <c r="BR22" s="206">
        <v>64</v>
      </c>
      <c r="BS22" s="206">
        <v>65</v>
      </c>
      <c r="BT22" s="206">
        <v>66</v>
      </c>
      <c r="BU22" s="206">
        <v>67</v>
      </c>
      <c r="BV22" s="206">
        <v>68</v>
      </c>
      <c r="BW22" s="206">
        <v>69</v>
      </c>
      <c r="BX22" s="206">
        <v>70</v>
      </c>
      <c r="BY22" s="206">
        <v>71</v>
      </c>
      <c r="BZ22" s="206">
        <v>72</v>
      </c>
      <c r="CA22" s="206">
        <v>73</v>
      </c>
      <c r="CB22" s="206">
        <v>74</v>
      </c>
      <c r="CC22" s="206">
        <v>75</v>
      </c>
      <c r="CD22" s="206">
        <v>76</v>
      </c>
      <c r="CE22" s="206">
        <v>77</v>
      </c>
      <c r="CF22" s="206">
        <v>78</v>
      </c>
      <c r="CG22" s="206">
        <v>79</v>
      </c>
      <c r="CH22" s="206">
        <v>80</v>
      </c>
      <c r="CI22" s="206">
        <v>81</v>
      </c>
      <c r="CJ22" s="206">
        <v>82</v>
      </c>
      <c r="CK22" s="206">
        <v>83</v>
      </c>
      <c r="CL22" s="206">
        <v>84</v>
      </c>
      <c r="CM22" s="206">
        <v>85</v>
      </c>
      <c r="CN22" s="206">
        <v>86</v>
      </c>
      <c r="CO22" s="206">
        <v>87</v>
      </c>
      <c r="CP22" s="206">
        <v>88</v>
      </c>
      <c r="CQ22" s="206">
        <v>89</v>
      </c>
      <c r="CR22" s="206">
        <v>90</v>
      </c>
      <c r="CS22" s="206">
        <v>91</v>
      </c>
      <c r="CT22" s="206">
        <v>92</v>
      </c>
      <c r="CU22" s="206">
        <v>93</v>
      </c>
      <c r="CV22" s="206">
        <v>94</v>
      </c>
      <c r="CW22" s="206">
        <v>95</v>
      </c>
      <c r="CX22" s="206">
        <v>96</v>
      </c>
      <c r="CY22" s="206">
        <v>97</v>
      </c>
      <c r="CZ22" s="206">
        <v>98</v>
      </c>
      <c r="DA22" s="206">
        <v>99</v>
      </c>
    </row>
    <row r="23" spans="1:105">
      <c r="B23" s="207">
        <f>SUM($B22:B22)</f>
        <v>40</v>
      </c>
      <c r="C23" s="207">
        <f>SUM($B22:C22)</f>
        <v>79</v>
      </c>
      <c r="D23" s="207">
        <f>SUM($B22:D22)</f>
        <v>100</v>
      </c>
      <c r="E23" s="207">
        <f>SUM($B22:E22)</f>
        <v>100</v>
      </c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8"/>
      <c r="BL23" s="208"/>
      <c r="BM23" s="208"/>
      <c r="BN23" s="208"/>
      <c r="BO23" s="208"/>
      <c r="BP23" s="208"/>
      <c r="BQ23" s="208"/>
      <c r="BR23" s="208"/>
      <c r="BS23" s="208"/>
      <c r="BT23" s="208"/>
      <c r="BU23" s="208"/>
      <c r="BV23" s="208"/>
      <c r="BW23" s="208"/>
      <c r="BX23" s="208"/>
      <c r="BY23" s="208"/>
      <c r="BZ23" s="208"/>
      <c r="CA23" s="208"/>
      <c r="CB23" s="208"/>
      <c r="CC23" s="208"/>
      <c r="CD23" s="208"/>
      <c r="CE23" s="208"/>
      <c r="CF23" s="208"/>
      <c r="CG23" s="208"/>
      <c r="CH23" s="208"/>
      <c r="CI23" s="208"/>
      <c r="CJ23" s="208"/>
      <c r="CK23" s="208"/>
      <c r="CL23" s="208"/>
      <c r="CM23" s="208"/>
      <c r="CN23" s="208"/>
      <c r="CO23" s="208"/>
      <c r="CP23" s="208"/>
      <c r="CQ23" s="208"/>
      <c r="CR23" s="208"/>
      <c r="CS23" s="208"/>
      <c r="CT23" s="208"/>
      <c r="CU23" s="208"/>
      <c r="CV23" s="208"/>
      <c r="CW23" s="208"/>
      <c r="CX23" s="208"/>
      <c r="CY23" s="208"/>
      <c r="CZ23" s="208"/>
      <c r="DA23" s="208"/>
    </row>
    <row r="24" spans="1:105">
      <c r="B24" s="209">
        <f>A23+(B23-A23)/2</f>
        <v>20</v>
      </c>
      <c r="C24" s="209">
        <f>B23+(C23-B23)/2</f>
        <v>59.5</v>
      </c>
      <c r="D24" s="209">
        <f>C23+(D23-C23)/2</f>
        <v>89.5</v>
      </c>
      <c r="E24" s="209">
        <f>D23+(E23-D23)/2</f>
        <v>100</v>
      </c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</row>
    <row r="25" spans="1:105">
      <c r="A25" s="202" t="str">
        <f>Income!A72</f>
        <v>Own crops Consumed</v>
      </c>
      <c r="B25" s="204">
        <f>Income!B72</f>
        <v>2474.2340835802729</v>
      </c>
      <c r="C25" s="204">
        <f>Income!C72</f>
        <v>3366.3818132655533</v>
      </c>
      <c r="D25" s="204">
        <f>Income!D72</f>
        <v>3010.7887259041863</v>
      </c>
      <c r="E25" s="204">
        <f>Income!E72</f>
        <v>0</v>
      </c>
      <c r="F25" s="211">
        <f>IF(F$22&lt;=$E$24,IF(F$22&lt;=$D$24,IF(F$22&lt;=$C$24,IF(F$22&lt;=$B$24,$B25,$B25+(F$22-$B$24)*($C25-$B25)/($C$24-$B$24)),$C25+(F$22-$C$24)*($D25-$C25)/($D$24-$C$24)),$D25+(F$22-$D$24)*($E25-$D25)/($E$24-$D$24)),$E25)</f>
        <v>2474.2340835802729</v>
      </c>
      <c r="G25" s="211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2474.2340835802729</v>
      </c>
      <c r="H25" s="211">
        <f t="shared" si="16"/>
        <v>2474.2340835802729</v>
      </c>
      <c r="I25" s="211">
        <f t="shared" si="16"/>
        <v>2474.2340835802729</v>
      </c>
      <c r="J25" s="211">
        <f t="shared" si="16"/>
        <v>2474.2340835802729</v>
      </c>
      <c r="K25" s="211">
        <f t="shared" si="16"/>
        <v>2474.2340835802729</v>
      </c>
      <c r="L25" s="211">
        <f t="shared" si="16"/>
        <v>2474.2340835802729</v>
      </c>
      <c r="M25" s="211">
        <f t="shared" si="16"/>
        <v>2474.2340835802729</v>
      </c>
      <c r="N25" s="211">
        <f t="shared" si="16"/>
        <v>2474.2340835802729</v>
      </c>
      <c r="O25" s="211">
        <f t="shared" si="16"/>
        <v>2474.2340835802729</v>
      </c>
      <c r="P25" s="211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2474.2340835802729</v>
      </c>
      <c r="Q25" s="211">
        <f t="shared" si="17"/>
        <v>2474.2340835802729</v>
      </c>
      <c r="R25" s="211">
        <f t="shared" si="17"/>
        <v>2474.2340835802729</v>
      </c>
      <c r="S25" s="211">
        <f>IF(S$22&lt;=$E$24,IF(S$22&lt;=$D$24,IF(S$22&lt;=$C$24,IF(S$22&lt;=$B$24,$B25,$B25+(S$22-$B$24)*($C25-$B25)/($C$24-$B$24)),$C25+(S$22-$C$24)*($D25-$C25)/($D$24-$C$24)),$D25+(S$22-$D$24)*($E25-$D25)/($E$24-$D$24)),$E25)</f>
        <v>2474.2340835802729</v>
      </c>
      <c r="T25" s="211">
        <f t="shared" si="17"/>
        <v>2474.2340835802729</v>
      </c>
      <c r="U25" s="211">
        <f t="shared" si="17"/>
        <v>2474.2340835802729</v>
      </c>
      <c r="V25" s="211">
        <f t="shared" si="17"/>
        <v>2474.2340835802729</v>
      </c>
      <c r="W25" s="211">
        <f t="shared" si="17"/>
        <v>2474.2340835802729</v>
      </c>
      <c r="X25" s="211">
        <f t="shared" si="17"/>
        <v>2474.2340835802729</v>
      </c>
      <c r="Y25" s="211">
        <f t="shared" si="17"/>
        <v>2474.2340835802729</v>
      </c>
      <c r="Z25" s="211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2474.2340835802729</v>
      </c>
      <c r="AA25" s="211">
        <f t="shared" si="18"/>
        <v>2496.8201020533179</v>
      </c>
      <c r="AB25" s="211">
        <f t="shared" si="18"/>
        <v>2519.4061205263629</v>
      </c>
      <c r="AC25" s="211">
        <f t="shared" si="18"/>
        <v>2541.9921389994083</v>
      </c>
      <c r="AD25" s="211">
        <f t="shared" si="18"/>
        <v>2564.5781574724533</v>
      </c>
      <c r="AE25" s="211">
        <f t="shared" si="18"/>
        <v>2587.1641759454983</v>
      </c>
      <c r="AF25" s="211">
        <f t="shared" si="18"/>
        <v>2609.7501944185433</v>
      </c>
      <c r="AG25" s="211">
        <f t="shared" si="18"/>
        <v>2632.3362128915883</v>
      </c>
      <c r="AH25" s="211">
        <f t="shared" si="18"/>
        <v>2654.9222313646333</v>
      </c>
      <c r="AI25" s="211">
        <f t="shared" si="18"/>
        <v>2677.5082498376787</v>
      </c>
      <c r="AJ25" s="211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2700.0942683107237</v>
      </c>
      <c r="AK25" s="211">
        <f t="shared" si="19"/>
        <v>2722.6802867837687</v>
      </c>
      <c r="AL25" s="211">
        <f t="shared" si="19"/>
        <v>2745.2663052568137</v>
      </c>
      <c r="AM25" s="211">
        <f t="shared" si="19"/>
        <v>2767.8523237298587</v>
      </c>
      <c r="AN25" s="211">
        <f t="shared" si="19"/>
        <v>2790.4383422029041</v>
      </c>
      <c r="AO25" s="211">
        <f t="shared" si="19"/>
        <v>2813.0243606759491</v>
      </c>
      <c r="AP25" s="211">
        <f t="shared" si="19"/>
        <v>2835.6103791489941</v>
      </c>
      <c r="AQ25" s="211">
        <f t="shared" si="19"/>
        <v>2858.1963976220391</v>
      </c>
      <c r="AR25" s="211">
        <f t="shared" si="19"/>
        <v>2880.782416095084</v>
      </c>
      <c r="AS25" s="211">
        <f t="shared" si="19"/>
        <v>2903.3684345681295</v>
      </c>
      <c r="AT25" s="211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2925.9544530411745</v>
      </c>
      <c r="AU25" s="211">
        <f t="shared" si="20"/>
        <v>2948.5404715142195</v>
      </c>
      <c r="AV25" s="211">
        <f t="shared" si="20"/>
        <v>2971.1264899872644</v>
      </c>
      <c r="AW25" s="211">
        <f t="shared" si="20"/>
        <v>2993.7125084603094</v>
      </c>
      <c r="AX25" s="211">
        <f t="shared" si="20"/>
        <v>3016.2985269333549</v>
      </c>
      <c r="AY25" s="211">
        <f t="shared" si="20"/>
        <v>3038.8845454063999</v>
      </c>
      <c r="AZ25" s="211">
        <f t="shared" si="20"/>
        <v>3061.4705638794449</v>
      </c>
      <c r="BA25" s="211">
        <f t="shared" si="20"/>
        <v>3084.0565823524898</v>
      </c>
      <c r="BB25" s="211">
        <f t="shared" si="20"/>
        <v>3106.6426008255348</v>
      </c>
      <c r="BC25" s="211">
        <f t="shared" si="20"/>
        <v>3129.2286192985803</v>
      </c>
      <c r="BD25" s="211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3151.8146377716253</v>
      </c>
      <c r="BE25" s="211">
        <f t="shared" si="21"/>
        <v>3174.4006562446702</v>
      </c>
      <c r="BF25" s="211">
        <f t="shared" si="21"/>
        <v>3196.9866747177152</v>
      </c>
      <c r="BG25" s="211">
        <f t="shared" si="21"/>
        <v>3219.5726931907602</v>
      </c>
      <c r="BH25" s="211">
        <f t="shared" si="21"/>
        <v>3242.1587116638057</v>
      </c>
      <c r="BI25" s="211">
        <f t="shared" si="21"/>
        <v>3264.7447301368502</v>
      </c>
      <c r="BJ25" s="211">
        <f t="shared" si="21"/>
        <v>3287.3307486098956</v>
      </c>
      <c r="BK25" s="211">
        <f t="shared" si="21"/>
        <v>3309.9167670829406</v>
      </c>
      <c r="BL25" s="211">
        <f t="shared" si="21"/>
        <v>3332.5027855559856</v>
      </c>
      <c r="BM25" s="211">
        <f t="shared" si="21"/>
        <v>3355.0888040290311</v>
      </c>
      <c r="BN25" s="211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3360.4552618095304</v>
      </c>
      <c r="BO25" s="211">
        <f t="shared" si="22"/>
        <v>3348.602158897485</v>
      </c>
      <c r="BP25" s="211">
        <f t="shared" si="22"/>
        <v>3336.7490559854396</v>
      </c>
      <c r="BQ25" s="211">
        <f t="shared" si="22"/>
        <v>3324.8959530733937</v>
      </c>
      <c r="BR25" s="211">
        <f t="shared" si="22"/>
        <v>3313.0428501613483</v>
      </c>
      <c r="BS25" s="211">
        <f t="shared" si="22"/>
        <v>3301.1897472493029</v>
      </c>
      <c r="BT25" s="211">
        <f t="shared" si="22"/>
        <v>3289.336644337257</v>
      </c>
      <c r="BU25" s="211">
        <f t="shared" si="22"/>
        <v>3277.4835414252116</v>
      </c>
      <c r="BV25" s="211">
        <f t="shared" si="22"/>
        <v>3265.6304385131662</v>
      </c>
      <c r="BW25" s="211">
        <f t="shared" si="22"/>
        <v>3253.7773356011203</v>
      </c>
      <c r="BX25" s="211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3241.9242326890749</v>
      </c>
      <c r="BY25" s="211">
        <f t="shared" si="23"/>
        <v>3230.0711297770295</v>
      </c>
      <c r="BZ25" s="211">
        <f t="shared" si="23"/>
        <v>3218.2180268649836</v>
      </c>
      <c r="CA25" s="211">
        <f t="shared" si="23"/>
        <v>3206.3649239529382</v>
      </c>
      <c r="CB25" s="211">
        <f t="shared" si="23"/>
        <v>3194.5118210408928</v>
      </c>
      <c r="CC25" s="211">
        <f t="shared" si="23"/>
        <v>3182.6587181288469</v>
      </c>
      <c r="CD25" s="211">
        <f t="shared" si="23"/>
        <v>3170.8056152168015</v>
      </c>
      <c r="CE25" s="211">
        <f t="shared" si="23"/>
        <v>3158.9525123047561</v>
      </c>
      <c r="CF25" s="211">
        <f t="shared" si="23"/>
        <v>3147.0994093927102</v>
      </c>
      <c r="CG25" s="211">
        <f t="shared" si="23"/>
        <v>3135.2463064806648</v>
      </c>
      <c r="CH25" s="211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3123.3932035686194</v>
      </c>
      <c r="CI25" s="211">
        <f t="shared" si="24"/>
        <v>3111.5401006565735</v>
      </c>
      <c r="CJ25" s="211">
        <f t="shared" si="24"/>
        <v>3099.6869977445281</v>
      </c>
      <c r="CK25" s="211">
        <f t="shared" si="24"/>
        <v>3087.8338948324827</v>
      </c>
      <c r="CL25" s="211">
        <f t="shared" si="24"/>
        <v>3075.9807919204368</v>
      </c>
      <c r="CM25" s="211">
        <f t="shared" si="24"/>
        <v>3064.1276890083914</v>
      </c>
      <c r="CN25" s="211">
        <f t="shared" si="24"/>
        <v>3052.274586096346</v>
      </c>
      <c r="CO25" s="211">
        <f t="shared" si="24"/>
        <v>3040.4214831843001</v>
      </c>
      <c r="CP25" s="211">
        <f t="shared" si="24"/>
        <v>3028.5683802722547</v>
      </c>
      <c r="CQ25" s="211">
        <f t="shared" si="24"/>
        <v>3016.7152773602093</v>
      </c>
      <c r="CR25" s="211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2867.417834194463</v>
      </c>
      <c r="CS25" s="211">
        <f t="shared" si="25"/>
        <v>2580.6760507750168</v>
      </c>
      <c r="CT25" s="211">
        <f t="shared" si="25"/>
        <v>2293.9342673555707</v>
      </c>
      <c r="CU25" s="211">
        <f t="shared" si="25"/>
        <v>2007.1924839361241</v>
      </c>
      <c r="CV25" s="211">
        <f t="shared" si="25"/>
        <v>1720.4507005166779</v>
      </c>
      <c r="CW25" s="211">
        <f t="shared" si="25"/>
        <v>1433.7089170972315</v>
      </c>
      <c r="CX25" s="211">
        <f t="shared" si="25"/>
        <v>1146.9671336777853</v>
      </c>
      <c r="CY25" s="211">
        <f t="shared" si="25"/>
        <v>860.22535025833895</v>
      </c>
      <c r="CZ25" s="211">
        <f t="shared" si="25"/>
        <v>573.48356683889233</v>
      </c>
      <c r="DA25" s="211">
        <f t="shared" si="25"/>
        <v>286.74178341944616</v>
      </c>
    </row>
    <row r="26" spans="1:105">
      <c r="A26" s="202" t="str">
        <f>Income!A73</f>
        <v>Own crops sold</v>
      </c>
      <c r="B26" s="204">
        <f>Income!B73</f>
        <v>22.185248057409371</v>
      </c>
      <c r="C26" s="204">
        <f>Income!C73</f>
        <v>236.64264594569994</v>
      </c>
      <c r="D26" s="204">
        <f>Income!D73</f>
        <v>219.73959980672137</v>
      </c>
      <c r="E26" s="204">
        <f>Income!E73</f>
        <v>0</v>
      </c>
      <c r="F26" s="211">
        <f t="shared" si="16"/>
        <v>22.185248057409371</v>
      </c>
      <c r="G26" s="211">
        <f t="shared" si="16"/>
        <v>22.185248057409371</v>
      </c>
      <c r="H26" s="211">
        <f t="shared" si="16"/>
        <v>22.185248057409371</v>
      </c>
      <c r="I26" s="211">
        <f t="shared" si="16"/>
        <v>22.185248057409371</v>
      </c>
      <c r="J26" s="211">
        <f t="shared" si="16"/>
        <v>22.185248057409371</v>
      </c>
      <c r="K26" s="211">
        <f t="shared" si="16"/>
        <v>22.185248057409371</v>
      </c>
      <c r="L26" s="211">
        <f t="shared" si="16"/>
        <v>22.185248057409371</v>
      </c>
      <c r="M26" s="211">
        <f t="shared" si="16"/>
        <v>22.185248057409371</v>
      </c>
      <c r="N26" s="211">
        <f t="shared" si="16"/>
        <v>22.185248057409371</v>
      </c>
      <c r="O26" s="211">
        <f t="shared" si="16"/>
        <v>22.185248057409371</v>
      </c>
      <c r="P26" s="211">
        <f t="shared" si="17"/>
        <v>22.185248057409371</v>
      </c>
      <c r="Q26" s="211">
        <f t="shared" si="17"/>
        <v>22.185248057409371</v>
      </c>
      <c r="R26" s="211">
        <f t="shared" si="17"/>
        <v>22.185248057409371</v>
      </c>
      <c r="S26" s="211">
        <f t="shared" si="17"/>
        <v>22.185248057409371</v>
      </c>
      <c r="T26" s="211">
        <f t="shared" si="17"/>
        <v>22.185248057409371</v>
      </c>
      <c r="U26" s="211">
        <f t="shared" si="17"/>
        <v>22.185248057409371</v>
      </c>
      <c r="V26" s="211">
        <f t="shared" si="17"/>
        <v>22.185248057409371</v>
      </c>
      <c r="W26" s="211">
        <f t="shared" si="17"/>
        <v>22.185248057409371</v>
      </c>
      <c r="X26" s="211">
        <f t="shared" si="17"/>
        <v>22.185248057409371</v>
      </c>
      <c r="Y26" s="211">
        <f t="shared" si="17"/>
        <v>22.185248057409371</v>
      </c>
      <c r="Z26" s="211">
        <f t="shared" si="18"/>
        <v>22.185248057409371</v>
      </c>
      <c r="AA26" s="211">
        <f t="shared" si="18"/>
        <v>27.614549269771157</v>
      </c>
      <c r="AB26" s="211">
        <f t="shared" si="18"/>
        <v>33.043850482132946</v>
      </c>
      <c r="AC26" s="211">
        <f t="shared" si="18"/>
        <v>38.473151694494732</v>
      </c>
      <c r="AD26" s="211">
        <f t="shared" si="18"/>
        <v>43.902452906856517</v>
      </c>
      <c r="AE26" s="211">
        <f t="shared" si="18"/>
        <v>49.331754119218303</v>
      </c>
      <c r="AF26" s="211">
        <f t="shared" si="18"/>
        <v>54.761055331580096</v>
      </c>
      <c r="AG26" s="211">
        <f t="shared" si="18"/>
        <v>60.190356543941874</v>
      </c>
      <c r="AH26" s="211">
        <f t="shared" si="18"/>
        <v>65.619657756303667</v>
      </c>
      <c r="AI26" s="211">
        <f t="shared" si="18"/>
        <v>71.048958968665445</v>
      </c>
      <c r="AJ26" s="211">
        <f t="shared" si="19"/>
        <v>76.478260181027238</v>
      </c>
      <c r="AK26" s="211">
        <f t="shared" si="19"/>
        <v>81.907561393389017</v>
      </c>
      <c r="AL26" s="211">
        <f t="shared" si="19"/>
        <v>87.33686260575081</v>
      </c>
      <c r="AM26" s="211">
        <f t="shared" si="19"/>
        <v>92.766163818112588</v>
      </c>
      <c r="AN26" s="211">
        <f t="shared" si="19"/>
        <v>98.195465030474367</v>
      </c>
      <c r="AO26" s="211">
        <f t="shared" si="19"/>
        <v>103.62476624283616</v>
      </c>
      <c r="AP26" s="211">
        <f t="shared" si="19"/>
        <v>109.05406745519795</v>
      </c>
      <c r="AQ26" s="211">
        <f t="shared" si="19"/>
        <v>114.48336866755973</v>
      </c>
      <c r="AR26" s="211">
        <f t="shared" si="19"/>
        <v>119.91266987992152</v>
      </c>
      <c r="AS26" s="211">
        <f t="shared" si="19"/>
        <v>125.3419710922833</v>
      </c>
      <c r="AT26" s="211">
        <f t="shared" si="20"/>
        <v>130.77127230464509</v>
      </c>
      <c r="AU26" s="211">
        <f t="shared" si="20"/>
        <v>136.20057351700689</v>
      </c>
      <c r="AV26" s="211">
        <f t="shared" si="20"/>
        <v>141.62987472936865</v>
      </c>
      <c r="AW26" s="211">
        <f t="shared" si="20"/>
        <v>147.05917594173044</v>
      </c>
      <c r="AX26" s="211">
        <f t="shared" si="20"/>
        <v>152.48847715409227</v>
      </c>
      <c r="AY26" s="211">
        <f t="shared" si="20"/>
        <v>157.91777836645403</v>
      </c>
      <c r="AZ26" s="211">
        <f t="shared" si="20"/>
        <v>163.34707957881582</v>
      </c>
      <c r="BA26" s="211">
        <f t="shared" si="20"/>
        <v>168.77638079117762</v>
      </c>
      <c r="BB26" s="211">
        <f t="shared" si="20"/>
        <v>174.20568200353938</v>
      </c>
      <c r="BC26" s="211">
        <f t="shared" si="20"/>
        <v>179.63498321590117</v>
      </c>
      <c r="BD26" s="211">
        <f t="shared" si="21"/>
        <v>185.06428442826297</v>
      </c>
      <c r="BE26" s="211">
        <f t="shared" si="21"/>
        <v>190.49358564062476</v>
      </c>
      <c r="BF26" s="211">
        <f t="shared" si="21"/>
        <v>195.92288685298655</v>
      </c>
      <c r="BG26" s="211">
        <f t="shared" si="21"/>
        <v>201.35218806534834</v>
      </c>
      <c r="BH26" s="211">
        <f t="shared" si="21"/>
        <v>206.78148927771011</v>
      </c>
      <c r="BI26" s="211">
        <f t="shared" si="21"/>
        <v>212.2107904900719</v>
      </c>
      <c r="BJ26" s="211">
        <f t="shared" si="21"/>
        <v>217.64009170243369</v>
      </c>
      <c r="BK26" s="211">
        <f t="shared" si="21"/>
        <v>223.06939291479546</v>
      </c>
      <c r="BL26" s="211">
        <f t="shared" si="21"/>
        <v>228.49869412715725</v>
      </c>
      <c r="BM26" s="211">
        <f t="shared" si="21"/>
        <v>233.92799533951904</v>
      </c>
      <c r="BN26" s="211">
        <f t="shared" si="22"/>
        <v>236.36092851005029</v>
      </c>
      <c r="BO26" s="211">
        <f t="shared" si="22"/>
        <v>235.79749363875101</v>
      </c>
      <c r="BP26" s="211">
        <f t="shared" si="22"/>
        <v>235.23405876745173</v>
      </c>
      <c r="BQ26" s="211">
        <f t="shared" si="22"/>
        <v>234.67062389615245</v>
      </c>
      <c r="BR26" s="211">
        <f t="shared" si="22"/>
        <v>234.10718902485314</v>
      </c>
      <c r="BS26" s="211">
        <f t="shared" si="22"/>
        <v>233.54375415355386</v>
      </c>
      <c r="BT26" s="211">
        <f t="shared" si="22"/>
        <v>232.98031928225458</v>
      </c>
      <c r="BU26" s="211">
        <f t="shared" si="22"/>
        <v>232.4168844109553</v>
      </c>
      <c r="BV26" s="211">
        <f t="shared" si="22"/>
        <v>231.85344953965603</v>
      </c>
      <c r="BW26" s="211">
        <f t="shared" si="22"/>
        <v>231.29001466835672</v>
      </c>
      <c r="BX26" s="211">
        <f t="shared" si="23"/>
        <v>230.72657979705744</v>
      </c>
      <c r="BY26" s="211">
        <f t="shared" si="23"/>
        <v>230.16314492575816</v>
      </c>
      <c r="BZ26" s="211">
        <f t="shared" si="23"/>
        <v>229.59971005445888</v>
      </c>
      <c r="CA26" s="211">
        <f t="shared" si="23"/>
        <v>229.03627518315957</v>
      </c>
      <c r="CB26" s="211">
        <f t="shared" si="23"/>
        <v>228.4728403118603</v>
      </c>
      <c r="CC26" s="211">
        <f t="shared" si="23"/>
        <v>227.90940544056102</v>
      </c>
      <c r="CD26" s="211">
        <f t="shared" si="23"/>
        <v>227.34597056926174</v>
      </c>
      <c r="CE26" s="211">
        <f t="shared" si="23"/>
        <v>226.78253569796243</v>
      </c>
      <c r="CF26" s="211">
        <f t="shared" si="23"/>
        <v>226.21910082666315</v>
      </c>
      <c r="CG26" s="211">
        <f t="shared" si="23"/>
        <v>225.65566595536387</v>
      </c>
      <c r="CH26" s="211">
        <f t="shared" si="24"/>
        <v>225.09223108406459</v>
      </c>
      <c r="CI26" s="211">
        <f t="shared" si="24"/>
        <v>224.52879621276529</v>
      </c>
      <c r="CJ26" s="211">
        <f t="shared" si="24"/>
        <v>223.96536134146601</v>
      </c>
      <c r="CK26" s="211">
        <f t="shared" si="24"/>
        <v>223.40192647016673</v>
      </c>
      <c r="CL26" s="211">
        <f t="shared" si="24"/>
        <v>222.83849159886745</v>
      </c>
      <c r="CM26" s="211">
        <f t="shared" si="24"/>
        <v>222.27505672756817</v>
      </c>
      <c r="CN26" s="211">
        <f t="shared" si="24"/>
        <v>221.71162185626886</v>
      </c>
      <c r="CO26" s="211">
        <f t="shared" si="24"/>
        <v>221.14818698496958</v>
      </c>
      <c r="CP26" s="211">
        <f t="shared" si="24"/>
        <v>220.58475211367031</v>
      </c>
      <c r="CQ26" s="211">
        <f t="shared" si="24"/>
        <v>220.02131724237103</v>
      </c>
      <c r="CR26" s="211">
        <f t="shared" si="25"/>
        <v>209.27580933973465</v>
      </c>
      <c r="CS26" s="211">
        <f t="shared" si="25"/>
        <v>188.34822840576118</v>
      </c>
      <c r="CT26" s="211">
        <f t="shared" si="25"/>
        <v>167.4206474717877</v>
      </c>
      <c r="CU26" s="211">
        <f t="shared" si="25"/>
        <v>146.49306653781423</v>
      </c>
      <c r="CV26" s="211">
        <f t="shared" si="25"/>
        <v>125.56548560384078</v>
      </c>
      <c r="CW26" s="211">
        <f t="shared" si="25"/>
        <v>104.63790466986731</v>
      </c>
      <c r="CX26" s="211">
        <f t="shared" si="25"/>
        <v>83.710323735893866</v>
      </c>
      <c r="CY26" s="211">
        <f t="shared" si="25"/>
        <v>62.782742801920392</v>
      </c>
      <c r="CZ26" s="211">
        <f t="shared" si="25"/>
        <v>41.855161867946919</v>
      </c>
      <c r="DA26" s="211">
        <f t="shared" si="25"/>
        <v>20.927580933973445</v>
      </c>
    </row>
    <row r="27" spans="1:105">
      <c r="A27" s="202" t="str">
        <f>Income!A74</f>
        <v>Animal products consumed</v>
      </c>
      <c r="B27" s="204">
        <f>Income!B74</f>
        <v>789.14337078418851</v>
      </c>
      <c r="C27" s="204">
        <f>Income!C74</f>
        <v>1706.4092365501797</v>
      </c>
      <c r="D27" s="204">
        <f>Income!D74</f>
        <v>2389.4591102806739</v>
      </c>
      <c r="E27" s="204">
        <f>Income!E74</f>
        <v>0</v>
      </c>
      <c r="F27" s="211">
        <f t="shared" si="16"/>
        <v>789.14337078418851</v>
      </c>
      <c r="G27" s="211">
        <f t="shared" si="16"/>
        <v>789.14337078418851</v>
      </c>
      <c r="H27" s="211">
        <f t="shared" si="16"/>
        <v>789.14337078418851</v>
      </c>
      <c r="I27" s="211">
        <f t="shared" si="16"/>
        <v>789.14337078418851</v>
      </c>
      <c r="J27" s="211">
        <f t="shared" si="16"/>
        <v>789.14337078418851</v>
      </c>
      <c r="K27" s="211">
        <f t="shared" si="16"/>
        <v>789.14337078418851</v>
      </c>
      <c r="L27" s="211">
        <f t="shared" si="16"/>
        <v>789.14337078418851</v>
      </c>
      <c r="M27" s="211">
        <f t="shared" si="16"/>
        <v>789.14337078418851</v>
      </c>
      <c r="N27" s="211">
        <f t="shared" si="16"/>
        <v>789.14337078418851</v>
      </c>
      <c r="O27" s="211">
        <f t="shared" si="16"/>
        <v>789.14337078418851</v>
      </c>
      <c r="P27" s="211">
        <f t="shared" si="17"/>
        <v>789.14337078418851</v>
      </c>
      <c r="Q27" s="211">
        <f t="shared" si="17"/>
        <v>789.14337078418851</v>
      </c>
      <c r="R27" s="211">
        <f t="shared" si="17"/>
        <v>789.14337078418851</v>
      </c>
      <c r="S27" s="211">
        <f t="shared" si="17"/>
        <v>789.14337078418851</v>
      </c>
      <c r="T27" s="211">
        <f t="shared" si="17"/>
        <v>789.14337078418851</v>
      </c>
      <c r="U27" s="211">
        <f t="shared" si="17"/>
        <v>789.14337078418851</v>
      </c>
      <c r="V27" s="211">
        <f t="shared" si="17"/>
        <v>789.14337078418851</v>
      </c>
      <c r="W27" s="211">
        <f t="shared" si="17"/>
        <v>789.14337078418851</v>
      </c>
      <c r="X27" s="211">
        <f t="shared" si="17"/>
        <v>789.14337078418851</v>
      </c>
      <c r="Y27" s="211">
        <f t="shared" si="17"/>
        <v>789.14337078418851</v>
      </c>
      <c r="Z27" s="211">
        <f t="shared" si="18"/>
        <v>789.14337078418851</v>
      </c>
      <c r="AA27" s="211">
        <f t="shared" si="18"/>
        <v>812.36529143649204</v>
      </c>
      <c r="AB27" s="211">
        <f t="shared" si="18"/>
        <v>835.5872120887957</v>
      </c>
      <c r="AC27" s="211">
        <f t="shared" si="18"/>
        <v>858.80913274109923</v>
      </c>
      <c r="AD27" s="211">
        <f t="shared" si="18"/>
        <v>882.03105339340277</v>
      </c>
      <c r="AE27" s="211">
        <f t="shared" si="18"/>
        <v>905.25297404570642</v>
      </c>
      <c r="AF27" s="211">
        <f t="shared" si="18"/>
        <v>928.47489469800996</v>
      </c>
      <c r="AG27" s="211">
        <f t="shared" si="18"/>
        <v>951.6968153503135</v>
      </c>
      <c r="AH27" s="211">
        <f t="shared" si="18"/>
        <v>974.91873600261715</v>
      </c>
      <c r="AI27" s="211">
        <f t="shared" si="18"/>
        <v>998.14065665492069</v>
      </c>
      <c r="AJ27" s="211">
        <f t="shared" si="19"/>
        <v>1021.3625773072242</v>
      </c>
      <c r="AK27" s="211">
        <f t="shared" si="19"/>
        <v>1044.5844979595279</v>
      </c>
      <c r="AL27" s="211">
        <f t="shared" si="19"/>
        <v>1067.8064186118313</v>
      </c>
      <c r="AM27" s="211">
        <f t="shared" si="19"/>
        <v>1091.028339264135</v>
      </c>
      <c r="AN27" s="211">
        <f t="shared" si="19"/>
        <v>1114.2502599164386</v>
      </c>
      <c r="AO27" s="211">
        <f t="shared" si="19"/>
        <v>1137.4721805687423</v>
      </c>
      <c r="AP27" s="211">
        <f t="shared" si="19"/>
        <v>1160.6941012210457</v>
      </c>
      <c r="AQ27" s="211">
        <f t="shared" si="19"/>
        <v>1183.9160218733491</v>
      </c>
      <c r="AR27" s="211">
        <f t="shared" si="19"/>
        <v>1207.1379425256528</v>
      </c>
      <c r="AS27" s="211">
        <f t="shared" si="19"/>
        <v>1230.3598631779564</v>
      </c>
      <c r="AT27" s="211">
        <f t="shared" si="20"/>
        <v>1253.5817838302601</v>
      </c>
      <c r="AU27" s="211">
        <f t="shared" si="20"/>
        <v>1276.8037044825635</v>
      </c>
      <c r="AV27" s="211">
        <f t="shared" si="20"/>
        <v>1300.0256251348671</v>
      </c>
      <c r="AW27" s="211">
        <f t="shared" si="20"/>
        <v>1323.2475457871708</v>
      </c>
      <c r="AX27" s="211">
        <f t="shared" si="20"/>
        <v>1346.4694664394742</v>
      </c>
      <c r="AY27" s="211">
        <f t="shared" si="20"/>
        <v>1369.6913870917779</v>
      </c>
      <c r="AZ27" s="211">
        <f t="shared" si="20"/>
        <v>1392.9133077440815</v>
      </c>
      <c r="BA27" s="211">
        <f t="shared" si="20"/>
        <v>1416.1352283963849</v>
      </c>
      <c r="BB27" s="211">
        <f t="shared" si="20"/>
        <v>1439.3571490486886</v>
      </c>
      <c r="BC27" s="211">
        <f t="shared" si="20"/>
        <v>1462.579069700992</v>
      </c>
      <c r="BD27" s="211">
        <f t="shared" si="21"/>
        <v>1485.8009903532957</v>
      </c>
      <c r="BE27" s="211">
        <f t="shared" si="21"/>
        <v>1509.0229110055993</v>
      </c>
      <c r="BF27" s="211">
        <f t="shared" si="21"/>
        <v>1532.244831657903</v>
      </c>
      <c r="BG27" s="211">
        <f t="shared" si="21"/>
        <v>1555.4667523102066</v>
      </c>
      <c r="BH27" s="211">
        <f t="shared" si="21"/>
        <v>1578.6886729625098</v>
      </c>
      <c r="BI27" s="211">
        <f t="shared" si="21"/>
        <v>1601.9105936148135</v>
      </c>
      <c r="BJ27" s="211">
        <f t="shared" si="21"/>
        <v>1625.1325142671171</v>
      </c>
      <c r="BK27" s="211">
        <f t="shared" si="21"/>
        <v>1648.3544349194208</v>
      </c>
      <c r="BL27" s="211">
        <f t="shared" si="21"/>
        <v>1671.5763555717244</v>
      </c>
      <c r="BM27" s="211">
        <f t="shared" si="21"/>
        <v>1694.7982762240281</v>
      </c>
      <c r="BN27" s="211">
        <f t="shared" si="22"/>
        <v>1717.7934011123546</v>
      </c>
      <c r="BO27" s="211">
        <f t="shared" si="22"/>
        <v>1740.5617302367043</v>
      </c>
      <c r="BP27" s="211">
        <f t="shared" si="22"/>
        <v>1763.3300593610543</v>
      </c>
      <c r="BQ27" s="211">
        <f t="shared" si="22"/>
        <v>1786.098388485404</v>
      </c>
      <c r="BR27" s="211">
        <f t="shared" si="22"/>
        <v>1808.8667176097538</v>
      </c>
      <c r="BS27" s="211">
        <f t="shared" si="22"/>
        <v>1831.6350467341035</v>
      </c>
      <c r="BT27" s="211">
        <f t="shared" si="22"/>
        <v>1854.4033758584535</v>
      </c>
      <c r="BU27" s="211">
        <f t="shared" si="22"/>
        <v>1877.1717049828032</v>
      </c>
      <c r="BV27" s="211">
        <f t="shared" si="22"/>
        <v>1899.940034107153</v>
      </c>
      <c r="BW27" s="211">
        <f t="shared" si="22"/>
        <v>1922.708363231503</v>
      </c>
      <c r="BX27" s="211">
        <f t="shared" si="23"/>
        <v>1945.4766923558527</v>
      </c>
      <c r="BY27" s="211">
        <f t="shared" si="23"/>
        <v>1968.2450214802025</v>
      </c>
      <c r="BZ27" s="211">
        <f t="shared" si="23"/>
        <v>1991.0133506045522</v>
      </c>
      <c r="CA27" s="211">
        <f t="shared" si="23"/>
        <v>2013.781679728902</v>
      </c>
      <c r="CB27" s="211">
        <f t="shared" si="23"/>
        <v>2036.5500088532519</v>
      </c>
      <c r="CC27" s="211">
        <f t="shared" si="23"/>
        <v>2059.3183379776019</v>
      </c>
      <c r="CD27" s="211">
        <f t="shared" si="23"/>
        <v>2082.0866671019517</v>
      </c>
      <c r="CE27" s="211">
        <f t="shared" si="23"/>
        <v>2104.8549962263014</v>
      </c>
      <c r="CF27" s="211">
        <f t="shared" si="23"/>
        <v>2127.6233253506512</v>
      </c>
      <c r="CG27" s="211">
        <f t="shared" si="23"/>
        <v>2150.3916544750009</v>
      </c>
      <c r="CH27" s="211">
        <f t="shared" si="24"/>
        <v>2173.1599835993507</v>
      </c>
      <c r="CI27" s="211">
        <f t="shared" si="24"/>
        <v>2195.9283127237004</v>
      </c>
      <c r="CJ27" s="211">
        <f t="shared" si="24"/>
        <v>2218.6966418480506</v>
      </c>
      <c r="CK27" s="211">
        <f t="shared" si="24"/>
        <v>2241.4649709723999</v>
      </c>
      <c r="CL27" s="211">
        <f t="shared" si="24"/>
        <v>2264.2333000967501</v>
      </c>
      <c r="CM27" s="211">
        <f t="shared" si="24"/>
        <v>2287.0016292210998</v>
      </c>
      <c r="CN27" s="211">
        <f t="shared" si="24"/>
        <v>2309.7699583454496</v>
      </c>
      <c r="CO27" s="211">
        <f t="shared" si="24"/>
        <v>2332.5382874697993</v>
      </c>
      <c r="CP27" s="211">
        <f t="shared" si="24"/>
        <v>2355.3066165941491</v>
      </c>
      <c r="CQ27" s="211">
        <f t="shared" si="24"/>
        <v>2378.0749457184993</v>
      </c>
      <c r="CR27" s="211">
        <f t="shared" si="25"/>
        <v>2275.6753431244515</v>
      </c>
      <c r="CS27" s="211">
        <f t="shared" si="25"/>
        <v>2048.1078088120062</v>
      </c>
      <c r="CT27" s="211">
        <f t="shared" si="25"/>
        <v>1820.5402744995611</v>
      </c>
      <c r="CU27" s="211">
        <f t="shared" si="25"/>
        <v>1592.972740187116</v>
      </c>
      <c r="CV27" s="211">
        <f t="shared" si="25"/>
        <v>1365.4052058746709</v>
      </c>
      <c r="CW27" s="211">
        <f t="shared" si="25"/>
        <v>1137.8376715622258</v>
      </c>
      <c r="CX27" s="211">
        <f t="shared" si="25"/>
        <v>910.27013724978042</v>
      </c>
      <c r="CY27" s="211">
        <f t="shared" si="25"/>
        <v>682.70260293733531</v>
      </c>
      <c r="CZ27" s="211">
        <f t="shared" si="25"/>
        <v>455.13506862489021</v>
      </c>
      <c r="DA27" s="211">
        <f t="shared" si="25"/>
        <v>227.56753431244533</v>
      </c>
    </row>
    <row r="28" spans="1:105">
      <c r="A28" s="202" t="str">
        <f>Income!A75</f>
        <v>Animal products sold</v>
      </c>
      <c r="B28" s="204">
        <f>Income!B75</f>
        <v>0</v>
      </c>
      <c r="C28" s="204">
        <f>Income!C75</f>
        <v>0</v>
      </c>
      <c r="D28" s="204">
        <f>Income!D75</f>
        <v>0</v>
      </c>
      <c r="E28" s="204">
        <f>Income!E75</f>
        <v>0</v>
      </c>
      <c r="F28" s="211">
        <f t="shared" si="16"/>
        <v>0</v>
      </c>
      <c r="G28" s="211">
        <f t="shared" si="16"/>
        <v>0</v>
      </c>
      <c r="H28" s="211">
        <f t="shared" si="16"/>
        <v>0</v>
      </c>
      <c r="I28" s="211">
        <f t="shared" si="16"/>
        <v>0</v>
      </c>
      <c r="J28" s="211">
        <f t="shared" si="16"/>
        <v>0</v>
      </c>
      <c r="K28" s="211">
        <f t="shared" si="16"/>
        <v>0</v>
      </c>
      <c r="L28" s="211">
        <f t="shared" si="16"/>
        <v>0</v>
      </c>
      <c r="M28" s="211">
        <f t="shared" si="16"/>
        <v>0</v>
      </c>
      <c r="N28" s="211">
        <f t="shared" si="16"/>
        <v>0</v>
      </c>
      <c r="O28" s="211">
        <f t="shared" si="16"/>
        <v>0</v>
      </c>
      <c r="P28" s="211">
        <f t="shared" si="17"/>
        <v>0</v>
      </c>
      <c r="Q28" s="211">
        <f t="shared" si="17"/>
        <v>0</v>
      </c>
      <c r="R28" s="211">
        <f t="shared" si="17"/>
        <v>0</v>
      </c>
      <c r="S28" s="211">
        <f t="shared" si="17"/>
        <v>0</v>
      </c>
      <c r="T28" s="211">
        <f t="shared" si="17"/>
        <v>0</v>
      </c>
      <c r="U28" s="211">
        <f t="shared" si="17"/>
        <v>0</v>
      </c>
      <c r="V28" s="211">
        <f t="shared" si="17"/>
        <v>0</v>
      </c>
      <c r="W28" s="211">
        <f t="shared" si="17"/>
        <v>0</v>
      </c>
      <c r="X28" s="211">
        <f t="shared" si="17"/>
        <v>0</v>
      </c>
      <c r="Y28" s="211">
        <f t="shared" si="17"/>
        <v>0</v>
      </c>
      <c r="Z28" s="211">
        <f t="shared" si="18"/>
        <v>0</v>
      </c>
      <c r="AA28" s="211">
        <f t="shared" si="18"/>
        <v>0</v>
      </c>
      <c r="AB28" s="211">
        <f t="shared" si="18"/>
        <v>0</v>
      </c>
      <c r="AC28" s="211">
        <f t="shared" si="18"/>
        <v>0</v>
      </c>
      <c r="AD28" s="211">
        <f t="shared" si="18"/>
        <v>0</v>
      </c>
      <c r="AE28" s="211">
        <f t="shared" si="18"/>
        <v>0</v>
      </c>
      <c r="AF28" s="211">
        <f t="shared" si="18"/>
        <v>0</v>
      </c>
      <c r="AG28" s="211">
        <f t="shared" si="18"/>
        <v>0</v>
      </c>
      <c r="AH28" s="211">
        <f t="shared" si="18"/>
        <v>0</v>
      </c>
      <c r="AI28" s="211">
        <f t="shared" si="18"/>
        <v>0</v>
      </c>
      <c r="AJ28" s="211">
        <f t="shared" si="19"/>
        <v>0</v>
      </c>
      <c r="AK28" s="211">
        <f t="shared" si="19"/>
        <v>0</v>
      </c>
      <c r="AL28" s="211">
        <f t="shared" si="19"/>
        <v>0</v>
      </c>
      <c r="AM28" s="211">
        <f t="shared" si="19"/>
        <v>0</v>
      </c>
      <c r="AN28" s="211">
        <f t="shared" si="19"/>
        <v>0</v>
      </c>
      <c r="AO28" s="211">
        <f t="shared" si="19"/>
        <v>0</v>
      </c>
      <c r="AP28" s="211">
        <f t="shared" si="19"/>
        <v>0</v>
      </c>
      <c r="AQ28" s="211">
        <f t="shared" si="19"/>
        <v>0</v>
      </c>
      <c r="AR28" s="211">
        <f t="shared" si="19"/>
        <v>0</v>
      </c>
      <c r="AS28" s="211">
        <f t="shared" si="19"/>
        <v>0</v>
      </c>
      <c r="AT28" s="211">
        <f t="shared" si="20"/>
        <v>0</v>
      </c>
      <c r="AU28" s="211">
        <f t="shared" si="20"/>
        <v>0</v>
      </c>
      <c r="AV28" s="211">
        <f t="shared" si="20"/>
        <v>0</v>
      </c>
      <c r="AW28" s="211">
        <f t="shared" si="20"/>
        <v>0</v>
      </c>
      <c r="AX28" s="211">
        <f t="shared" si="20"/>
        <v>0</v>
      </c>
      <c r="AY28" s="211">
        <f t="shared" si="20"/>
        <v>0</v>
      </c>
      <c r="AZ28" s="211">
        <f t="shared" si="20"/>
        <v>0</v>
      </c>
      <c r="BA28" s="211">
        <f t="shared" si="20"/>
        <v>0</v>
      </c>
      <c r="BB28" s="211">
        <f t="shared" si="20"/>
        <v>0</v>
      </c>
      <c r="BC28" s="211">
        <f t="shared" si="20"/>
        <v>0</v>
      </c>
      <c r="BD28" s="211">
        <f t="shared" si="21"/>
        <v>0</v>
      </c>
      <c r="BE28" s="211">
        <f t="shared" si="21"/>
        <v>0</v>
      </c>
      <c r="BF28" s="211">
        <f t="shared" si="21"/>
        <v>0</v>
      </c>
      <c r="BG28" s="211">
        <f t="shared" si="21"/>
        <v>0</v>
      </c>
      <c r="BH28" s="211">
        <f t="shared" si="21"/>
        <v>0</v>
      </c>
      <c r="BI28" s="211">
        <f t="shared" si="21"/>
        <v>0</v>
      </c>
      <c r="BJ28" s="211">
        <f t="shared" si="21"/>
        <v>0</v>
      </c>
      <c r="BK28" s="211">
        <f t="shared" si="21"/>
        <v>0</v>
      </c>
      <c r="BL28" s="211">
        <f t="shared" si="21"/>
        <v>0</v>
      </c>
      <c r="BM28" s="211">
        <f t="shared" si="21"/>
        <v>0</v>
      </c>
      <c r="BN28" s="211">
        <f t="shared" si="22"/>
        <v>0</v>
      </c>
      <c r="BO28" s="211">
        <f t="shared" si="22"/>
        <v>0</v>
      </c>
      <c r="BP28" s="211">
        <f t="shared" si="22"/>
        <v>0</v>
      </c>
      <c r="BQ28" s="211">
        <f t="shared" si="22"/>
        <v>0</v>
      </c>
      <c r="BR28" s="211">
        <f t="shared" si="22"/>
        <v>0</v>
      </c>
      <c r="BS28" s="211">
        <f t="shared" si="22"/>
        <v>0</v>
      </c>
      <c r="BT28" s="211">
        <f t="shared" si="22"/>
        <v>0</v>
      </c>
      <c r="BU28" s="211">
        <f t="shared" si="22"/>
        <v>0</v>
      </c>
      <c r="BV28" s="211">
        <f t="shared" si="22"/>
        <v>0</v>
      </c>
      <c r="BW28" s="211">
        <f t="shared" si="22"/>
        <v>0</v>
      </c>
      <c r="BX28" s="211">
        <f t="shared" si="23"/>
        <v>0</v>
      </c>
      <c r="BY28" s="211">
        <f t="shared" si="23"/>
        <v>0</v>
      </c>
      <c r="BZ28" s="211">
        <f t="shared" si="23"/>
        <v>0</v>
      </c>
      <c r="CA28" s="211">
        <f t="shared" si="23"/>
        <v>0</v>
      </c>
      <c r="CB28" s="211">
        <f t="shared" si="23"/>
        <v>0</v>
      </c>
      <c r="CC28" s="211">
        <f t="shared" si="23"/>
        <v>0</v>
      </c>
      <c r="CD28" s="211">
        <f t="shared" si="23"/>
        <v>0</v>
      </c>
      <c r="CE28" s="211">
        <f t="shared" si="23"/>
        <v>0</v>
      </c>
      <c r="CF28" s="211">
        <f t="shared" si="23"/>
        <v>0</v>
      </c>
      <c r="CG28" s="211">
        <f t="shared" si="23"/>
        <v>0</v>
      </c>
      <c r="CH28" s="211">
        <f t="shared" si="24"/>
        <v>0</v>
      </c>
      <c r="CI28" s="211">
        <f t="shared" si="24"/>
        <v>0</v>
      </c>
      <c r="CJ28" s="211">
        <f t="shared" si="24"/>
        <v>0</v>
      </c>
      <c r="CK28" s="211">
        <f t="shared" si="24"/>
        <v>0</v>
      </c>
      <c r="CL28" s="211">
        <f t="shared" si="24"/>
        <v>0</v>
      </c>
      <c r="CM28" s="211">
        <f t="shared" si="24"/>
        <v>0</v>
      </c>
      <c r="CN28" s="211">
        <f t="shared" si="24"/>
        <v>0</v>
      </c>
      <c r="CO28" s="211">
        <f t="shared" si="24"/>
        <v>0</v>
      </c>
      <c r="CP28" s="211">
        <f t="shared" si="24"/>
        <v>0</v>
      </c>
      <c r="CQ28" s="211">
        <f t="shared" si="24"/>
        <v>0</v>
      </c>
      <c r="CR28" s="211">
        <f t="shared" si="25"/>
        <v>0</v>
      </c>
      <c r="CS28" s="211">
        <f t="shared" si="25"/>
        <v>0</v>
      </c>
      <c r="CT28" s="211">
        <f t="shared" si="25"/>
        <v>0</v>
      </c>
      <c r="CU28" s="211">
        <f t="shared" si="25"/>
        <v>0</v>
      </c>
      <c r="CV28" s="211">
        <f t="shared" si="25"/>
        <v>0</v>
      </c>
      <c r="CW28" s="211">
        <f t="shared" si="25"/>
        <v>0</v>
      </c>
      <c r="CX28" s="211">
        <f t="shared" si="25"/>
        <v>0</v>
      </c>
      <c r="CY28" s="211">
        <f t="shared" si="25"/>
        <v>0</v>
      </c>
      <c r="CZ28" s="211">
        <f t="shared" si="25"/>
        <v>0</v>
      </c>
      <c r="DA28" s="211">
        <f t="shared" si="25"/>
        <v>0</v>
      </c>
    </row>
    <row r="29" spans="1:105">
      <c r="A29" s="202" t="str">
        <f>Income!A76</f>
        <v>Animals sold</v>
      </c>
      <c r="B29" s="204">
        <f>Income!B76</f>
        <v>9317.8041841119357</v>
      </c>
      <c r="C29" s="204">
        <f>Income!C76</f>
        <v>14642.263717890182</v>
      </c>
      <c r="D29" s="204">
        <f>Income!D76</f>
        <v>21804.929519282352</v>
      </c>
      <c r="E29" s="204">
        <f>Income!E76</f>
        <v>0</v>
      </c>
      <c r="F29" s="211">
        <f t="shared" si="16"/>
        <v>9317.8041841119357</v>
      </c>
      <c r="G29" s="211">
        <f t="shared" si="16"/>
        <v>9317.8041841119357</v>
      </c>
      <c r="H29" s="211">
        <f t="shared" si="16"/>
        <v>9317.8041841119357</v>
      </c>
      <c r="I29" s="211">
        <f t="shared" si="16"/>
        <v>9317.8041841119357</v>
      </c>
      <c r="J29" s="211">
        <f t="shared" si="16"/>
        <v>9317.8041841119357</v>
      </c>
      <c r="K29" s="211">
        <f t="shared" si="16"/>
        <v>9317.8041841119357</v>
      </c>
      <c r="L29" s="211">
        <f t="shared" si="16"/>
        <v>9317.8041841119357</v>
      </c>
      <c r="M29" s="211">
        <f t="shared" si="16"/>
        <v>9317.8041841119357</v>
      </c>
      <c r="N29" s="211">
        <f t="shared" si="16"/>
        <v>9317.8041841119357</v>
      </c>
      <c r="O29" s="211">
        <f t="shared" si="16"/>
        <v>9317.8041841119357</v>
      </c>
      <c r="P29" s="211">
        <f t="shared" si="17"/>
        <v>9317.8041841119357</v>
      </c>
      <c r="Q29" s="211">
        <f t="shared" si="17"/>
        <v>9317.8041841119357</v>
      </c>
      <c r="R29" s="211">
        <f t="shared" si="17"/>
        <v>9317.8041841119357</v>
      </c>
      <c r="S29" s="211">
        <f t="shared" si="17"/>
        <v>9317.8041841119357</v>
      </c>
      <c r="T29" s="211">
        <f t="shared" si="17"/>
        <v>9317.8041841119357</v>
      </c>
      <c r="U29" s="211">
        <f t="shared" si="17"/>
        <v>9317.8041841119357</v>
      </c>
      <c r="V29" s="211">
        <f t="shared" si="17"/>
        <v>9317.8041841119357</v>
      </c>
      <c r="W29" s="211">
        <f t="shared" si="17"/>
        <v>9317.8041841119357</v>
      </c>
      <c r="X29" s="211">
        <f t="shared" si="17"/>
        <v>9317.8041841119357</v>
      </c>
      <c r="Y29" s="211">
        <f t="shared" si="17"/>
        <v>9317.8041841119357</v>
      </c>
      <c r="Z29" s="211">
        <f t="shared" si="18"/>
        <v>9317.8041841119357</v>
      </c>
      <c r="AA29" s="211">
        <f t="shared" si="18"/>
        <v>9452.6006280050551</v>
      </c>
      <c r="AB29" s="211">
        <f t="shared" si="18"/>
        <v>9587.3970718981764</v>
      </c>
      <c r="AC29" s="211">
        <f t="shared" si="18"/>
        <v>9722.1935157912958</v>
      </c>
      <c r="AD29" s="211">
        <f t="shared" si="18"/>
        <v>9856.989959684417</v>
      </c>
      <c r="AE29" s="211">
        <f t="shared" si="18"/>
        <v>9991.7864035775365</v>
      </c>
      <c r="AF29" s="211">
        <f t="shared" si="18"/>
        <v>10126.582847470656</v>
      </c>
      <c r="AG29" s="211">
        <f t="shared" si="18"/>
        <v>10261.379291363777</v>
      </c>
      <c r="AH29" s="211">
        <f t="shared" si="18"/>
        <v>10396.175735256897</v>
      </c>
      <c r="AI29" s="211">
        <f t="shared" si="18"/>
        <v>10530.972179150018</v>
      </c>
      <c r="AJ29" s="211">
        <f t="shared" si="19"/>
        <v>10665.768623043137</v>
      </c>
      <c r="AK29" s="211">
        <f t="shared" si="19"/>
        <v>10800.565066936259</v>
      </c>
      <c r="AL29" s="211">
        <f t="shared" si="19"/>
        <v>10935.361510829378</v>
      </c>
      <c r="AM29" s="211">
        <f t="shared" si="19"/>
        <v>11070.157954722497</v>
      </c>
      <c r="AN29" s="211">
        <f t="shared" si="19"/>
        <v>11204.954398615619</v>
      </c>
      <c r="AO29" s="211">
        <f t="shared" si="19"/>
        <v>11339.750842508738</v>
      </c>
      <c r="AP29" s="211">
        <f t="shared" si="19"/>
        <v>11474.547286401859</v>
      </c>
      <c r="AQ29" s="211">
        <f t="shared" si="19"/>
        <v>11609.343730294979</v>
      </c>
      <c r="AR29" s="211">
        <f t="shared" si="19"/>
        <v>11744.140174188098</v>
      </c>
      <c r="AS29" s="211">
        <f t="shared" si="19"/>
        <v>11878.936618081219</v>
      </c>
      <c r="AT29" s="211">
        <f t="shared" si="20"/>
        <v>12013.733061974339</v>
      </c>
      <c r="AU29" s="211">
        <f t="shared" si="20"/>
        <v>12148.52950586746</v>
      </c>
      <c r="AV29" s="211">
        <f t="shared" si="20"/>
        <v>12283.32594976058</v>
      </c>
      <c r="AW29" s="211">
        <f t="shared" si="20"/>
        <v>12418.122393653699</v>
      </c>
      <c r="AX29" s="211">
        <f t="shared" si="20"/>
        <v>12552.91883754682</v>
      </c>
      <c r="AY29" s="211">
        <f t="shared" si="20"/>
        <v>12687.71528143994</v>
      </c>
      <c r="AZ29" s="211">
        <f t="shared" si="20"/>
        <v>12822.511725333061</v>
      </c>
      <c r="BA29" s="211">
        <f t="shared" si="20"/>
        <v>12957.30816922618</v>
      </c>
      <c r="BB29" s="211">
        <f t="shared" si="20"/>
        <v>13092.1046131193</v>
      </c>
      <c r="BC29" s="211">
        <f t="shared" si="20"/>
        <v>13226.901057012421</v>
      </c>
      <c r="BD29" s="211">
        <f t="shared" si="21"/>
        <v>13361.69750090554</v>
      </c>
      <c r="BE29" s="211">
        <f t="shared" si="21"/>
        <v>13496.493944798662</v>
      </c>
      <c r="BF29" s="211">
        <f t="shared" si="21"/>
        <v>13631.290388691781</v>
      </c>
      <c r="BG29" s="211">
        <f t="shared" si="21"/>
        <v>13766.086832584901</v>
      </c>
      <c r="BH29" s="211">
        <f t="shared" si="21"/>
        <v>13900.883276478022</v>
      </c>
      <c r="BI29" s="211">
        <f t="shared" si="21"/>
        <v>14035.679720371141</v>
      </c>
      <c r="BJ29" s="211">
        <f t="shared" si="21"/>
        <v>14170.476164264262</v>
      </c>
      <c r="BK29" s="211">
        <f t="shared" si="21"/>
        <v>14305.272608157382</v>
      </c>
      <c r="BL29" s="211">
        <f t="shared" si="21"/>
        <v>14440.069052050501</v>
      </c>
      <c r="BM29" s="211">
        <f t="shared" si="21"/>
        <v>14574.865495943623</v>
      </c>
      <c r="BN29" s="211">
        <f t="shared" si="22"/>
        <v>14761.641481246719</v>
      </c>
      <c r="BO29" s="211">
        <f t="shared" si="22"/>
        <v>15000.397007959791</v>
      </c>
      <c r="BP29" s="211">
        <f t="shared" si="22"/>
        <v>15239.152534672863</v>
      </c>
      <c r="BQ29" s="211">
        <f t="shared" si="22"/>
        <v>15477.908061385935</v>
      </c>
      <c r="BR29" s="211">
        <f t="shared" si="22"/>
        <v>15716.663588099007</v>
      </c>
      <c r="BS29" s="211">
        <f t="shared" si="22"/>
        <v>15955.419114812081</v>
      </c>
      <c r="BT29" s="211">
        <f t="shared" si="22"/>
        <v>16194.174641525153</v>
      </c>
      <c r="BU29" s="211">
        <f t="shared" si="22"/>
        <v>16432.930168238225</v>
      </c>
      <c r="BV29" s="211">
        <f t="shared" si="22"/>
        <v>16671.685694951299</v>
      </c>
      <c r="BW29" s="211">
        <f t="shared" si="22"/>
        <v>16910.441221664369</v>
      </c>
      <c r="BX29" s="211">
        <f t="shared" si="23"/>
        <v>17149.196748377442</v>
      </c>
      <c r="BY29" s="211">
        <f t="shared" si="23"/>
        <v>17387.952275090513</v>
      </c>
      <c r="BZ29" s="211">
        <f t="shared" si="23"/>
        <v>17626.707801803586</v>
      </c>
      <c r="CA29" s="211">
        <f t="shared" si="23"/>
        <v>17865.46332851666</v>
      </c>
      <c r="CB29" s="211">
        <f t="shared" si="23"/>
        <v>18104.21885522973</v>
      </c>
      <c r="CC29" s="211">
        <f t="shared" si="23"/>
        <v>18342.974381942804</v>
      </c>
      <c r="CD29" s="211">
        <f t="shared" si="23"/>
        <v>18581.729908655874</v>
      </c>
      <c r="CE29" s="211">
        <f t="shared" si="23"/>
        <v>18820.485435368948</v>
      </c>
      <c r="CF29" s="211">
        <f t="shared" si="23"/>
        <v>19059.240962082018</v>
      </c>
      <c r="CG29" s="211">
        <f t="shared" si="23"/>
        <v>19297.996488795092</v>
      </c>
      <c r="CH29" s="211">
        <f t="shared" si="24"/>
        <v>19536.752015508166</v>
      </c>
      <c r="CI29" s="211">
        <f t="shared" si="24"/>
        <v>19775.507542221239</v>
      </c>
      <c r="CJ29" s="211">
        <f t="shared" si="24"/>
        <v>20014.26306893431</v>
      </c>
      <c r="CK29" s="211">
        <f t="shared" si="24"/>
        <v>20253.01859564738</v>
      </c>
      <c r="CL29" s="211">
        <f t="shared" si="24"/>
        <v>20491.774122360453</v>
      </c>
      <c r="CM29" s="211">
        <f t="shared" si="24"/>
        <v>20730.529649073527</v>
      </c>
      <c r="CN29" s="211">
        <f t="shared" si="24"/>
        <v>20969.285175786601</v>
      </c>
      <c r="CO29" s="211">
        <f t="shared" si="24"/>
        <v>21208.040702499671</v>
      </c>
      <c r="CP29" s="211">
        <f t="shared" si="24"/>
        <v>21446.796229212741</v>
      </c>
      <c r="CQ29" s="211">
        <f t="shared" si="24"/>
        <v>21685.551755925815</v>
      </c>
      <c r="CR29" s="211">
        <f t="shared" si="25"/>
        <v>20766.59954217367</v>
      </c>
      <c r="CS29" s="211">
        <f t="shared" si="25"/>
        <v>18689.939587956302</v>
      </c>
      <c r="CT29" s="211">
        <f t="shared" si="25"/>
        <v>16613.279633738937</v>
      </c>
      <c r="CU29" s="211">
        <f t="shared" si="25"/>
        <v>14536.619679521569</v>
      </c>
      <c r="CV29" s="211">
        <f t="shared" si="25"/>
        <v>12459.959725304201</v>
      </c>
      <c r="CW29" s="211">
        <f t="shared" si="25"/>
        <v>10383.299771086835</v>
      </c>
      <c r="CX29" s="211">
        <f t="shared" si="25"/>
        <v>8306.6398168694668</v>
      </c>
      <c r="CY29" s="211">
        <f t="shared" si="25"/>
        <v>6229.9798626521006</v>
      </c>
      <c r="CZ29" s="211">
        <f t="shared" si="25"/>
        <v>4153.3199084347325</v>
      </c>
      <c r="DA29" s="211">
        <f t="shared" si="25"/>
        <v>2076.6599542173681</v>
      </c>
    </row>
    <row r="30" spans="1:105">
      <c r="A30" s="202" t="str">
        <f>Income!A77</f>
        <v>Wild foods consumed and sold</v>
      </c>
      <c r="B30" s="204">
        <f>Income!B77</f>
        <v>134.83800122135537</v>
      </c>
      <c r="C30" s="204">
        <f>Income!C77</f>
        <v>134.83800122135534</v>
      </c>
      <c r="D30" s="204">
        <f>Income!D77</f>
        <v>205.46743043254153</v>
      </c>
      <c r="E30" s="204">
        <f>Income!E77</f>
        <v>0</v>
      </c>
      <c r="F30" s="211">
        <f t="shared" si="16"/>
        <v>134.83800122135537</v>
      </c>
      <c r="G30" s="211">
        <f t="shared" si="16"/>
        <v>134.83800122135537</v>
      </c>
      <c r="H30" s="211">
        <f t="shared" si="16"/>
        <v>134.83800122135537</v>
      </c>
      <c r="I30" s="211">
        <f t="shared" si="16"/>
        <v>134.83800122135537</v>
      </c>
      <c r="J30" s="211">
        <f t="shared" si="16"/>
        <v>134.83800122135537</v>
      </c>
      <c r="K30" s="211">
        <f t="shared" si="16"/>
        <v>134.83800122135537</v>
      </c>
      <c r="L30" s="211">
        <f t="shared" si="16"/>
        <v>134.83800122135537</v>
      </c>
      <c r="M30" s="211">
        <f t="shared" si="16"/>
        <v>134.83800122135537</v>
      </c>
      <c r="N30" s="211">
        <f t="shared" si="16"/>
        <v>134.83800122135537</v>
      </c>
      <c r="O30" s="211">
        <f t="shared" si="16"/>
        <v>134.83800122135537</v>
      </c>
      <c r="P30" s="211">
        <f t="shared" si="17"/>
        <v>134.83800122135537</v>
      </c>
      <c r="Q30" s="211">
        <f t="shared" si="17"/>
        <v>134.83800122135537</v>
      </c>
      <c r="R30" s="211">
        <f t="shared" si="17"/>
        <v>134.83800122135537</v>
      </c>
      <c r="S30" s="211">
        <f t="shared" si="17"/>
        <v>134.83800122135537</v>
      </c>
      <c r="T30" s="211">
        <f t="shared" si="17"/>
        <v>134.83800122135537</v>
      </c>
      <c r="U30" s="211">
        <f t="shared" si="17"/>
        <v>134.83800122135537</v>
      </c>
      <c r="V30" s="211">
        <f t="shared" si="17"/>
        <v>134.83800122135537</v>
      </c>
      <c r="W30" s="211">
        <f t="shared" si="17"/>
        <v>134.83800122135537</v>
      </c>
      <c r="X30" s="211">
        <f t="shared" si="17"/>
        <v>134.83800122135537</v>
      </c>
      <c r="Y30" s="211">
        <f t="shared" si="17"/>
        <v>134.83800122135537</v>
      </c>
      <c r="Z30" s="211">
        <f t="shared" si="18"/>
        <v>134.83800122135537</v>
      </c>
      <c r="AA30" s="211">
        <f t="shared" si="18"/>
        <v>134.83800122135537</v>
      </c>
      <c r="AB30" s="211">
        <f t="shared" si="18"/>
        <v>134.83800122135537</v>
      </c>
      <c r="AC30" s="211">
        <f t="shared" si="18"/>
        <v>134.83800122135537</v>
      </c>
      <c r="AD30" s="211">
        <f t="shared" si="18"/>
        <v>134.83800122135537</v>
      </c>
      <c r="AE30" s="211">
        <f t="shared" si="18"/>
        <v>134.83800122135537</v>
      </c>
      <c r="AF30" s="211">
        <f t="shared" si="18"/>
        <v>134.83800122135537</v>
      </c>
      <c r="AG30" s="211">
        <f t="shared" si="18"/>
        <v>134.83800122135537</v>
      </c>
      <c r="AH30" s="211">
        <f t="shared" si="18"/>
        <v>134.83800122135537</v>
      </c>
      <c r="AI30" s="211">
        <f t="shared" si="18"/>
        <v>134.83800122135537</v>
      </c>
      <c r="AJ30" s="211">
        <f t="shared" si="19"/>
        <v>134.83800122135537</v>
      </c>
      <c r="AK30" s="211">
        <f t="shared" si="19"/>
        <v>134.83800122135537</v>
      </c>
      <c r="AL30" s="211">
        <f t="shared" si="19"/>
        <v>134.83800122135537</v>
      </c>
      <c r="AM30" s="211">
        <f t="shared" si="19"/>
        <v>134.83800122135537</v>
      </c>
      <c r="AN30" s="211">
        <f t="shared" si="19"/>
        <v>134.83800122135537</v>
      </c>
      <c r="AO30" s="211">
        <f t="shared" si="19"/>
        <v>134.83800122135537</v>
      </c>
      <c r="AP30" s="211">
        <f t="shared" si="19"/>
        <v>134.83800122135537</v>
      </c>
      <c r="AQ30" s="211">
        <f t="shared" si="19"/>
        <v>134.83800122135537</v>
      </c>
      <c r="AR30" s="211">
        <f t="shared" si="19"/>
        <v>134.83800122135537</v>
      </c>
      <c r="AS30" s="211">
        <f t="shared" si="19"/>
        <v>134.83800122135537</v>
      </c>
      <c r="AT30" s="211">
        <f t="shared" si="20"/>
        <v>134.83800122135534</v>
      </c>
      <c r="AU30" s="211">
        <f t="shared" si="20"/>
        <v>134.83800122135534</v>
      </c>
      <c r="AV30" s="211">
        <f t="shared" si="20"/>
        <v>134.83800122135534</v>
      </c>
      <c r="AW30" s="211">
        <f t="shared" si="20"/>
        <v>134.83800122135534</v>
      </c>
      <c r="AX30" s="211">
        <f t="shared" si="20"/>
        <v>134.83800122135534</v>
      </c>
      <c r="AY30" s="211">
        <f t="shared" si="20"/>
        <v>134.83800122135534</v>
      </c>
      <c r="AZ30" s="211">
        <f t="shared" si="20"/>
        <v>134.83800122135534</v>
      </c>
      <c r="BA30" s="211">
        <f t="shared" si="20"/>
        <v>134.83800122135534</v>
      </c>
      <c r="BB30" s="211">
        <f t="shared" si="20"/>
        <v>134.83800122135534</v>
      </c>
      <c r="BC30" s="211">
        <f t="shared" si="20"/>
        <v>134.83800122135534</v>
      </c>
      <c r="BD30" s="211">
        <f t="shared" si="21"/>
        <v>134.83800122135534</v>
      </c>
      <c r="BE30" s="211">
        <f t="shared" si="21"/>
        <v>134.83800122135534</v>
      </c>
      <c r="BF30" s="211">
        <f t="shared" si="21"/>
        <v>134.83800122135534</v>
      </c>
      <c r="BG30" s="211">
        <f t="shared" si="21"/>
        <v>134.83800122135534</v>
      </c>
      <c r="BH30" s="211">
        <f t="shared" si="21"/>
        <v>134.83800122135534</v>
      </c>
      <c r="BI30" s="211">
        <f t="shared" si="21"/>
        <v>134.83800122135534</v>
      </c>
      <c r="BJ30" s="211">
        <f t="shared" si="21"/>
        <v>134.83800122135534</v>
      </c>
      <c r="BK30" s="211">
        <f t="shared" si="21"/>
        <v>134.83800122135534</v>
      </c>
      <c r="BL30" s="211">
        <f t="shared" si="21"/>
        <v>134.83800122135534</v>
      </c>
      <c r="BM30" s="211">
        <f t="shared" si="21"/>
        <v>134.83800122135534</v>
      </c>
      <c r="BN30" s="211">
        <f t="shared" si="22"/>
        <v>136.01515837487511</v>
      </c>
      <c r="BO30" s="211">
        <f t="shared" si="22"/>
        <v>138.36947268191466</v>
      </c>
      <c r="BP30" s="211">
        <f t="shared" si="22"/>
        <v>140.7237869889542</v>
      </c>
      <c r="BQ30" s="211">
        <f t="shared" si="22"/>
        <v>143.07810129599372</v>
      </c>
      <c r="BR30" s="211">
        <f t="shared" si="22"/>
        <v>145.43241560303326</v>
      </c>
      <c r="BS30" s="211">
        <f t="shared" si="22"/>
        <v>147.78672991007281</v>
      </c>
      <c r="BT30" s="211">
        <f t="shared" si="22"/>
        <v>150.14104421711235</v>
      </c>
      <c r="BU30" s="211">
        <f t="shared" si="22"/>
        <v>152.4953585241519</v>
      </c>
      <c r="BV30" s="211">
        <f t="shared" si="22"/>
        <v>154.84967283119141</v>
      </c>
      <c r="BW30" s="211">
        <f t="shared" si="22"/>
        <v>157.20398713823096</v>
      </c>
      <c r="BX30" s="211">
        <f t="shared" si="23"/>
        <v>159.5583014452705</v>
      </c>
      <c r="BY30" s="211">
        <f t="shared" si="23"/>
        <v>161.91261575231005</v>
      </c>
      <c r="BZ30" s="211">
        <f t="shared" si="23"/>
        <v>164.26693005934959</v>
      </c>
      <c r="CA30" s="211">
        <f t="shared" si="23"/>
        <v>166.62124436638913</v>
      </c>
      <c r="CB30" s="211">
        <f t="shared" si="23"/>
        <v>168.97555867342868</v>
      </c>
      <c r="CC30" s="211">
        <f t="shared" si="23"/>
        <v>171.32987298046822</v>
      </c>
      <c r="CD30" s="211">
        <f t="shared" si="23"/>
        <v>173.68418728750774</v>
      </c>
      <c r="CE30" s="211">
        <f t="shared" si="23"/>
        <v>176.03850159454728</v>
      </c>
      <c r="CF30" s="211">
        <f t="shared" si="23"/>
        <v>178.39281590158683</v>
      </c>
      <c r="CG30" s="211">
        <f t="shared" si="23"/>
        <v>180.74713020862637</v>
      </c>
      <c r="CH30" s="211">
        <f t="shared" si="24"/>
        <v>183.10144451566592</v>
      </c>
      <c r="CI30" s="211">
        <f t="shared" si="24"/>
        <v>185.45575882270543</v>
      </c>
      <c r="CJ30" s="211">
        <f t="shared" si="24"/>
        <v>187.81007312974498</v>
      </c>
      <c r="CK30" s="211">
        <f t="shared" si="24"/>
        <v>190.16438743678452</v>
      </c>
      <c r="CL30" s="211">
        <f t="shared" si="24"/>
        <v>192.51870174382407</v>
      </c>
      <c r="CM30" s="211">
        <f t="shared" si="24"/>
        <v>194.87301605086361</v>
      </c>
      <c r="CN30" s="211">
        <f t="shared" si="24"/>
        <v>197.22733035790316</v>
      </c>
      <c r="CO30" s="211">
        <f t="shared" si="24"/>
        <v>199.5816446649427</v>
      </c>
      <c r="CP30" s="211">
        <f t="shared" si="24"/>
        <v>201.93595897198225</v>
      </c>
      <c r="CQ30" s="211">
        <f t="shared" si="24"/>
        <v>204.29027327902179</v>
      </c>
      <c r="CR30" s="211">
        <f t="shared" si="25"/>
        <v>195.68326707861098</v>
      </c>
      <c r="CS30" s="211">
        <f t="shared" si="25"/>
        <v>176.11494037074988</v>
      </c>
      <c r="CT30" s="211">
        <f t="shared" si="25"/>
        <v>156.54661366288877</v>
      </c>
      <c r="CU30" s="211">
        <f t="shared" si="25"/>
        <v>136.97828695502767</v>
      </c>
      <c r="CV30" s="211">
        <f t="shared" si="25"/>
        <v>117.40996024716659</v>
      </c>
      <c r="CW30" s="211">
        <f t="shared" si="25"/>
        <v>97.841633539305491</v>
      </c>
      <c r="CX30" s="211">
        <f t="shared" si="25"/>
        <v>78.273306831444401</v>
      </c>
      <c r="CY30" s="211">
        <f t="shared" si="25"/>
        <v>58.704980123583312</v>
      </c>
      <c r="CZ30" s="211">
        <f t="shared" si="25"/>
        <v>39.136653415722179</v>
      </c>
      <c r="DA30" s="211">
        <f t="shared" si="25"/>
        <v>19.568326707861104</v>
      </c>
    </row>
    <row r="31" spans="1:105">
      <c r="A31" s="202" t="str">
        <f>Income!A78</f>
        <v>Labour - casual</v>
      </c>
      <c r="B31" s="204">
        <f>Income!B78</f>
        <v>2396.006790200212</v>
      </c>
      <c r="C31" s="204">
        <f>Income!C78</f>
        <v>1597.3378601334746</v>
      </c>
      <c r="D31" s="204">
        <f>Income!D78</f>
        <v>0</v>
      </c>
      <c r="E31" s="204">
        <f>Income!E78</f>
        <v>0</v>
      </c>
      <c r="F31" s="211">
        <f t="shared" si="16"/>
        <v>2396.006790200212</v>
      </c>
      <c r="G31" s="211">
        <f t="shared" si="16"/>
        <v>2396.006790200212</v>
      </c>
      <c r="H31" s="211">
        <f t="shared" si="16"/>
        <v>2396.006790200212</v>
      </c>
      <c r="I31" s="211">
        <f t="shared" si="16"/>
        <v>2396.006790200212</v>
      </c>
      <c r="J31" s="211">
        <f t="shared" si="16"/>
        <v>2396.006790200212</v>
      </c>
      <c r="K31" s="211">
        <f t="shared" si="16"/>
        <v>2396.006790200212</v>
      </c>
      <c r="L31" s="211">
        <f t="shared" si="16"/>
        <v>2396.006790200212</v>
      </c>
      <c r="M31" s="211">
        <f t="shared" si="16"/>
        <v>2396.006790200212</v>
      </c>
      <c r="N31" s="211">
        <f t="shared" si="16"/>
        <v>2396.006790200212</v>
      </c>
      <c r="O31" s="211">
        <f t="shared" si="16"/>
        <v>2396.006790200212</v>
      </c>
      <c r="P31" s="211">
        <f t="shared" si="17"/>
        <v>2396.006790200212</v>
      </c>
      <c r="Q31" s="211">
        <f t="shared" si="17"/>
        <v>2396.006790200212</v>
      </c>
      <c r="R31" s="211">
        <f t="shared" si="17"/>
        <v>2396.006790200212</v>
      </c>
      <c r="S31" s="211">
        <f t="shared" si="17"/>
        <v>2396.006790200212</v>
      </c>
      <c r="T31" s="211">
        <f t="shared" si="17"/>
        <v>2396.006790200212</v>
      </c>
      <c r="U31" s="211">
        <f t="shared" si="17"/>
        <v>2396.006790200212</v>
      </c>
      <c r="V31" s="211">
        <f t="shared" si="17"/>
        <v>2396.006790200212</v>
      </c>
      <c r="W31" s="211">
        <f t="shared" si="17"/>
        <v>2396.006790200212</v>
      </c>
      <c r="X31" s="211">
        <f t="shared" si="17"/>
        <v>2396.006790200212</v>
      </c>
      <c r="Y31" s="211">
        <f t="shared" si="17"/>
        <v>2396.006790200212</v>
      </c>
      <c r="Z31" s="211">
        <f t="shared" si="18"/>
        <v>2396.006790200212</v>
      </c>
      <c r="AA31" s="211">
        <f t="shared" si="18"/>
        <v>2375.7873236162441</v>
      </c>
      <c r="AB31" s="211">
        <f t="shared" si="18"/>
        <v>2355.5678570322757</v>
      </c>
      <c r="AC31" s="211">
        <f t="shared" si="18"/>
        <v>2335.3483904483078</v>
      </c>
      <c r="AD31" s="211">
        <f t="shared" si="18"/>
        <v>2315.1289238643399</v>
      </c>
      <c r="AE31" s="211">
        <f t="shared" si="18"/>
        <v>2294.909457280372</v>
      </c>
      <c r="AF31" s="211">
        <f t="shared" si="18"/>
        <v>2274.6899906964036</v>
      </c>
      <c r="AG31" s="211">
        <f t="shared" si="18"/>
        <v>2254.4705241124357</v>
      </c>
      <c r="AH31" s="211">
        <f t="shared" si="18"/>
        <v>2234.2510575284678</v>
      </c>
      <c r="AI31" s="211">
        <f t="shared" si="18"/>
        <v>2214.0315909444998</v>
      </c>
      <c r="AJ31" s="211">
        <f t="shared" si="19"/>
        <v>2193.8121243605315</v>
      </c>
      <c r="AK31" s="211">
        <f t="shared" si="19"/>
        <v>2173.5926577765636</v>
      </c>
      <c r="AL31" s="211">
        <f t="shared" si="19"/>
        <v>2153.3731911925956</v>
      </c>
      <c r="AM31" s="211">
        <f t="shared" si="19"/>
        <v>2133.1537246086273</v>
      </c>
      <c r="AN31" s="211">
        <f t="shared" si="19"/>
        <v>2112.9342580246594</v>
      </c>
      <c r="AO31" s="211">
        <f t="shared" si="19"/>
        <v>2092.7147914406914</v>
      </c>
      <c r="AP31" s="211">
        <f t="shared" si="19"/>
        <v>2072.4953248567235</v>
      </c>
      <c r="AQ31" s="211">
        <f t="shared" si="19"/>
        <v>2052.2758582727556</v>
      </c>
      <c r="AR31" s="211">
        <f t="shared" si="19"/>
        <v>2032.0563916887872</v>
      </c>
      <c r="AS31" s="211">
        <f t="shared" si="19"/>
        <v>2011.8369251048193</v>
      </c>
      <c r="AT31" s="211">
        <f t="shared" si="20"/>
        <v>1991.6174585208512</v>
      </c>
      <c r="AU31" s="211">
        <f t="shared" si="20"/>
        <v>1971.3979919368833</v>
      </c>
      <c r="AV31" s="211">
        <f t="shared" si="20"/>
        <v>1951.1785253529151</v>
      </c>
      <c r="AW31" s="211">
        <f t="shared" si="20"/>
        <v>1930.9590587689472</v>
      </c>
      <c r="AX31" s="211">
        <f t="shared" si="20"/>
        <v>1910.7395921849793</v>
      </c>
      <c r="AY31" s="211">
        <f t="shared" si="20"/>
        <v>1890.5201256010112</v>
      </c>
      <c r="AZ31" s="211">
        <f t="shared" si="20"/>
        <v>1870.300659017043</v>
      </c>
      <c r="BA31" s="211">
        <f t="shared" si="20"/>
        <v>1850.0811924330751</v>
      </c>
      <c r="BB31" s="211">
        <f t="shared" si="20"/>
        <v>1829.861725849107</v>
      </c>
      <c r="BC31" s="211">
        <f t="shared" si="20"/>
        <v>1809.6422592651388</v>
      </c>
      <c r="BD31" s="211">
        <f t="shared" si="21"/>
        <v>1789.4227926811709</v>
      </c>
      <c r="BE31" s="211">
        <f t="shared" si="21"/>
        <v>1769.203326097203</v>
      </c>
      <c r="BF31" s="211">
        <f t="shared" si="21"/>
        <v>1748.9838595132348</v>
      </c>
      <c r="BG31" s="211">
        <f t="shared" si="21"/>
        <v>1728.7643929292667</v>
      </c>
      <c r="BH31" s="211">
        <f t="shared" si="21"/>
        <v>1708.5449263452988</v>
      </c>
      <c r="BI31" s="211">
        <f t="shared" si="21"/>
        <v>1688.3254597613309</v>
      </c>
      <c r="BJ31" s="211">
        <f t="shared" si="21"/>
        <v>1668.1059931773627</v>
      </c>
      <c r="BK31" s="211">
        <f t="shared" si="21"/>
        <v>1647.8865265933946</v>
      </c>
      <c r="BL31" s="211">
        <f t="shared" si="21"/>
        <v>1627.6670600094267</v>
      </c>
      <c r="BM31" s="211">
        <f t="shared" si="21"/>
        <v>1607.4475934254585</v>
      </c>
      <c r="BN31" s="211">
        <f t="shared" si="22"/>
        <v>1570.7155624645834</v>
      </c>
      <c r="BO31" s="211">
        <f t="shared" si="22"/>
        <v>1517.4709671268008</v>
      </c>
      <c r="BP31" s="211">
        <f t="shared" si="22"/>
        <v>1464.2263717890185</v>
      </c>
      <c r="BQ31" s="211">
        <f t="shared" si="22"/>
        <v>1410.9817764512359</v>
      </c>
      <c r="BR31" s="211">
        <f t="shared" si="22"/>
        <v>1357.7371811134533</v>
      </c>
      <c r="BS31" s="211">
        <f t="shared" si="22"/>
        <v>1304.4925857756709</v>
      </c>
      <c r="BT31" s="211">
        <f t="shared" si="22"/>
        <v>1251.2479904378883</v>
      </c>
      <c r="BU31" s="211">
        <f t="shared" si="22"/>
        <v>1198.003395100106</v>
      </c>
      <c r="BV31" s="211">
        <f t="shared" si="22"/>
        <v>1144.7587997623234</v>
      </c>
      <c r="BW31" s="211">
        <f t="shared" si="22"/>
        <v>1091.5142044245408</v>
      </c>
      <c r="BX31" s="211">
        <f t="shared" si="23"/>
        <v>1038.2696090867585</v>
      </c>
      <c r="BY31" s="211">
        <f t="shared" si="23"/>
        <v>985.02501374897599</v>
      </c>
      <c r="BZ31" s="211">
        <f t="shared" si="23"/>
        <v>931.78041841119352</v>
      </c>
      <c r="CA31" s="211">
        <f t="shared" si="23"/>
        <v>878.53582307341094</v>
      </c>
      <c r="CB31" s="211">
        <f t="shared" si="23"/>
        <v>825.29122773562858</v>
      </c>
      <c r="CC31" s="211">
        <f t="shared" si="23"/>
        <v>772.04663239784611</v>
      </c>
      <c r="CD31" s="211">
        <f t="shared" si="23"/>
        <v>718.80203706006353</v>
      </c>
      <c r="CE31" s="211">
        <f t="shared" si="23"/>
        <v>665.55744172228106</v>
      </c>
      <c r="CF31" s="211">
        <f t="shared" si="23"/>
        <v>612.31284638449858</v>
      </c>
      <c r="CG31" s="211">
        <f t="shared" si="23"/>
        <v>559.06825104671611</v>
      </c>
      <c r="CH31" s="211">
        <f t="shared" si="24"/>
        <v>505.82365570893353</v>
      </c>
      <c r="CI31" s="211">
        <f t="shared" si="24"/>
        <v>452.57906037115117</v>
      </c>
      <c r="CJ31" s="211">
        <f t="shared" si="24"/>
        <v>399.33446503336859</v>
      </c>
      <c r="CK31" s="211">
        <f t="shared" si="24"/>
        <v>346.08986969558623</v>
      </c>
      <c r="CL31" s="211">
        <f t="shared" si="24"/>
        <v>292.84527435780365</v>
      </c>
      <c r="CM31" s="211">
        <f t="shared" si="24"/>
        <v>239.60067902002106</v>
      </c>
      <c r="CN31" s="211">
        <f t="shared" si="24"/>
        <v>186.3560836822387</v>
      </c>
      <c r="CO31" s="211">
        <f t="shared" si="24"/>
        <v>133.11148834445612</v>
      </c>
      <c r="CP31" s="211">
        <f t="shared" si="24"/>
        <v>79.866893006673763</v>
      </c>
      <c r="CQ31" s="211">
        <f t="shared" si="24"/>
        <v>26.622297668891406</v>
      </c>
      <c r="CR31" s="211">
        <f t="shared" si="25"/>
        <v>0</v>
      </c>
      <c r="CS31" s="211">
        <f t="shared" si="25"/>
        <v>0</v>
      </c>
      <c r="CT31" s="211">
        <f t="shared" si="25"/>
        <v>0</v>
      </c>
      <c r="CU31" s="211">
        <f t="shared" si="25"/>
        <v>0</v>
      </c>
      <c r="CV31" s="211">
        <f t="shared" si="25"/>
        <v>0</v>
      </c>
      <c r="CW31" s="211">
        <f t="shared" si="25"/>
        <v>0</v>
      </c>
      <c r="CX31" s="211">
        <f t="shared" si="25"/>
        <v>0</v>
      </c>
      <c r="CY31" s="211">
        <f t="shared" si="25"/>
        <v>0</v>
      </c>
      <c r="CZ31" s="211">
        <f t="shared" si="25"/>
        <v>0</v>
      </c>
      <c r="DA31" s="211">
        <f t="shared" si="25"/>
        <v>0</v>
      </c>
    </row>
    <row r="32" spans="1:105">
      <c r="A32" s="202" t="str">
        <f>Income!A79</f>
        <v>Labour - formal emp</v>
      </c>
      <c r="B32" s="204">
        <f>Income!B79</f>
        <v>0</v>
      </c>
      <c r="C32" s="204">
        <f>Income!C79</f>
        <v>0</v>
      </c>
      <c r="D32" s="204">
        <f>Income!D79</f>
        <v>74643.851749729351</v>
      </c>
      <c r="E32" s="204">
        <f>Income!E79</f>
        <v>0</v>
      </c>
      <c r="F32" s="211">
        <f t="shared" si="16"/>
        <v>0</v>
      </c>
      <c r="G32" s="211">
        <f t="shared" si="16"/>
        <v>0</v>
      </c>
      <c r="H32" s="211">
        <f t="shared" si="16"/>
        <v>0</v>
      </c>
      <c r="I32" s="211">
        <f t="shared" si="16"/>
        <v>0</v>
      </c>
      <c r="J32" s="211">
        <f t="shared" si="16"/>
        <v>0</v>
      </c>
      <c r="K32" s="211">
        <f t="shared" si="16"/>
        <v>0</v>
      </c>
      <c r="L32" s="211">
        <f t="shared" si="16"/>
        <v>0</v>
      </c>
      <c r="M32" s="211">
        <f t="shared" si="16"/>
        <v>0</v>
      </c>
      <c r="N32" s="211">
        <f t="shared" si="16"/>
        <v>0</v>
      </c>
      <c r="O32" s="211">
        <f t="shared" si="16"/>
        <v>0</v>
      </c>
      <c r="P32" s="211">
        <f t="shared" si="17"/>
        <v>0</v>
      </c>
      <c r="Q32" s="211">
        <f t="shared" si="17"/>
        <v>0</v>
      </c>
      <c r="R32" s="211">
        <f t="shared" si="17"/>
        <v>0</v>
      </c>
      <c r="S32" s="211">
        <f t="shared" si="17"/>
        <v>0</v>
      </c>
      <c r="T32" s="211">
        <f t="shared" si="17"/>
        <v>0</v>
      </c>
      <c r="U32" s="211">
        <f t="shared" si="17"/>
        <v>0</v>
      </c>
      <c r="V32" s="211">
        <f t="shared" si="17"/>
        <v>0</v>
      </c>
      <c r="W32" s="211">
        <f t="shared" si="17"/>
        <v>0</v>
      </c>
      <c r="X32" s="211">
        <f t="shared" si="17"/>
        <v>0</v>
      </c>
      <c r="Y32" s="211">
        <f t="shared" si="17"/>
        <v>0</v>
      </c>
      <c r="Z32" s="211">
        <f t="shared" si="18"/>
        <v>0</v>
      </c>
      <c r="AA32" s="211">
        <f t="shared" si="18"/>
        <v>0</v>
      </c>
      <c r="AB32" s="211">
        <f t="shared" si="18"/>
        <v>0</v>
      </c>
      <c r="AC32" s="211">
        <f t="shared" si="18"/>
        <v>0</v>
      </c>
      <c r="AD32" s="211">
        <f t="shared" si="18"/>
        <v>0</v>
      </c>
      <c r="AE32" s="211">
        <f t="shared" si="18"/>
        <v>0</v>
      </c>
      <c r="AF32" s="211">
        <f t="shared" si="18"/>
        <v>0</v>
      </c>
      <c r="AG32" s="211">
        <f t="shared" si="18"/>
        <v>0</v>
      </c>
      <c r="AH32" s="211">
        <f t="shared" si="18"/>
        <v>0</v>
      </c>
      <c r="AI32" s="211">
        <f t="shared" si="18"/>
        <v>0</v>
      </c>
      <c r="AJ32" s="211">
        <f t="shared" si="19"/>
        <v>0</v>
      </c>
      <c r="AK32" s="211">
        <f t="shared" si="19"/>
        <v>0</v>
      </c>
      <c r="AL32" s="211">
        <f t="shared" si="19"/>
        <v>0</v>
      </c>
      <c r="AM32" s="211">
        <f t="shared" si="19"/>
        <v>0</v>
      </c>
      <c r="AN32" s="211">
        <f t="shared" si="19"/>
        <v>0</v>
      </c>
      <c r="AO32" s="211">
        <f t="shared" si="19"/>
        <v>0</v>
      </c>
      <c r="AP32" s="211">
        <f t="shared" si="19"/>
        <v>0</v>
      </c>
      <c r="AQ32" s="211">
        <f t="shared" si="19"/>
        <v>0</v>
      </c>
      <c r="AR32" s="211">
        <f t="shared" si="19"/>
        <v>0</v>
      </c>
      <c r="AS32" s="211">
        <f t="shared" si="19"/>
        <v>0</v>
      </c>
      <c r="AT32" s="211">
        <f t="shared" si="20"/>
        <v>0</v>
      </c>
      <c r="AU32" s="211">
        <f t="shared" si="20"/>
        <v>0</v>
      </c>
      <c r="AV32" s="211">
        <f t="shared" si="20"/>
        <v>0</v>
      </c>
      <c r="AW32" s="211">
        <f t="shared" si="20"/>
        <v>0</v>
      </c>
      <c r="AX32" s="211">
        <f t="shared" si="20"/>
        <v>0</v>
      </c>
      <c r="AY32" s="211">
        <f t="shared" si="20"/>
        <v>0</v>
      </c>
      <c r="AZ32" s="211">
        <f t="shared" si="20"/>
        <v>0</v>
      </c>
      <c r="BA32" s="211">
        <f t="shared" si="20"/>
        <v>0</v>
      </c>
      <c r="BB32" s="211">
        <f t="shared" si="20"/>
        <v>0</v>
      </c>
      <c r="BC32" s="211">
        <f t="shared" si="20"/>
        <v>0</v>
      </c>
      <c r="BD32" s="211">
        <f t="shared" si="21"/>
        <v>0</v>
      </c>
      <c r="BE32" s="211">
        <f t="shared" si="21"/>
        <v>0</v>
      </c>
      <c r="BF32" s="211">
        <f t="shared" si="21"/>
        <v>0</v>
      </c>
      <c r="BG32" s="211">
        <f t="shared" si="21"/>
        <v>0</v>
      </c>
      <c r="BH32" s="211">
        <f t="shared" si="21"/>
        <v>0</v>
      </c>
      <c r="BI32" s="211">
        <f t="shared" si="21"/>
        <v>0</v>
      </c>
      <c r="BJ32" s="211">
        <f t="shared" si="21"/>
        <v>0</v>
      </c>
      <c r="BK32" s="211">
        <f t="shared" si="21"/>
        <v>0</v>
      </c>
      <c r="BL32" s="211">
        <f t="shared" si="21"/>
        <v>0</v>
      </c>
      <c r="BM32" s="211">
        <f t="shared" si="21"/>
        <v>0</v>
      </c>
      <c r="BN32" s="211">
        <f t="shared" si="22"/>
        <v>1244.0641958288224</v>
      </c>
      <c r="BO32" s="211">
        <f t="shared" si="22"/>
        <v>3732.1925874864673</v>
      </c>
      <c r="BP32" s="211">
        <f t="shared" si="22"/>
        <v>6220.3209791441132</v>
      </c>
      <c r="BQ32" s="211">
        <f t="shared" si="22"/>
        <v>8708.4493708017581</v>
      </c>
      <c r="BR32" s="211">
        <f t="shared" si="22"/>
        <v>11196.577762459403</v>
      </c>
      <c r="BS32" s="211">
        <f t="shared" si="22"/>
        <v>13684.706154117048</v>
      </c>
      <c r="BT32" s="211">
        <f t="shared" si="22"/>
        <v>16172.834545774693</v>
      </c>
      <c r="BU32" s="211">
        <f t="shared" si="22"/>
        <v>18660.962937432338</v>
      </c>
      <c r="BV32" s="211">
        <f t="shared" si="22"/>
        <v>21149.091329089984</v>
      </c>
      <c r="BW32" s="211">
        <f t="shared" si="22"/>
        <v>23637.219720747627</v>
      </c>
      <c r="BX32" s="211">
        <f t="shared" si="23"/>
        <v>26125.348112405274</v>
      </c>
      <c r="BY32" s="211">
        <f t="shared" si="23"/>
        <v>28613.476504062921</v>
      </c>
      <c r="BZ32" s="211">
        <f t="shared" si="23"/>
        <v>31101.60489572056</v>
      </c>
      <c r="CA32" s="211">
        <f t="shared" si="23"/>
        <v>33589.733287378207</v>
      </c>
      <c r="CB32" s="211">
        <f t="shared" si="23"/>
        <v>36077.86167903585</v>
      </c>
      <c r="CC32" s="211">
        <f t="shared" si="23"/>
        <v>38565.9900706935</v>
      </c>
      <c r="CD32" s="211">
        <f t="shared" si="23"/>
        <v>41054.118462351144</v>
      </c>
      <c r="CE32" s="211">
        <f t="shared" si="23"/>
        <v>43542.246854008787</v>
      </c>
      <c r="CF32" s="211">
        <f t="shared" si="23"/>
        <v>46030.375245666437</v>
      </c>
      <c r="CG32" s="211">
        <f t="shared" si="23"/>
        <v>48518.50363732408</v>
      </c>
      <c r="CH32" s="211">
        <f t="shared" si="24"/>
        <v>51006.632028981723</v>
      </c>
      <c r="CI32" s="211">
        <f t="shared" si="24"/>
        <v>53494.760420639373</v>
      </c>
      <c r="CJ32" s="211">
        <f t="shared" si="24"/>
        <v>55982.888812297017</v>
      </c>
      <c r="CK32" s="211">
        <f t="shared" si="24"/>
        <v>58471.01720395466</v>
      </c>
      <c r="CL32" s="211">
        <f t="shared" si="24"/>
        <v>60959.145595612303</v>
      </c>
      <c r="CM32" s="211">
        <f t="shared" si="24"/>
        <v>63447.273987269946</v>
      </c>
      <c r="CN32" s="211">
        <f t="shared" si="24"/>
        <v>65935.402378927596</v>
      </c>
      <c r="CO32" s="211">
        <f t="shared" si="24"/>
        <v>68423.530770585232</v>
      </c>
      <c r="CP32" s="211">
        <f t="shared" si="24"/>
        <v>70911.659162242882</v>
      </c>
      <c r="CQ32" s="211">
        <f t="shared" si="24"/>
        <v>73399.787553900533</v>
      </c>
      <c r="CR32" s="211">
        <f t="shared" si="25"/>
        <v>71089.382618789852</v>
      </c>
      <c r="CS32" s="211">
        <f t="shared" si="25"/>
        <v>63980.44435691087</v>
      </c>
      <c r="CT32" s="211">
        <f t="shared" si="25"/>
        <v>56871.506095031888</v>
      </c>
      <c r="CU32" s="211">
        <f t="shared" si="25"/>
        <v>49762.567833152905</v>
      </c>
      <c r="CV32" s="211">
        <f t="shared" si="25"/>
        <v>42653.629571273916</v>
      </c>
      <c r="CW32" s="211">
        <f t="shared" si="25"/>
        <v>35544.691309394926</v>
      </c>
      <c r="CX32" s="211">
        <f t="shared" si="25"/>
        <v>28435.753047515944</v>
      </c>
      <c r="CY32" s="211">
        <f t="shared" si="25"/>
        <v>21326.814785636961</v>
      </c>
      <c r="CZ32" s="211">
        <f t="shared" si="25"/>
        <v>14217.876523757972</v>
      </c>
      <c r="DA32" s="211">
        <f t="shared" si="25"/>
        <v>7108.9382618789823</v>
      </c>
    </row>
    <row r="33" spans="1:105">
      <c r="A33" s="202" t="str">
        <f>Income!A81</f>
        <v>Self - employment</v>
      </c>
      <c r="B33" s="204">
        <f>Income!B81</f>
        <v>0</v>
      </c>
      <c r="C33" s="204">
        <f>Income!C81</f>
        <v>0</v>
      </c>
      <c r="D33" s="204">
        <f>Income!D81</f>
        <v>0</v>
      </c>
      <c r="E33" s="204">
        <f>Income!E81</f>
        <v>0</v>
      </c>
      <c r="F33" s="211">
        <f t="shared" si="16"/>
        <v>0</v>
      </c>
      <c r="G33" s="211">
        <f t="shared" si="16"/>
        <v>0</v>
      </c>
      <c r="H33" s="211">
        <f t="shared" si="16"/>
        <v>0</v>
      </c>
      <c r="I33" s="211">
        <f t="shared" si="16"/>
        <v>0</v>
      </c>
      <c r="J33" s="211">
        <f t="shared" si="16"/>
        <v>0</v>
      </c>
      <c r="K33" s="211">
        <f t="shared" si="16"/>
        <v>0</v>
      </c>
      <c r="L33" s="211">
        <f t="shared" si="16"/>
        <v>0</v>
      </c>
      <c r="M33" s="211">
        <f t="shared" si="16"/>
        <v>0</v>
      </c>
      <c r="N33" s="211">
        <f t="shared" si="16"/>
        <v>0</v>
      </c>
      <c r="O33" s="211">
        <f t="shared" si="16"/>
        <v>0</v>
      </c>
      <c r="P33" s="211">
        <f t="shared" si="17"/>
        <v>0</v>
      </c>
      <c r="Q33" s="211">
        <f t="shared" si="17"/>
        <v>0</v>
      </c>
      <c r="R33" s="211">
        <f t="shared" si="17"/>
        <v>0</v>
      </c>
      <c r="S33" s="211">
        <f t="shared" si="17"/>
        <v>0</v>
      </c>
      <c r="T33" s="211">
        <f t="shared" si="17"/>
        <v>0</v>
      </c>
      <c r="U33" s="211">
        <f t="shared" si="17"/>
        <v>0</v>
      </c>
      <c r="V33" s="211">
        <f t="shared" si="17"/>
        <v>0</v>
      </c>
      <c r="W33" s="211">
        <f t="shared" si="17"/>
        <v>0</v>
      </c>
      <c r="X33" s="211">
        <f t="shared" si="17"/>
        <v>0</v>
      </c>
      <c r="Y33" s="211">
        <f t="shared" si="17"/>
        <v>0</v>
      </c>
      <c r="Z33" s="211">
        <f t="shared" si="18"/>
        <v>0</v>
      </c>
      <c r="AA33" s="211">
        <f t="shared" si="18"/>
        <v>0</v>
      </c>
      <c r="AB33" s="211">
        <f t="shared" si="18"/>
        <v>0</v>
      </c>
      <c r="AC33" s="211">
        <f t="shared" si="18"/>
        <v>0</v>
      </c>
      <c r="AD33" s="211">
        <f t="shared" si="18"/>
        <v>0</v>
      </c>
      <c r="AE33" s="211">
        <f t="shared" si="18"/>
        <v>0</v>
      </c>
      <c r="AF33" s="211">
        <f t="shared" si="18"/>
        <v>0</v>
      </c>
      <c r="AG33" s="211">
        <f t="shared" si="18"/>
        <v>0</v>
      </c>
      <c r="AH33" s="211">
        <f t="shared" si="18"/>
        <v>0</v>
      </c>
      <c r="AI33" s="211">
        <f t="shared" si="18"/>
        <v>0</v>
      </c>
      <c r="AJ33" s="211">
        <f t="shared" si="19"/>
        <v>0</v>
      </c>
      <c r="AK33" s="211">
        <f t="shared" si="19"/>
        <v>0</v>
      </c>
      <c r="AL33" s="211">
        <f t="shared" si="19"/>
        <v>0</v>
      </c>
      <c r="AM33" s="211">
        <f t="shared" si="19"/>
        <v>0</v>
      </c>
      <c r="AN33" s="211">
        <f t="shared" si="19"/>
        <v>0</v>
      </c>
      <c r="AO33" s="211">
        <f t="shared" si="19"/>
        <v>0</v>
      </c>
      <c r="AP33" s="211">
        <f t="shared" si="19"/>
        <v>0</v>
      </c>
      <c r="AQ33" s="211">
        <f t="shared" si="19"/>
        <v>0</v>
      </c>
      <c r="AR33" s="211">
        <f t="shared" si="19"/>
        <v>0</v>
      </c>
      <c r="AS33" s="211">
        <f t="shared" si="19"/>
        <v>0</v>
      </c>
      <c r="AT33" s="211">
        <f t="shared" si="20"/>
        <v>0</v>
      </c>
      <c r="AU33" s="211">
        <f t="shared" si="20"/>
        <v>0</v>
      </c>
      <c r="AV33" s="211">
        <f t="shared" si="20"/>
        <v>0</v>
      </c>
      <c r="AW33" s="211">
        <f t="shared" si="20"/>
        <v>0</v>
      </c>
      <c r="AX33" s="211">
        <f t="shared" si="20"/>
        <v>0</v>
      </c>
      <c r="AY33" s="211">
        <f t="shared" si="20"/>
        <v>0</v>
      </c>
      <c r="AZ33" s="211">
        <f t="shared" si="20"/>
        <v>0</v>
      </c>
      <c r="BA33" s="211">
        <f t="shared" si="20"/>
        <v>0</v>
      </c>
      <c r="BB33" s="211">
        <f t="shared" si="20"/>
        <v>0</v>
      </c>
      <c r="BC33" s="211">
        <f t="shared" si="20"/>
        <v>0</v>
      </c>
      <c r="BD33" s="211">
        <f t="shared" si="21"/>
        <v>0</v>
      </c>
      <c r="BE33" s="211">
        <f t="shared" si="21"/>
        <v>0</v>
      </c>
      <c r="BF33" s="211">
        <f t="shared" si="21"/>
        <v>0</v>
      </c>
      <c r="BG33" s="211">
        <f t="shared" si="21"/>
        <v>0</v>
      </c>
      <c r="BH33" s="211">
        <f t="shared" si="21"/>
        <v>0</v>
      </c>
      <c r="BI33" s="211">
        <f t="shared" si="21"/>
        <v>0</v>
      </c>
      <c r="BJ33" s="211">
        <f t="shared" si="21"/>
        <v>0</v>
      </c>
      <c r="BK33" s="211">
        <f t="shared" si="21"/>
        <v>0</v>
      </c>
      <c r="BL33" s="211">
        <f t="shared" si="21"/>
        <v>0</v>
      </c>
      <c r="BM33" s="211">
        <f t="shared" si="21"/>
        <v>0</v>
      </c>
      <c r="BN33" s="211">
        <f t="shared" si="22"/>
        <v>0</v>
      </c>
      <c r="BO33" s="211">
        <f t="shared" si="22"/>
        <v>0</v>
      </c>
      <c r="BP33" s="211">
        <f t="shared" si="22"/>
        <v>0</v>
      </c>
      <c r="BQ33" s="211">
        <f t="shared" si="22"/>
        <v>0</v>
      </c>
      <c r="BR33" s="211">
        <f t="shared" si="22"/>
        <v>0</v>
      </c>
      <c r="BS33" s="211">
        <f t="shared" si="22"/>
        <v>0</v>
      </c>
      <c r="BT33" s="211">
        <f t="shared" si="22"/>
        <v>0</v>
      </c>
      <c r="BU33" s="211">
        <f t="shared" si="22"/>
        <v>0</v>
      </c>
      <c r="BV33" s="211">
        <f t="shared" si="22"/>
        <v>0</v>
      </c>
      <c r="BW33" s="211">
        <f t="shared" si="22"/>
        <v>0</v>
      </c>
      <c r="BX33" s="211">
        <f t="shared" si="23"/>
        <v>0</v>
      </c>
      <c r="BY33" s="211">
        <f t="shared" si="23"/>
        <v>0</v>
      </c>
      <c r="BZ33" s="211">
        <f t="shared" si="23"/>
        <v>0</v>
      </c>
      <c r="CA33" s="211">
        <f t="shared" si="23"/>
        <v>0</v>
      </c>
      <c r="CB33" s="211">
        <f t="shared" si="23"/>
        <v>0</v>
      </c>
      <c r="CC33" s="211">
        <f t="shared" si="23"/>
        <v>0</v>
      </c>
      <c r="CD33" s="211">
        <f t="shared" si="23"/>
        <v>0</v>
      </c>
      <c r="CE33" s="211">
        <f t="shared" si="23"/>
        <v>0</v>
      </c>
      <c r="CF33" s="211">
        <f t="shared" si="23"/>
        <v>0</v>
      </c>
      <c r="CG33" s="211">
        <f t="shared" si="23"/>
        <v>0</v>
      </c>
      <c r="CH33" s="211">
        <f t="shared" si="24"/>
        <v>0</v>
      </c>
      <c r="CI33" s="211">
        <f t="shared" si="24"/>
        <v>0</v>
      </c>
      <c r="CJ33" s="211">
        <f t="shared" si="24"/>
        <v>0</v>
      </c>
      <c r="CK33" s="211">
        <f t="shared" si="24"/>
        <v>0</v>
      </c>
      <c r="CL33" s="211">
        <f t="shared" si="24"/>
        <v>0</v>
      </c>
      <c r="CM33" s="211">
        <f t="shared" si="24"/>
        <v>0</v>
      </c>
      <c r="CN33" s="211">
        <f t="shared" si="24"/>
        <v>0</v>
      </c>
      <c r="CO33" s="211">
        <f t="shared" si="24"/>
        <v>0</v>
      </c>
      <c r="CP33" s="211">
        <f t="shared" si="24"/>
        <v>0</v>
      </c>
      <c r="CQ33" s="211">
        <f t="shared" si="24"/>
        <v>0</v>
      </c>
      <c r="CR33" s="211">
        <f t="shared" si="25"/>
        <v>0</v>
      </c>
      <c r="CS33" s="211">
        <f t="shared" si="25"/>
        <v>0</v>
      </c>
      <c r="CT33" s="211">
        <f t="shared" si="25"/>
        <v>0</v>
      </c>
      <c r="CU33" s="211">
        <f t="shared" si="25"/>
        <v>0</v>
      </c>
      <c r="CV33" s="211">
        <f t="shared" si="25"/>
        <v>0</v>
      </c>
      <c r="CW33" s="211">
        <f t="shared" si="25"/>
        <v>0</v>
      </c>
      <c r="CX33" s="211">
        <f t="shared" si="25"/>
        <v>0</v>
      </c>
      <c r="CY33" s="211">
        <f t="shared" si="25"/>
        <v>0</v>
      </c>
      <c r="CZ33" s="211">
        <f t="shared" si="25"/>
        <v>0</v>
      </c>
      <c r="DA33" s="211">
        <f t="shared" si="25"/>
        <v>0</v>
      </c>
    </row>
    <row r="34" spans="1:105">
      <c r="A34" s="202" t="str">
        <f>Income!A82</f>
        <v>Small business/petty trading</v>
      </c>
      <c r="B34" s="204">
        <f>Income!B82</f>
        <v>0</v>
      </c>
      <c r="C34" s="204">
        <f>Income!C82</f>
        <v>4141.2463040497487</v>
      </c>
      <c r="D34" s="204">
        <f>Income!D82</f>
        <v>0</v>
      </c>
      <c r="E34" s="204">
        <f>Income!E82</f>
        <v>0</v>
      </c>
      <c r="F34" s="211">
        <f t="shared" si="16"/>
        <v>0</v>
      </c>
      <c r="G34" s="211">
        <f t="shared" si="16"/>
        <v>0</v>
      </c>
      <c r="H34" s="211">
        <f t="shared" si="16"/>
        <v>0</v>
      </c>
      <c r="I34" s="211">
        <f t="shared" si="16"/>
        <v>0</v>
      </c>
      <c r="J34" s="211">
        <f t="shared" si="16"/>
        <v>0</v>
      </c>
      <c r="K34" s="211">
        <f t="shared" si="16"/>
        <v>0</v>
      </c>
      <c r="L34" s="211">
        <f t="shared" si="16"/>
        <v>0</v>
      </c>
      <c r="M34" s="211">
        <f t="shared" si="16"/>
        <v>0</v>
      </c>
      <c r="N34" s="211">
        <f t="shared" si="16"/>
        <v>0</v>
      </c>
      <c r="O34" s="211">
        <f t="shared" si="16"/>
        <v>0</v>
      </c>
      <c r="P34" s="211">
        <f t="shared" si="17"/>
        <v>0</v>
      </c>
      <c r="Q34" s="211">
        <f t="shared" si="17"/>
        <v>0</v>
      </c>
      <c r="R34" s="211">
        <f t="shared" si="17"/>
        <v>0</v>
      </c>
      <c r="S34" s="211">
        <f t="shared" si="17"/>
        <v>0</v>
      </c>
      <c r="T34" s="211">
        <f t="shared" si="17"/>
        <v>0</v>
      </c>
      <c r="U34" s="211">
        <f t="shared" si="17"/>
        <v>0</v>
      </c>
      <c r="V34" s="211">
        <f t="shared" si="17"/>
        <v>0</v>
      </c>
      <c r="W34" s="211">
        <f t="shared" si="17"/>
        <v>0</v>
      </c>
      <c r="X34" s="211">
        <f t="shared" si="17"/>
        <v>0</v>
      </c>
      <c r="Y34" s="211">
        <f t="shared" si="17"/>
        <v>0</v>
      </c>
      <c r="Z34" s="211">
        <f t="shared" si="18"/>
        <v>0</v>
      </c>
      <c r="AA34" s="211">
        <f t="shared" si="18"/>
        <v>104.84167858353794</v>
      </c>
      <c r="AB34" s="211">
        <f t="shared" si="18"/>
        <v>209.68335716707588</v>
      </c>
      <c r="AC34" s="211">
        <f t="shared" si="18"/>
        <v>314.52503575061382</v>
      </c>
      <c r="AD34" s="211">
        <f t="shared" si="18"/>
        <v>419.36671433415177</v>
      </c>
      <c r="AE34" s="211">
        <f t="shared" si="18"/>
        <v>524.20839291768971</v>
      </c>
      <c r="AF34" s="211">
        <f t="shared" si="18"/>
        <v>629.05007150122765</v>
      </c>
      <c r="AG34" s="211">
        <f t="shared" si="18"/>
        <v>733.89175008476559</v>
      </c>
      <c r="AH34" s="211">
        <f t="shared" si="18"/>
        <v>838.73342866830353</v>
      </c>
      <c r="AI34" s="211">
        <f t="shared" si="18"/>
        <v>943.57510725184136</v>
      </c>
      <c r="AJ34" s="211">
        <f t="shared" si="19"/>
        <v>1048.4167858353794</v>
      </c>
      <c r="AK34" s="211">
        <f t="shared" si="19"/>
        <v>1153.2584644189174</v>
      </c>
      <c r="AL34" s="211">
        <f t="shared" si="19"/>
        <v>1258.1001430024553</v>
      </c>
      <c r="AM34" s="211">
        <f t="shared" si="19"/>
        <v>1362.9418215859932</v>
      </c>
      <c r="AN34" s="211">
        <f t="shared" si="19"/>
        <v>1467.7835001695312</v>
      </c>
      <c r="AO34" s="211">
        <f t="shared" si="19"/>
        <v>1572.6251787530691</v>
      </c>
      <c r="AP34" s="211">
        <f t="shared" si="19"/>
        <v>1677.4668573366071</v>
      </c>
      <c r="AQ34" s="211">
        <f t="shared" si="19"/>
        <v>1782.3085359201452</v>
      </c>
      <c r="AR34" s="211">
        <f t="shared" si="19"/>
        <v>1887.1502145036827</v>
      </c>
      <c r="AS34" s="211">
        <f t="shared" si="19"/>
        <v>1991.9918930872209</v>
      </c>
      <c r="AT34" s="211">
        <f t="shared" si="20"/>
        <v>2096.8335716707588</v>
      </c>
      <c r="AU34" s="211">
        <f t="shared" si="20"/>
        <v>2201.6752502542968</v>
      </c>
      <c r="AV34" s="211">
        <f t="shared" si="20"/>
        <v>2306.5169288378347</v>
      </c>
      <c r="AW34" s="211">
        <f t="shared" si="20"/>
        <v>2411.3586074213727</v>
      </c>
      <c r="AX34" s="211">
        <f t="shared" si="20"/>
        <v>2516.2002860049106</v>
      </c>
      <c r="AY34" s="211">
        <f t="shared" si="20"/>
        <v>2621.0419645884485</v>
      </c>
      <c r="AZ34" s="211">
        <f t="shared" si="20"/>
        <v>2725.8836431719865</v>
      </c>
      <c r="BA34" s="211">
        <f t="shared" si="20"/>
        <v>2830.7253217555244</v>
      </c>
      <c r="BB34" s="211">
        <f t="shared" si="20"/>
        <v>2935.5670003390624</v>
      </c>
      <c r="BC34" s="211">
        <f t="shared" si="20"/>
        <v>3040.4086789226003</v>
      </c>
      <c r="BD34" s="211">
        <f t="shared" si="21"/>
        <v>3145.2503575061382</v>
      </c>
      <c r="BE34" s="211">
        <f t="shared" si="21"/>
        <v>3250.0920360896762</v>
      </c>
      <c r="BF34" s="211">
        <f t="shared" si="21"/>
        <v>3354.9337146732141</v>
      </c>
      <c r="BG34" s="211">
        <f t="shared" si="21"/>
        <v>3459.7753932567516</v>
      </c>
      <c r="BH34" s="211">
        <f t="shared" si="21"/>
        <v>3564.6170718402905</v>
      </c>
      <c r="BI34" s="211">
        <f t="shared" si="21"/>
        <v>3669.458750423828</v>
      </c>
      <c r="BJ34" s="211">
        <f t="shared" si="21"/>
        <v>3774.3004290073654</v>
      </c>
      <c r="BK34" s="211">
        <f t="shared" si="21"/>
        <v>3879.1421075909038</v>
      </c>
      <c r="BL34" s="211">
        <f t="shared" si="21"/>
        <v>3983.9837861744418</v>
      </c>
      <c r="BM34" s="211">
        <f t="shared" si="21"/>
        <v>4088.8254647579793</v>
      </c>
      <c r="BN34" s="211">
        <f t="shared" si="22"/>
        <v>4072.2255323155864</v>
      </c>
      <c r="BO34" s="211">
        <f t="shared" si="22"/>
        <v>3934.1839888472614</v>
      </c>
      <c r="BP34" s="211">
        <f t="shared" si="22"/>
        <v>3796.1424453789364</v>
      </c>
      <c r="BQ34" s="211">
        <f t="shared" si="22"/>
        <v>3658.1009019106114</v>
      </c>
      <c r="BR34" s="211">
        <f t="shared" si="22"/>
        <v>3520.0593584422863</v>
      </c>
      <c r="BS34" s="211">
        <f t="shared" si="22"/>
        <v>3382.0178149739613</v>
      </c>
      <c r="BT34" s="211">
        <f t="shared" si="22"/>
        <v>3243.9762715056363</v>
      </c>
      <c r="BU34" s="211">
        <f t="shared" si="22"/>
        <v>3105.9347280373113</v>
      </c>
      <c r="BV34" s="211">
        <f t="shared" si="22"/>
        <v>2967.8931845689867</v>
      </c>
      <c r="BW34" s="211">
        <f t="shared" si="22"/>
        <v>2829.8516411006617</v>
      </c>
      <c r="BX34" s="211">
        <f t="shared" si="23"/>
        <v>2691.8100976323367</v>
      </c>
      <c r="BY34" s="211">
        <f t="shared" si="23"/>
        <v>2553.7685541640117</v>
      </c>
      <c r="BZ34" s="211">
        <f t="shared" si="23"/>
        <v>2415.7270106956867</v>
      </c>
      <c r="CA34" s="211">
        <f t="shared" si="23"/>
        <v>2277.6854672273616</v>
      </c>
      <c r="CB34" s="211">
        <f t="shared" si="23"/>
        <v>2139.6439237590366</v>
      </c>
      <c r="CC34" s="211">
        <f t="shared" si="23"/>
        <v>2001.6023802907121</v>
      </c>
      <c r="CD34" s="211">
        <f t="shared" si="23"/>
        <v>1863.560836822387</v>
      </c>
      <c r="CE34" s="211">
        <f t="shared" si="23"/>
        <v>1725.519293354062</v>
      </c>
      <c r="CF34" s="211">
        <f t="shared" si="23"/>
        <v>1587.477749885737</v>
      </c>
      <c r="CG34" s="211">
        <f t="shared" si="23"/>
        <v>1449.4362064174124</v>
      </c>
      <c r="CH34" s="211">
        <f t="shared" si="24"/>
        <v>1311.394662949087</v>
      </c>
      <c r="CI34" s="211">
        <f t="shared" si="24"/>
        <v>1173.353119480762</v>
      </c>
      <c r="CJ34" s="211">
        <f t="shared" si="24"/>
        <v>1035.3115760124374</v>
      </c>
      <c r="CK34" s="211">
        <f t="shared" si="24"/>
        <v>897.27003254411238</v>
      </c>
      <c r="CL34" s="211">
        <f t="shared" si="24"/>
        <v>759.22848907578737</v>
      </c>
      <c r="CM34" s="211">
        <f t="shared" si="24"/>
        <v>621.18694560746189</v>
      </c>
      <c r="CN34" s="211">
        <f t="shared" si="24"/>
        <v>483.14540213913733</v>
      </c>
      <c r="CO34" s="211">
        <f t="shared" si="24"/>
        <v>345.10385867081231</v>
      </c>
      <c r="CP34" s="211">
        <f t="shared" si="24"/>
        <v>207.0623152024873</v>
      </c>
      <c r="CQ34" s="211">
        <f t="shared" si="24"/>
        <v>69.020771734162736</v>
      </c>
      <c r="CR34" s="211">
        <f t="shared" si="25"/>
        <v>0</v>
      </c>
      <c r="CS34" s="211">
        <f t="shared" si="25"/>
        <v>0</v>
      </c>
      <c r="CT34" s="211">
        <f t="shared" si="25"/>
        <v>0</v>
      </c>
      <c r="CU34" s="211">
        <f t="shared" si="25"/>
        <v>0</v>
      </c>
      <c r="CV34" s="211">
        <f t="shared" si="25"/>
        <v>0</v>
      </c>
      <c r="CW34" s="211">
        <f t="shared" si="25"/>
        <v>0</v>
      </c>
      <c r="CX34" s="211">
        <f t="shared" si="25"/>
        <v>0</v>
      </c>
      <c r="CY34" s="211">
        <f t="shared" si="25"/>
        <v>0</v>
      </c>
      <c r="CZ34" s="211">
        <f t="shared" si="25"/>
        <v>0</v>
      </c>
      <c r="DA34" s="211">
        <f t="shared" si="25"/>
        <v>0</v>
      </c>
    </row>
    <row r="35" spans="1:105">
      <c r="A35" s="202" t="str">
        <f>Income!A83</f>
        <v>Food transfer - official</v>
      </c>
      <c r="B35" s="204">
        <f>Income!B83</f>
        <v>2031.5005249868352</v>
      </c>
      <c r="C35" s="204">
        <f>Income!C83</f>
        <v>2031.500524986835</v>
      </c>
      <c r="D35" s="204">
        <f>Income!D83</f>
        <v>1857.3719085593918</v>
      </c>
      <c r="E35" s="204">
        <f>Income!E83</f>
        <v>0</v>
      </c>
      <c r="F35" s="211">
        <f t="shared" si="16"/>
        <v>2031.5005249868352</v>
      </c>
      <c r="G35" s="211">
        <f t="shared" si="16"/>
        <v>2031.5005249868352</v>
      </c>
      <c r="H35" s="211">
        <f t="shared" si="16"/>
        <v>2031.5005249868352</v>
      </c>
      <c r="I35" s="211">
        <f t="shared" si="16"/>
        <v>2031.5005249868352</v>
      </c>
      <c r="J35" s="211">
        <f t="shared" si="16"/>
        <v>2031.5005249868352</v>
      </c>
      <c r="K35" s="211">
        <f t="shared" si="16"/>
        <v>2031.5005249868352</v>
      </c>
      <c r="L35" s="211">
        <f t="shared" si="16"/>
        <v>2031.5005249868352</v>
      </c>
      <c r="M35" s="211">
        <f t="shared" si="16"/>
        <v>2031.5005249868352</v>
      </c>
      <c r="N35" s="211">
        <f t="shared" si="16"/>
        <v>2031.5005249868352</v>
      </c>
      <c r="O35" s="211">
        <f t="shared" si="16"/>
        <v>2031.5005249868352</v>
      </c>
      <c r="P35" s="211">
        <f t="shared" si="17"/>
        <v>2031.5005249868352</v>
      </c>
      <c r="Q35" s="211">
        <f t="shared" si="17"/>
        <v>2031.5005249868352</v>
      </c>
      <c r="R35" s="211">
        <f t="shared" si="17"/>
        <v>2031.5005249868352</v>
      </c>
      <c r="S35" s="211">
        <f t="shared" si="17"/>
        <v>2031.5005249868352</v>
      </c>
      <c r="T35" s="211">
        <f t="shared" si="17"/>
        <v>2031.5005249868352</v>
      </c>
      <c r="U35" s="211">
        <f t="shared" si="17"/>
        <v>2031.5005249868352</v>
      </c>
      <c r="V35" s="211">
        <f t="shared" si="17"/>
        <v>2031.5005249868352</v>
      </c>
      <c r="W35" s="211">
        <f t="shared" si="17"/>
        <v>2031.5005249868352</v>
      </c>
      <c r="X35" s="211">
        <f t="shared" si="17"/>
        <v>2031.5005249868352</v>
      </c>
      <c r="Y35" s="211">
        <f t="shared" si="17"/>
        <v>2031.5005249868352</v>
      </c>
      <c r="Z35" s="211">
        <f t="shared" si="18"/>
        <v>2031.5005249868352</v>
      </c>
      <c r="AA35" s="211">
        <f t="shared" si="18"/>
        <v>2031.5005249868352</v>
      </c>
      <c r="AB35" s="211">
        <f t="shared" si="18"/>
        <v>2031.5005249868352</v>
      </c>
      <c r="AC35" s="211">
        <f t="shared" si="18"/>
        <v>2031.5005249868352</v>
      </c>
      <c r="AD35" s="211">
        <f t="shared" si="18"/>
        <v>2031.5005249868352</v>
      </c>
      <c r="AE35" s="211">
        <f t="shared" si="18"/>
        <v>2031.5005249868352</v>
      </c>
      <c r="AF35" s="211">
        <f t="shared" si="18"/>
        <v>2031.5005249868352</v>
      </c>
      <c r="AG35" s="211">
        <f t="shared" si="18"/>
        <v>2031.5005249868352</v>
      </c>
      <c r="AH35" s="211">
        <f t="shared" si="18"/>
        <v>2031.5005249868352</v>
      </c>
      <c r="AI35" s="211">
        <f t="shared" si="18"/>
        <v>2031.5005249868352</v>
      </c>
      <c r="AJ35" s="211">
        <f t="shared" si="19"/>
        <v>2031.5005249868352</v>
      </c>
      <c r="AK35" s="211">
        <f t="shared" si="19"/>
        <v>2031.5005249868352</v>
      </c>
      <c r="AL35" s="211">
        <f t="shared" si="19"/>
        <v>2031.5005249868352</v>
      </c>
      <c r="AM35" s="211">
        <f t="shared" si="19"/>
        <v>2031.5005249868352</v>
      </c>
      <c r="AN35" s="211">
        <f t="shared" si="19"/>
        <v>2031.5005249868352</v>
      </c>
      <c r="AO35" s="211">
        <f t="shared" si="19"/>
        <v>2031.5005249868352</v>
      </c>
      <c r="AP35" s="211">
        <f t="shared" si="19"/>
        <v>2031.5005249868352</v>
      </c>
      <c r="AQ35" s="211">
        <f t="shared" si="19"/>
        <v>2031.5005249868352</v>
      </c>
      <c r="AR35" s="211">
        <f t="shared" si="19"/>
        <v>2031.5005249868352</v>
      </c>
      <c r="AS35" s="211">
        <f t="shared" si="19"/>
        <v>2031.5005249868352</v>
      </c>
      <c r="AT35" s="211">
        <f t="shared" si="20"/>
        <v>2031.500524986835</v>
      </c>
      <c r="AU35" s="211">
        <f t="shared" si="20"/>
        <v>2031.500524986835</v>
      </c>
      <c r="AV35" s="211">
        <f t="shared" si="20"/>
        <v>2031.500524986835</v>
      </c>
      <c r="AW35" s="211">
        <f t="shared" si="20"/>
        <v>2031.500524986835</v>
      </c>
      <c r="AX35" s="211">
        <f t="shared" si="20"/>
        <v>2031.500524986835</v>
      </c>
      <c r="AY35" s="211">
        <f t="shared" si="20"/>
        <v>2031.500524986835</v>
      </c>
      <c r="AZ35" s="211">
        <f t="shared" si="20"/>
        <v>2031.500524986835</v>
      </c>
      <c r="BA35" s="211">
        <f t="shared" si="20"/>
        <v>2031.500524986835</v>
      </c>
      <c r="BB35" s="211">
        <f t="shared" si="20"/>
        <v>2031.500524986835</v>
      </c>
      <c r="BC35" s="211">
        <f t="shared" si="20"/>
        <v>2031.500524986835</v>
      </c>
      <c r="BD35" s="211">
        <f t="shared" si="21"/>
        <v>2031.500524986835</v>
      </c>
      <c r="BE35" s="211">
        <f t="shared" si="21"/>
        <v>2031.500524986835</v>
      </c>
      <c r="BF35" s="211">
        <f t="shared" si="21"/>
        <v>2031.500524986835</v>
      </c>
      <c r="BG35" s="211">
        <f t="shared" si="21"/>
        <v>2031.500524986835</v>
      </c>
      <c r="BH35" s="211">
        <f t="shared" si="21"/>
        <v>2031.500524986835</v>
      </c>
      <c r="BI35" s="211">
        <f t="shared" si="21"/>
        <v>2031.500524986835</v>
      </c>
      <c r="BJ35" s="211">
        <f t="shared" si="21"/>
        <v>2031.500524986835</v>
      </c>
      <c r="BK35" s="211">
        <f t="shared" si="21"/>
        <v>2031.500524986835</v>
      </c>
      <c r="BL35" s="211">
        <f t="shared" si="21"/>
        <v>2031.500524986835</v>
      </c>
      <c r="BM35" s="211">
        <f t="shared" si="21"/>
        <v>2031.500524986835</v>
      </c>
      <c r="BN35" s="211">
        <f t="shared" si="22"/>
        <v>2028.5983813797109</v>
      </c>
      <c r="BO35" s="211">
        <f t="shared" si="22"/>
        <v>2022.7940941654629</v>
      </c>
      <c r="BP35" s="211">
        <f t="shared" si="22"/>
        <v>2016.9898069512146</v>
      </c>
      <c r="BQ35" s="211">
        <f t="shared" si="22"/>
        <v>2011.1855197369666</v>
      </c>
      <c r="BR35" s="211">
        <f t="shared" si="22"/>
        <v>2005.3812325227186</v>
      </c>
      <c r="BS35" s="211">
        <f t="shared" si="22"/>
        <v>1999.5769453084704</v>
      </c>
      <c r="BT35" s="211">
        <f t="shared" si="22"/>
        <v>1993.7726580942224</v>
      </c>
      <c r="BU35" s="211">
        <f t="shared" si="22"/>
        <v>1987.9683708799741</v>
      </c>
      <c r="BV35" s="211">
        <f t="shared" si="22"/>
        <v>1982.1640836657261</v>
      </c>
      <c r="BW35" s="211">
        <f t="shared" si="22"/>
        <v>1976.3597964514779</v>
      </c>
      <c r="BX35" s="211">
        <f t="shared" si="23"/>
        <v>1970.5555092372299</v>
      </c>
      <c r="BY35" s="211">
        <f t="shared" si="23"/>
        <v>1964.7512220229819</v>
      </c>
      <c r="BZ35" s="211">
        <f t="shared" si="23"/>
        <v>1958.9469348087337</v>
      </c>
      <c r="CA35" s="211">
        <f t="shared" si="23"/>
        <v>1953.1426475944857</v>
      </c>
      <c r="CB35" s="211">
        <f t="shared" si="23"/>
        <v>1947.3383603802374</v>
      </c>
      <c r="CC35" s="211">
        <f t="shared" si="23"/>
        <v>1941.5340731659894</v>
      </c>
      <c r="CD35" s="211">
        <f t="shared" si="23"/>
        <v>1935.7297859517412</v>
      </c>
      <c r="CE35" s="211">
        <f t="shared" si="23"/>
        <v>1929.9254987374932</v>
      </c>
      <c r="CF35" s="211">
        <f t="shared" si="23"/>
        <v>1924.1212115232449</v>
      </c>
      <c r="CG35" s="211">
        <f t="shared" si="23"/>
        <v>1918.3169243089969</v>
      </c>
      <c r="CH35" s="211">
        <f t="shared" si="24"/>
        <v>1912.5126370947489</v>
      </c>
      <c r="CI35" s="211">
        <f t="shared" si="24"/>
        <v>1906.7083498805007</v>
      </c>
      <c r="CJ35" s="211">
        <f t="shared" si="24"/>
        <v>1900.9040626662527</v>
      </c>
      <c r="CK35" s="211">
        <f t="shared" si="24"/>
        <v>1895.0997754520045</v>
      </c>
      <c r="CL35" s="211">
        <f t="shared" si="24"/>
        <v>1889.2954882377564</v>
      </c>
      <c r="CM35" s="211">
        <f t="shared" si="24"/>
        <v>1883.4912010235084</v>
      </c>
      <c r="CN35" s="211">
        <f t="shared" si="24"/>
        <v>1877.6869138092602</v>
      </c>
      <c r="CO35" s="211">
        <f t="shared" si="24"/>
        <v>1871.882626595012</v>
      </c>
      <c r="CP35" s="211">
        <f t="shared" si="24"/>
        <v>1866.078339380764</v>
      </c>
      <c r="CQ35" s="211">
        <f t="shared" si="24"/>
        <v>1860.274052166516</v>
      </c>
      <c r="CR35" s="211">
        <f t="shared" si="25"/>
        <v>1768.9256271994209</v>
      </c>
      <c r="CS35" s="211">
        <f t="shared" si="25"/>
        <v>1592.0330644794788</v>
      </c>
      <c r="CT35" s="211">
        <f t="shared" si="25"/>
        <v>1415.1405017595366</v>
      </c>
      <c r="CU35" s="211">
        <f t="shared" si="25"/>
        <v>1238.2479390395945</v>
      </c>
      <c r="CV35" s="211">
        <f t="shared" si="25"/>
        <v>1061.3553763196524</v>
      </c>
      <c r="CW35" s="211">
        <f t="shared" si="25"/>
        <v>884.46281359971044</v>
      </c>
      <c r="CX35" s="211">
        <f t="shared" si="25"/>
        <v>707.57025087976831</v>
      </c>
      <c r="CY35" s="211">
        <f t="shared" si="25"/>
        <v>530.67768815982618</v>
      </c>
      <c r="CZ35" s="211">
        <f t="shared" si="25"/>
        <v>353.78512543988427</v>
      </c>
      <c r="DA35" s="211">
        <f t="shared" si="25"/>
        <v>176.89256271994191</v>
      </c>
    </row>
    <row r="36" spans="1:105">
      <c r="A36" s="202" t="str">
        <f>Income!A85</f>
        <v>Cash transfer - official</v>
      </c>
      <c r="B36" s="204">
        <f>Income!B85</f>
        <v>31716.030622872437</v>
      </c>
      <c r="C36" s="204">
        <f>Income!C85</f>
        <v>31920.134905000599</v>
      </c>
      <c r="D36" s="204">
        <f>Income!D85</f>
        <v>33691.151564212087</v>
      </c>
      <c r="E36" s="204">
        <f>Income!E85</f>
        <v>0</v>
      </c>
      <c r="F36" s="211">
        <f t="shared" si="16"/>
        <v>31716.030622872437</v>
      </c>
      <c r="G36" s="211">
        <f t="shared" si="16"/>
        <v>31716.030622872437</v>
      </c>
      <c r="H36" s="211">
        <f t="shared" si="16"/>
        <v>31716.030622872437</v>
      </c>
      <c r="I36" s="211">
        <f t="shared" si="16"/>
        <v>31716.030622872437</v>
      </c>
      <c r="J36" s="211">
        <f t="shared" si="16"/>
        <v>31716.030622872437</v>
      </c>
      <c r="K36" s="211">
        <f t="shared" si="16"/>
        <v>31716.030622872437</v>
      </c>
      <c r="L36" s="211">
        <f t="shared" si="16"/>
        <v>31716.030622872437</v>
      </c>
      <c r="M36" s="211">
        <f t="shared" si="16"/>
        <v>31716.030622872437</v>
      </c>
      <c r="N36" s="211">
        <f t="shared" si="16"/>
        <v>31716.030622872437</v>
      </c>
      <c r="O36" s="211">
        <f t="shared" si="16"/>
        <v>31716.030622872437</v>
      </c>
      <c r="P36" s="211">
        <f t="shared" si="16"/>
        <v>31716.030622872437</v>
      </c>
      <c r="Q36" s="211">
        <f t="shared" si="16"/>
        <v>31716.030622872437</v>
      </c>
      <c r="R36" s="211">
        <f t="shared" si="16"/>
        <v>31716.030622872437</v>
      </c>
      <c r="S36" s="211">
        <f t="shared" si="16"/>
        <v>31716.030622872437</v>
      </c>
      <c r="T36" s="211">
        <f t="shared" si="16"/>
        <v>31716.030622872437</v>
      </c>
      <c r="U36" s="211">
        <f t="shared" si="16"/>
        <v>31716.030622872437</v>
      </c>
      <c r="V36" s="211">
        <f t="shared" si="17"/>
        <v>31716.030622872437</v>
      </c>
      <c r="W36" s="211">
        <f t="shared" si="17"/>
        <v>31716.030622872437</v>
      </c>
      <c r="X36" s="211">
        <f t="shared" si="17"/>
        <v>31716.030622872437</v>
      </c>
      <c r="Y36" s="211">
        <f t="shared" si="17"/>
        <v>31716.030622872437</v>
      </c>
      <c r="Z36" s="211">
        <f t="shared" si="17"/>
        <v>31716.030622872437</v>
      </c>
      <c r="AA36" s="211">
        <f t="shared" si="17"/>
        <v>31721.197819888341</v>
      </c>
      <c r="AB36" s="211">
        <f t="shared" si="17"/>
        <v>31726.365016904241</v>
      </c>
      <c r="AC36" s="211">
        <f t="shared" si="17"/>
        <v>31731.532213920145</v>
      </c>
      <c r="AD36" s="211">
        <f t="shared" si="17"/>
        <v>31736.699410936049</v>
      </c>
      <c r="AE36" s="211">
        <f t="shared" si="17"/>
        <v>31741.86660795195</v>
      </c>
      <c r="AF36" s="211">
        <f t="shared" si="18"/>
        <v>31747.033804967854</v>
      </c>
      <c r="AG36" s="211">
        <f t="shared" si="18"/>
        <v>31752.201001983758</v>
      </c>
      <c r="AH36" s="211">
        <f t="shared" si="18"/>
        <v>31757.368198999658</v>
      </c>
      <c r="AI36" s="211">
        <f t="shared" si="18"/>
        <v>31762.535396015563</v>
      </c>
      <c r="AJ36" s="211">
        <f t="shared" si="18"/>
        <v>31767.702593031467</v>
      </c>
      <c r="AK36" s="211">
        <f t="shared" si="18"/>
        <v>31772.869790047367</v>
      </c>
      <c r="AL36" s="211">
        <f t="shared" si="18"/>
        <v>31778.036987063271</v>
      </c>
      <c r="AM36" s="211">
        <f t="shared" si="18"/>
        <v>31783.204184079175</v>
      </c>
      <c r="AN36" s="211">
        <f t="shared" si="18"/>
        <v>31788.371381095076</v>
      </c>
      <c r="AO36" s="211">
        <f t="shared" si="18"/>
        <v>31793.53857811098</v>
      </c>
      <c r="AP36" s="211">
        <f t="shared" si="19"/>
        <v>31798.705775126884</v>
      </c>
      <c r="AQ36" s="211">
        <f t="shared" si="19"/>
        <v>31803.872972142784</v>
      </c>
      <c r="AR36" s="211">
        <f t="shared" si="19"/>
        <v>31809.040169158689</v>
      </c>
      <c r="AS36" s="211">
        <f t="shared" si="19"/>
        <v>31814.207366174593</v>
      </c>
      <c r="AT36" s="211">
        <f t="shared" si="19"/>
        <v>31819.374563190493</v>
      </c>
      <c r="AU36" s="211">
        <f t="shared" si="19"/>
        <v>31824.541760206397</v>
      </c>
      <c r="AV36" s="211">
        <f t="shared" si="19"/>
        <v>31829.708957222298</v>
      </c>
      <c r="AW36" s="211">
        <f t="shared" si="19"/>
        <v>31834.876154238202</v>
      </c>
      <c r="AX36" s="211">
        <f t="shared" si="19"/>
        <v>31840.043351254106</v>
      </c>
      <c r="AY36" s="211">
        <f t="shared" si="19"/>
        <v>31845.210548270006</v>
      </c>
      <c r="AZ36" s="211">
        <f t="shared" si="20"/>
        <v>31850.37774528591</v>
      </c>
      <c r="BA36" s="211">
        <f t="shared" si="20"/>
        <v>31855.544942301814</v>
      </c>
      <c r="BB36" s="211">
        <f t="shared" si="20"/>
        <v>31860.712139317715</v>
      </c>
      <c r="BC36" s="211">
        <f t="shared" si="20"/>
        <v>31865.879336333619</v>
      </c>
      <c r="BD36" s="211">
        <f t="shared" si="20"/>
        <v>31871.046533349523</v>
      </c>
      <c r="BE36" s="211">
        <f t="shared" si="20"/>
        <v>31876.213730365424</v>
      </c>
      <c r="BF36" s="211">
        <f t="shared" si="20"/>
        <v>31881.380927381328</v>
      </c>
      <c r="BG36" s="211">
        <f t="shared" si="20"/>
        <v>31886.548124397232</v>
      </c>
      <c r="BH36" s="211">
        <f t="shared" si="20"/>
        <v>31891.715321413132</v>
      </c>
      <c r="BI36" s="211">
        <f t="shared" si="20"/>
        <v>31896.882518429036</v>
      </c>
      <c r="BJ36" s="211">
        <f t="shared" si="21"/>
        <v>31902.04971544494</v>
      </c>
      <c r="BK36" s="211">
        <f t="shared" si="21"/>
        <v>31907.216912460841</v>
      </c>
      <c r="BL36" s="211">
        <f t="shared" si="21"/>
        <v>31912.384109476745</v>
      </c>
      <c r="BM36" s="211">
        <f t="shared" si="21"/>
        <v>31917.551306492649</v>
      </c>
      <c r="BN36" s="211">
        <f t="shared" si="21"/>
        <v>31949.651849320791</v>
      </c>
      <c r="BO36" s="211">
        <f t="shared" si="21"/>
        <v>32008.685737961172</v>
      </c>
      <c r="BP36" s="211">
        <f t="shared" si="21"/>
        <v>32067.719626601556</v>
      </c>
      <c r="BQ36" s="211">
        <f t="shared" si="21"/>
        <v>32126.75351524194</v>
      </c>
      <c r="BR36" s="211">
        <f t="shared" si="21"/>
        <v>32185.787403882321</v>
      </c>
      <c r="BS36" s="211">
        <f t="shared" si="21"/>
        <v>32244.821292522705</v>
      </c>
      <c r="BT36" s="211">
        <f t="shared" si="22"/>
        <v>32303.85518116309</v>
      </c>
      <c r="BU36" s="211">
        <f t="shared" si="22"/>
        <v>32362.88906980347</v>
      </c>
      <c r="BV36" s="211">
        <f t="shared" si="22"/>
        <v>32421.922958443854</v>
      </c>
      <c r="BW36" s="211">
        <f t="shared" si="22"/>
        <v>32480.956847084239</v>
      </c>
      <c r="BX36" s="211">
        <f t="shared" si="22"/>
        <v>32539.990735724619</v>
      </c>
      <c r="BY36" s="211">
        <f t="shared" si="22"/>
        <v>32599.024624365004</v>
      </c>
      <c r="BZ36" s="211">
        <f t="shared" si="22"/>
        <v>32658.058513005384</v>
      </c>
      <c r="CA36" s="211">
        <f t="shared" si="22"/>
        <v>32717.092401645768</v>
      </c>
      <c r="CB36" s="211">
        <f t="shared" si="22"/>
        <v>32776.126290286149</v>
      </c>
      <c r="CC36" s="211">
        <f t="shared" si="22"/>
        <v>32835.160178926533</v>
      </c>
      <c r="CD36" s="211">
        <f t="shared" si="23"/>
        <v>32894.194067566918</v>
      </c>
      <c r="CE36" s="211">
        <f t="shared" si="23"/>
        <v>32953.227956207302</v>
      </c>
      <c r="CF36" s="211">
        <f t="shared" si="23"/>
        <v>33012.261844847686</v>
      </c>
      <c r="CG36" s="211">
        <f t="shared" si="23"/>
        <v>33071.295733488063</v>
      </c>
      <c r="CH36" s="211">
        <f t="shared" si="23"/>
        <v>33130.329622128447</v>
      </c>
      <c r="CI36" s="211">
        <f t="shared" si="23"/>
        <v>33189.363510768831</v>
      </c>
      <c r="CJ36" s="211">
        <f t="shared" si="23"/>
        <v>33248.397399409216</v>
      </c>
      <c r="CK36" s="211">
        <f t="shared" si="23"/>
        <v>33307.4312880496</v>
      </c>
      <c r="CL36" s="211">
        <f t="shared" si="23"/>
        <v>33366.465176689977</v>
      </c>
      <c r="CM36" s="211">
        <f t="shared" si="23"/>
        <v>33425.499065330361</v>
      </c>
      <c r="CN36" s="211">
        <f t="shared" si="24"/>
        <v>33484.532953970745</v>
      </c>
      <c r="CO36" s="211">
        <f t="shared" si="24"/>
        <v>33543.56684261113</v>
      </c>
      <c r="CP36" s="211">
        <f t="shared" si="24"/>
        <v>33602.600731251514</v>
      </c>
      <c r="CQ36" s="211">
        <f t="shared" si="24"/>
        <v>33661.634619891898</v>
      </c>
      <c r="CR36" s="211">
        <f t="shared" si="24"/>
        <v>32086.81101353532</v>
      </c>
      <c r="CS36" s="211">
        <f t="shared" si="24"/>
        <v>28878.129912181786</v>
      </c>
      <c r="CT36" s="211">
        <f t="shared" si="24"/>
        <v>25669.448810828257</v>
      </c>
      <c r="CU36" s="211">
        <f t="shared" si="24"/>
        <v>22460.767709474723</v>
      </c>
      <c r="CV36" s="211">
        <f t="shared" si="24"/>
        <v>19252.086608121193</v>
      </c>
      <c r="CW36" s="211">
        <f t="shared" si="24"/>
        <v>16043.40550676766</v>
      </c>
      <c r="CX36" s="211">
        <f t="shared" si="25"/>
        <v>12834.72440541413</v>
      </c>
      <c r="CY36" s="211">
        <f t="shared" si="25"/>
        <v>9626.0433040605967</v>
      </c>
      <c r="CZ36" s="211">
        <f t="shared" si="25"/>
        <v>6417.3622027070669</v>
      </c>
      <c r="DA36" s="211">
        <f t="shared" si="25"/>
        <v>3208.6811013535334</v>
      </c>
    </row>
    <row r="37" spans="1:105">
      <c r="A37" s="202" t="str">
        <f>Income!A86</f>
        <v>Cash transfer - gifts</v>
      </c>
      <c r="B37" s="204">
        <f>Income!B86</f>
        <v>0</v>
      </c>
      <c r="C37" s="204">
        <f>Income!C86</f>
        <v>0</v>
      </c>
      <c r="D37" s="204">
        <f>Income!D86</f>
        <v>0</v>
      </c>
      <c r="E37" s="204">
        <f>Income!E86</f>
        <v>0</v>
      </c>
      <c r="F37" s="211">
        <f t="shared" si="16"/>
        <v>0</v>
      </c>
      <c r="G37" s="211">
        <f t="shared" si="16"/>
        <v>0</v>
      </c>
      <c r="H37" s="211">
        <f t="shared" si="16"/>
        <v>0</v>
      </c>
      <c r="I37" s="211">
        <f t="shared" si="16"/>
        <v>0</v>
      </c>
      <c r="J37" s="211">
        <f t="shared" si="16"/>
        <v>0</v>
      </c>
      <c r="K37" s="211">
        <f t="shared" si="16"/>
        <v>0</v>
      </c>
      <c r="L37" s="211">
        <f t="shared" si="16"/>
        <v>0</v>
      </c>
      <c r="M37" s="211">
        <f t="shared" si="16"/>
        <v>0</v>
      </c>
      <c r="N37" s="211">
        <f t="shared" si="16"/>
        <v>0</v>
      </c>
      <c r="O37" s="211">
        <f t="shared" si="16"/>
        <v>0</v>
      </c>
      <c r="P37" s="211">
        <f t="shared" si="17"/>
        <v>0</v>
      </c>
      <c r="Q37" s="211">
        <f t="shared" si="17"/>
        <v>0</v>
      </c>
      <c r="R37" s="211">
        <f t="shared" si="17"/>
        <v>0</v>
      </c>
      <c r="S37" s="211">
        <f t="shared" si="17"/>
        <v>0</v>
      </c>
      <c r="T37" s="211">
        <f t="shared" si="17"/>
        <v>0</v>
      </c>
      <c r="U37" s="211">
        <f t="shared" si="17"/>
        <v>0</v>
      </c>
      <c r="V37" s="211">
        <f t="shared" si="17"/>
        <v>0</v>
      </c>
      <c r="W37" s="211">
        <f t="shared" si="17"/>
        <v>0</v>
      </c>
      <c r="X37" s="211">
        <f t="shared" si="17"/>
        <v>0</v>
      </c>
      <c r="Y37" s="211">
        <f t="shared" si="17"/>
        <v>0</v>
      </c>
      <c r="Z37" s="211">
        <f t="shared" si="18"/>
        <v>0</v>
      </c>
      <c r="AA37" s="211">
        <f t="shared" si="18"/>
        <v>0</v>
      </c>
      <c r="AB37" s="211">
        <f t="shared" si="18"/>
        <v>0</v>
      </c>
      <c r="AC37" s="211">
        <f t="shared" si="18"/>
        <v>0</v>
      </c>
      <c r="AD37" s="211">
        <f t="shared" si="18"/>
        <v>0</v>
      </c>
      <c r="AE37" s="211">
        <f t="shared" si="18"/>
        <v>0</v>
      </c>
      <c r="AF37" s="211">
        <f t="shared" si="18"/>
        <v>0</v>
      </c>
      <c r="AG37" s="211">
        <f t="shared" si="18"/>
        <v>0</v>
      </c>
      <c r="AH37" s="211">
        <f t="shared" si="18"/>
        <v>0</v>
      </c>
      <c r="AI37" s="211">
        <f t="shared" si="18"/>
        <v>0</v>
      </c>
      <c r="AJ37" s="211">
        <f t="shared" si="19"/>
        <v>0</v>
      </c>
      <c r="AK37" s="211">
        <f t="shared" si="19"/>
        <v>0</v>
      </c>
      <c r="AL37" s="211">
        <f t="shared" si="19"/>
        <v>0</v>
      </c>
      <c r="AM37" s="211">
        <f t="shared" si="19"/>
        <v>0</v>
      </c>
      <c r="AN37" s="211">
        <f t="shared" si="19"/>
        <v>0</v>
      </c>
      <c r="AO37" s="211">
        <f t="shared" si="19"/>
        <v>0</v>
      </c>
      <c r="AP37" s="211">
        <f t="shared" si="19"/>
        <v>0</v>
      </c>
      <c r="AQ37" s="211">
        <f t="shared" si="19"/>
        <v>0</v>
      </c>
      <c r="AR37" s="211">
        <f t="shared" si="19"/>
        <v>0</v>
      </c>
      <c r="AS37" s="211">
        <f t="shared" si="19"/>
        <v>0</v>
      </c>
      <c r="AT37" s="211">
        <f t="shared" si="20"/>
        <v>0</v>
      </c>
      <c r="AU37" s="211">
        <f t="shared" si="20"/>
        <v>0</v>
      </c>
      <c r="AV37" s="211">
        <f t="shared" si="20"/>
        <v>0</v>
      </c>
      <c r="AW37" s="211">
        <f t="shared" si="20"/>
        <v>0</v>
      </c>
      <c r="AX37" s="211">
        <f t="shared" si="20"/>
        <v>0</v>
      </c>
      <c r="AY37" s="211">
        <f t="shared" si="20"/>
        <v>0</v>
      </c>
      <c r="AZ37" s="211">
        <f t="shared" si="20"/>
        <v>0</v>
      </c>
      <c r="BA37" s="211">
        <f t="shared" si="20"/>
        <v>0</v>
      </c>
      <c r="BB37" s="211">
        <f t="shared" si="20"/>
        <v>0</v>
      </c>
      <c r="BC37" s="211">
        <f t="shared" si="20"/>
        <v>0</v>
      </c>
      <c r="BD37" s="211">
        <f t="shared" si="21"/>
        <v>0</v>
      </c>
      <c r="BE37" s="211">
        <f t="shared" si="21"/>
        <v>0</v>
      </c>
      <c r="BF37" s="211">
        <f t="shared" si="21"/>
        <v>0</v>
      </c>
      <c r="BG37" s="211">
        <f t="shared" si="21"/>
        <v>0</v>
      </c>
      <c r="BH37" s="211">
        <f t="shared" si="21"/>
        <v>0</v>
      </c>
      <c r="BI37" s="211">
        <f t="shared" si="21"/>
        <v>0</v>
      </c>
      <c r="BJ37" s="211">
        <f t="shared" si="21"/>
        <v>0</v>
      </c>
      <c r="BK37" s="211">
        <f t="shared" si="21"/>
        <v>0</v>
      </c>
      <c r="BL37" s="211">
        <f t="shared" si="21"/>
        <v>0</v>
      </c>
      <c r="BM37" s="211">
        <f t="shared" si="21"/>
        <v>0</v>
      </c>
      <c r="BN37" s="211">
        <f t="shared" si="22"/>
        <v>0</v>
      </c>
      <c r="BO37" s="211">
        <f t="shared" si="22"/>
        <v>0</v>
      </c>
      <c r="BP37" s="211">
        <f t="shared" si="22"/>
        <v>0</v>
      </c>
      <c r="BQ37" s="211">
        <f t="shared" si="22"/>
        <v>0</v>
      </c>
      <c r="BR37" s="211">
        <f t="shared" si="22"/>
        <v>0</v>
      </c>
      <c r="BS37" s="211">
        <f t="shared" si="22"/>
        <v>0</v>
      </c>
      <c r="BT37" s="211">
        <f t="shared" si="22"/>
        <v>0</v>
      </c>
      <c r="BU37" s="211">
        <f t="shared" si="22"/>
        <v>0</v>
      </c>
      <c r="BV37" s="211">
        <f t="shared" si="22"/>
        <v>0</v>
      </c>
      <c r="BW37" s="211">
        <f t="shared" si="22"/>
        <v>0</v>
      </c>
      <c r="BX37" s="211">
        <f t="shared" si="23"/>
        <v>0</v>
      </c>
      <c r="BY37" s="211">
        <f t="shared" si="23"/>
        <v>0</v>
      </c>
      <c r="BZ37" s="211">
        <f t="shared" si="23"/>
        <v>0</v>
      </c>
      <c r="CA37" s="211">
        <f t="shared" si="23"/>
        <v>0</v>
      </c>
      <c r="CB37" s="211">
        <f t="shared" si="23"/>
        <v>0</v>
      </c>
      <c r="CC37" s="211">
        <f t="shared" si="23"/>
        <v>0</v>
      </c>
      <c r="CD37" s="211">
        <f t="shared" si="23"/>
        <v>0</v>
      </c>
      <c r="CE37" s="211">
        <f t="shared" si="23"/>
        <v>0</v>
      </c>
      <c r="CF37" s="211">
        <f t="shared" si="23"/>
        <v>0</v>
      </c>
      <c r="CG37" s="211">
        <f t="shared" si="23"/>
        <v>0</v>
      </c>
      <c r="CH37" s="211">
        <f t="shared" si="24"/>
        <v>0</v>
      </c>
      <c r="CI37" s="211">
        <f t="shared" si="24"/>
        <v>0</v>
      </c>
      <c r="CJ37" s="211">
        <f t="shared" si="24"/>
        <v>0</v>
      </c>
      <c r="CK37" s="211">
        <f t="shared" si="24"/>
        <v>0</v>
      </c>
      <c r="CL37" s="211">
        <f t="shared" si="24"/>
        <v>0</v>
      </c>
      <c r="CM37" s="211">
        <f t="shared" si="24"/>
        <v>0</v>
      </c>
      <c r="CN37" s="211">
        <f t="shared" si="24"/>
        <v>0</v>
      </c>
      <c r="CO37" s="211">
        <f t="shared" si="24"/>
        <v>0</v>
      </c>
      <c r="CP37" s="211">
        <f t="shared" si="24"/>
        <v>0</v>
      </c>
      <c r="CQ37" s="211">
        <f t="shared" si="24"/>
        <v>0</v>
      </c>
      <c r="CR37" s="211">
        <f t="shared" si="25"/>
        <v>0</v>
      </c>
      <c r="CS37" s="211">
        <f t="shared" si="25"/>
        <v>0</v>
      </c>
      <c r="CT37" s="211">
        <f t="shared" si="25"/>
        <v>0</v>
      </c>
      <c r="CU37" s="211">
        <f t="shared" si="25"/>
        <v>0</v>
      </c>
      <c r="CV37" s="211">
        <f t="shared" si="25"/>
        <v>0</v>
      </c>
      <c r="CW37" s="211">
        <f t="shared" si="25"/>
        <v>0</v>
      </c>
      <c r="CX37" s="211">
        <f t="shared" si="25"/>
        <v>0</v>
      </c>
      <c r="CY37" s="211">
        <f t="shared" si="25"/>
        <v>0</v>
      </c>
      <c r="CZ37" s="211">
        <f t="shared" si="25"/>
        <v>0</v>
      </c>
      <c r="DA37" s="211">
        <f t="shared" si="25"/>
        <v>0</v>
      </c>
    </row>
    <row r="38" spans="1:105">
      <c r="A38" s="202" t="str">
        <f>Income!A88</f>
        <v>TOTAL</v>
      </c>
      <c r="B38" s="204">
        <f>Income!B88</f>
        <v>56335.986173104189</v>
      </c>
      <c r="C38" s="204">
        <f>Income!C88</f>
        <v>70425.674076600117</v>
      </c>
      <c r="D38" s="204">
        <f>Income!D88</f>
        <v>137822.7596082073</v>
      </c>
      <c r="E38" s="204">
        <f>Income!E88</f>
        <v>0</v>
      </c>
      <c r="F38" s="205">
        <f t="shared" ref="F38:AK38" si="26">SUM(F25:F37)</f>
        <v>48881.742825814639</v>
      </c>
      <c r="G38" s="205">
        <f t="shared" si="26"/>
        <v>48881.742825814639</v>
      </c>
      <c r="H38" s="205">
        <f t="shared" si="26"/>
        <v>48881.742825814639</v>
      </c>
      <c r="I38" s="205">
        <f t="shared" si="26"/>
        <v>48881.742825814639</v>
      </c>
      <c r="J38" s="205">
        <f t="shared" si="26"/>
        <v>48881.742825814639</v>
      </c>
      <c r="K38" s="205">
        <f t="shared" si="26"/>
        <v>48881.742825814639</v>
      </c>
      <c r="L38" s="205">
        <f t="shared" si="26"/>
        <v>48881.742825814639</v>
      </c>
      <c r="M38" s="205">
        <f t="shared" si="26"/>
        <v>48881.742825814639</v>
      </c>
      <c r="N38" s="205">
        <f t="shared" si="26"/>
        <v>48881.742825814639</v>
      </c>
      <c r="O38" s="205">
        <f t="shared" si="26"/>
        <v>48881.742825814639</v>
      </c>
      <c r="P38" s="205">
        <f t="shared" si="26"/>
        <v>48881.742825814639</v>
      </c>
      <c r="Q38" s="205">
        <f t="shared" si="26"/>
        <v>48881.742825814639</v>
      </c>
      <c r="R38" s="205">
        <f t="shared" si="26"/>
        <v>48881.742825814639</v>
      </c>
      <c r="S38" s="205">
        <f t="shared" si="26"/>
        <v>48881.742825814639</v>
      </c>
      <c r="T38" s="205">
        <f t="shared" si="26"/>
        <v>48881.742825814639</v>
      </c>
      <c r="U38" s="205">
        <f t="shared" si="26"/>
        <v>48881.742825814639</v>
      </c>
      <c r="V38" s="205">
        <f t="shared" si="26"/>
        <v>48881.742825814639</v>
      </c>
      <c r="W38" s="205">
        <f t="shared" si="26"/>
        <v>48881.742825814639</v>
      </c>
      <c r="X38" s="205">
        <f t="shared" si="26"/>
        <v>48881.742825814639</v>
      </c>
      <c r="Y38" s="205">
        <f t="shared" si="26"/>
        <v>48881.742825814639</v>
      </c>
      <c r="Z38" s="205">
        <f t="shared" si="26"/>
        <v>48881.742825814639</v>
      </c>
      <c r="AA38" s="205">
        <f t="shared" si="26"/>
        <v>49157.565919060944</v>
      </c>
      <c r="AB38" s="205">
        <f t="shared" si="26"/>
        <v>49433.389012307249</v>
      </c>
      <c r="AC38" s="205">
        <f t="shared" si="26"/>
        <v>49709.212105553554</v>
      </c>
      <c r="AD38" s="205">
        <f t="shared" si="26"/>
        <v>49985.035198799858</v>
      </c>
      <c r="AE38" s="205">
        <f t="shared" si="26"/>
        <v>50260.858292046163</v>
      </c>
      <c r="AF38" s="205">
        <f t="shared" si="26"/>
        <v>50536.681385292468</v>
      </c>
      <c r="AG38" s="205">
        <f t="shared" si="26"/>
        <v>50812.504478538773</v>
      </c>
      <c r="AH38" s="205">
        <f t="shared" si="26"/>
        <v>51088.32757178507</v>
      </c>
      <c r="AI38" s="205">
        <f t="shared" si="26"/>
        <v>51364.150665031375</v>
      </c>
      <c r="AJ38" s="205">
        <f t="shared" si="26"/>
        <v>51639.97375827768</v>
      </c>
      <c r="AK38" s="205">
        <f t="shared" si="26"/>
        <v>51915.796851523977</v>
      </c>
      <c r="AL38" s="205">
        <f t="shared" ref="AL38:BQ38" si="27">SUM(AL25:AL37)</f>
        <v>52191.619944770282</v>
      </c>
      <c r="AM38" s="205">
        <f t="shared" si="27"/>
        <v>52467.443038016587</v>
      </c>
      <c r="AN38" s="205">
        <f t="shared" si="27"/>
        <v>52743.266131262892</v>
      </c>
      <c r="AO38" s="205">
        <f t="shared" si="27"/>
        <v>53019.089224509196</v>
      </c>
      <c r="AP38" s="205">
        <f t="shared" si="27"/>
        <v>53294.912317755501</v>
      </c>
      <c r="AQ38" s="205">
        <f t="shared" si="27"/>
        <v>53570.735411001806</v>
      </c>
      <c r="AR38" s="205">
        <f t="shared" si="27"/>
        <v>53846.558504248103</v>
      </c>
      <c r="AS38" s="205">
        <f t="shared" si="27"/>
        <v>54122.381597494415</v>
      </c>
      <c r="AT38" s="205">
        <f t="shared" si="27"/>
        <v>54398.204690740706</v>
      </c>
      <c r="AU38" s="205">
        <f t="shared" si="27"/>
        <v>54674.027783987018</v>
      </c>
      <c r="AV38" s="205">
        <f t="shared" si="27"/>
        <v>54949.850877233315</v>
      </c>
      <c r="AW38" s="205">
        <f t="shared" si="27"/>
        <v>55225.67397047962</v>
      </c>
      <c r="AX38" s="205">
        <f t="shared" si="27"/>
        <v>55501.497063725925</v>
      </c>
      <c r="AY38" s="205">
        <f t="shared" si="27"/>
        <v>55777.32015697223</v>
      </c>
      <c r="AZ38" s="205">
        <f t="shared" si="27"/>
        <v>56053.143250218534</v>
      </c>
      <c r="BA38" s="205">
        <f t="shared" si="27"/>
        <v>56328.966343464839</v>
      </c>
      <c r="BB38" s="205">
        <f t="shared" si="27"/>
        <v>56604.789436711137</v>
      </c>
      <c r="BC38" s="205">
        <f t="shared" si="27"/>
        <v>56880.612529957449</v>
      </c>
      <c r="BD38" s="205">
        <f t="shared" si="27"/>
        <v>57156.435623203739</v>
      </c>
      <c r="BE38" s="205">
        <f t="shared" si="27"/>
        <v>57432.258716450044</v>
      </c>
      <c r="BF38" s="205">
        <f t="shared" si="27"/>
        <v>57708.081809696349</v>
      </c>
      <c r="BG38" s="205">
        <f t="shared" si="27"/>
        <v>57983.904902942653</v>
      </c>
      <c r="BH38" s="205">
        <f t="shared" si="27"/>
        <v>58259.727996188958</v>
      </c>
      <c r="BI38" s="205">
        <f t="shared" si="27"/>
        <v>58535.551089435263</v>
      </c>
      <c r="BJ38" s="205">
        <f t="shared" si="27"/>
        <v>58811.374182681568</v>
      </c>
      <c r="BK38" s="205">
        <f t="shared" si="27"/>
        <v>59087.197275927865</v>
      </c>
      <c r="BL38" s="205">
        <f t="shared" si="27"/>
        <v>59363.02036917417</v>
      </c>
      <c r="BM38" s="205">
        <f t="shared" si="27"/>
        <v>59638.843462420475</v>
      </c>
      <c r="BN38" s="205">
        <f t="shared" si="27"/>
        <v>61077.52175236302</v>
      </c>
      <c r="BO38" s="205">
        <f t="shared" si="27"/>
        <v>63679.055239001813</v>
      </c>
      <c r="BP38" s="205">
        <f t="shared" si="27"/>
        <v>66280.588725640599</v>
      </c>
      <c r="BQ38" s="205">
        <f t="shared" si="27"/>
        <v>68882.122212279384</v>
      </c>
      <c r="BR38" s="205">
        <f t="shared" ref="BR38:CW38" si="28">SUM(BR25:BR37)</f>
        <v>71483.655698918184</v>
      </c>
      <c r="BS38" s="205">
        <f t="shared" si="28"/>
        <v>74085.18918555697</v>
      </c>
      <c r="BT38" s="205">
        <f t="shared" si="28"/>
        <v>76686.722672195756</v>
      </c>
      <c r="BU38" s="205">
        <f t="shared" si="28"/>
        <v>79288.256158834542</v>
      </c>
      <c r="BV38" s="205">
        <f t="shared" si="28"/>
        <v>81889.789645473342</v>
      </c>
      <c r="BW38" s="205">
        <f t="shared" si="28"/>
        <v>84491.323132112127</v>
      </c>
      <c r="BX38" s="205">
        <f t="shared" si="28"/>
        <v>87092.856618750913</v>
      </c>
      <c r="BY38" s="205">
        <f t="shared" si="28"/>
        <v>89694.390105389699</v>
      </c>
      <c r="BZ38" s="205">
        <f t="shared" si="28"/>
        <v>92295.923592028485</v>
      </c>
      <c r="CA38" s="205">
        <f t="shared" si="28"/>
        <v>94897.457078667285</v>
      </c>
      <c r="CB38" s="205">
        <f t="shared" si="28"/>
        <v>97498.99056530607</v>
      </c>
      <c r="CC38" s="205">
        <f t="shared" si="28"/>
        <v>100100.52405194487</v>
      </c>
      <c r="CD38" s="205">
        <f t="shared" si="28"/>
        <v>102702.05753858366</v>
      </c>
      <c r="CE38" s="205">
        <f t="shared" si="28"/>
        <v>105303.59102522244</v>
      </c>
      <c r="CF38" s="205">
        <f t="shared" si="28"/>
        <v>107905.12451186124</v>
      </c>
      <c r="CG38" s="205">
        <f t="shared" si="28"/>
        <v>110506.6579985</v>
      </c>
      <c r="CH38" s="205">
        <f t="shared" si="28"/>
        <v>113108.19148513881</v>
      </c>
      <c r="CI38" s="205">
        <f t="shared" si="28"/>
        <v>115709.7249717776</v>
      </c>
      <c r="CJ38" s="205">
        <f t="shared" si="28"/>
        <v>118311.25845841639</v>
      </c>
      <c r="CK38" s="205">
        <f t="shared" si="28"/>
        <v>120912.79194505517</v>
      </c>
      <c r="CL38" s="205">
        <f t="shared" si="28"/>
        <v>123514.32543169396</v>
      </c>
      <c r="CM38" s="205">
        <f t="shared" si="28"/>
        <v>126115.85891833276</v>
      </c>
      <c r="CN38" s="205">
        <f t="shared" si="28"/>
        <v>128717.39240497154</v>
      </c>
      <c r="CO38" s="205">
        <f t="shared" si="28"/>
        <v>131318.92589161033</v>
      </c>
      <c r="CP38" s="205">
        <f t="shared" si="28"/>
        <v>133920.45937824913</v>
      </c>
      <c r="CQ38" s="205">
        <f t="shared" si="28"/>
        <v>136521.99286488793</v>
      </c>
      <c r="CR38" s="205">
        <f t="shared" si="28"/>
        <v>131259.77105543553</v>
      </c>
      <c r="CS38" s="205">
        <f t="shared" si="28"/>
        <v>118133.79394989196</v>
      </c>
      <c r="CT38" s="205">
        <f t="shared" si="28"/>
        <v>105007.81684434843</v>
      </c>
      <c r="CU38" s="205">
        <f t="shared" si="28"/>
        <v>91881.839738804862</v>
      </c>
      <c r="CV38" s="205">
        <f t="shared" si="28"/>
        <v>78755.86263326132</v>
      </c>
      <c r="CW38" s="205">
        <f t="shared" si="28"/>
        <v>65629.885527717764</v>
      </c>
      <c r="CX38" s="205">
        <f>SUM(CX25:CX37)</f>
        <v>52503.908422174209</v>
      </c>
      <c r="CY38" s="205">
        <f>SUM(CY25:CY37)</f>
        <v>39377.931316630667</v>
      </c>
      <c r="CZ38" s="205">
        <f>SUM(CZ25:CZ37)</f>
        <v>26251.954211087108</v>
      </c>
      <c r="DA38" s="205">
        <f>SUM(DA25:DA37)</f>
        <v>13125.977105543552</v>
      </c>
    </row>
    <row r="39" spans="1:105">
      <c r="A39" s="202" t="str">
        <f>Income!A89</f>
        <v>Food Poverty line</v>
      </c>
      <c r="B39" s="204">
        <f>Income!B89</f>
        <v>33489.867316657939</v>
      </c>
      <c r="C39" s="204">
        <f>Income!C89</f>
        <v>33489.867316657932</v>
      </c>
      <c r="D39" s="204">
        <f>Income!D89</f>
        <v>33489.867316657939</v>
      </c>
      <c r="E39" s="204">
        <f>Income!E89</f>
        <v>0</v>
      </c>
      <c r="F39" s="205">
        <f t="shared" ref="F39:U39" si="29">IF(F$2&lt;=($B$2+$C$2+$D$2),IF(F$2&lt;=($B$2+$C$2),IF(F$2&lt;=$B$2,$B39,$C39),$D39),$E39)</f>
        <v>33489.867316657939</v>
      </c>
      <c r="G39" s="205">
        <f t="shared" si="29"/>
        <v>33489.867316657939</v>
      </c>
      <c r="H39" s="205">
        <f t="shared" si="29"/>
        <v>33489.867316657939</v>
      </c>
      <c r="I39" s="205">
        <f t="shared" si="29"/>
        <v>33489.867316657939</v>
      </c>
      <c r="J39" s="205">
        <f t="shared" si="29"/>
        <v>33489.867316657939</v>
      </c>
      <c r="K39" s="205">
        <f t="shared" si="29"/>
        <v>33489.867316657939</v>
      </c>
      <c r="L39" s="205">
        <f t="shared" si="29"/>
        <v>33489.867316657939</v>
      </c>
      <c r="M39" s="205">
        <f t="shared" si="29"/>
        <v>33489.867316657939</v>
      </c>
      <c r="N39" s="205">
        <f t="shared" si="29"/>
        <v>33489.867316657939</v>
      </c>
      <c r="O39" s="205">
        <f t="shared" si="29"/>
        <v>33489.867316657939</v>
      </c>
      <c r="P39" s="205">
        <f t="shared" si="29"/>
        <v>33489.867316657939</v>
      </c>
      <c r="Q39" s="205">
        <f t="shared" si="29"/>
        <v>33489.867316657939</v>
      </c>
      <c r="R39" s="205">
        <f t="shared" si="29"/>
        <v>33489.867316657939</v>
      </c>
      <c r="S39" s="205">
        <f t="shared" si="29"/>
        <v>33489.867316657939</v>
      </c>
      <c r="T39" s="205">
        <f t="shared" si="29"/>
        <v>33489.867316657939</v>
      </c>
      <c r="U39" s="205">
        <f t="shared" si="29"/>
        <v>33489.867316657939</v>
      </c>
      <c r="V39" s="205">
        <f t="shared" ref="V39:AK40" si="30">IF(V$2&lt;=($B$2+$C$2+$D$2),IF(V$2&lt;=($B$2+$C$2),IF(V$2&lt;=$B$2,$B39,$C39),$D39),$E39)</f>
        <v>33489.867316657939</v>
      </c>
      <c r="W39" s="205">
        <f t="shared" si="30"/>
        <v>33489.867316657939</v>
      </c>
      <c r="X39" s="205">
        <f t="shared" si="30"/>
        <v>33489.867316657939</v>
      </c>
      <c r="Y39" s="205">
        <f t="shared" si="30"/>
        <v>33489.867316657939</v>
      </c>
      <c r="Z39" s="205">
        <f t="shared" si="30"/>
        <v>33489.867316657939</v>
      </c>
      <c r="AA39" s="205">
        <f t="shared" si="30"/>
        <v>33489.867316657939</v>
      </c>
      <c r="AB39" s="205">
        <f t="shared" si="30"/>
        <v>33489.867316657939</v>
      </c>
      <c r="AC39" s="205">
        <f t="shared" si="30"/>
        <v>33489.867316657939</v>
      </c>
      <c r="AD39" s="205">
        <f t="shared" si="30"/>
        <v>33489.867316657939</v>
      </c>
      <c r="AE39" s="205">
        <f t="shared" si="30"/>
        <v>33489.867316657939</v>
      </c>
      <c r="AF39" s="205">
        <f t="shared" si="30"/>
        <v>33489.867316657939</v>
      </c>
      <c r="AG39" s="205">
        <f t="shared" si="30"/>
        <v>33489.867316657939</v>
      </c>
      <c r="AH39" s="205">
        <f t="shared" si="30"/>
        <v>33489.867316657939</v>
      </c>
      <c r="AI39" s="205">
        <f t="shared" si="30"/>
        <v>33489.867316657939</v>
      </c>
      <c r="AJ39" s="205">
        <f t="shared" si="30"/>
        <v>33489.867316657939</v>
      </c>
      <c r="AK39" s="205">
        <f t="shared" si="30"/>
        <v>33489.867316657939</v>
      </c>
      <c r="AL39" s="205">
        <f t="shared" ref="AL39:BA40" si="31">IF(AL$2&lt;=($B$2+$C$2+$D$2),IF(AL$2&lt;=($B$2+$C$2),IF(AL$2&lt;=$B$2,$B39,$C39),$D39),$E39)</f>
        <v>33489.867316657939</v>
      </c>
      <c r="AM39" s="205">
        <f t="shared" si="31"/>
        <v>33489.867316657939</v>
      </c>
      <c r="AN39" s="205">
        <f t="shared" si="31"/>
        <v>33489.867316657939</v>
      </c>
      <c r="AO39" s="205">
        <f t="shared" si="31"/>
        <v>33489.867316657939</v>
      </c>
      <c r="AP39" s="205">
        <f t="shared" si="31"/>
        <v>33489.867316657939</v>
      </c>
      <c r="AQ39" s="205">
        <f t="shared" si="31"/>
        <v>33489.867316657939</v>
      </c>
      <c r="AR39" s="205">
        <f t="shared" si="31"/>
        <v>33489.867316657939</v>
      </c>
      <c r="AS39" s="205">
        <f t="shared" si="31"/>
        <v>33489.867316657939</v>
      </c>
      <c r="AT39" s="205">
        <f t="shared" si="31"/>
        <v>33489.867316657932</v>
      </c>
      <c r="AU39" s="205">
        <f t="shared" si="31"/>
        <v>33489.867316657932</v>
      </c>
      <c r="AV39" s="205">
        <f t="shared" si="31"/>
        <v>33489.867316657932</v>
      </c>
      <c r="AW39" s="205">
        <f t="shared" si="31"/>
        <v>33489.867316657932</v>
      </c>
      <c r="AX39" s="205">
        <f t="shared" si="31"/>
        <v>33489.867316657932</v>
      </c>
      <c r="AY39" s="205">
        <f t="shared" si="31"/>
        <v>33489.867316657932</v>
      </c>
      <c r="AZ39" s="205">
        <f t="shared" si="31"/>
        <v>33489.867316657932</v>
      </c>
      <c r="BA39" s="205">
        <f t="shared" si="31"/>
        <v>33489.867316657932</v>
      </c>
      <c r="BB39" s="205">
        <f t="shared" ref="BB39:CD40" si="32">IF(BB$2&lt;=($B$2+$C$2+$D$2),IF(BB$2&lt;=($B$2+$C$2),IF(BB$2&lt;=$B$2,$B39,$C39),$D39),$E39)</f>
        <v>33489.867316657932</v>
      </c>
      <c r="BC39" s="205">
        <f t="shared" si="32"/>
        <v>33489.867316657932</v>
      </c>
      <c r="BD39" s="205">
        <f t="shared" si="32"/>
        <v>33489.867316657932</v>
      </c>
      <c r="BE39" s="205">
        <f t="shared" si="32"/>
        <v>33489.867316657932</v>
      </c>
      <c r="BF39" s="205">
        <f t="shared" si="32"/>
        <v>33489.867316657932</v>
      </c>
      <c r="BG39" s="205">
        <f t="shared" si="32"/>
        <v>33489.867316657932</v>
      </c>
      <c r="BH39" s="205">
        <f t="shared" si="32"/>
        <v>33489.867316657932</v>
      </c>
      <c r="BI39" s="205">
        <f t="shared" si="32"/>
        <v>33489.867316657932</v>
      </c>
      <c r="BJ39" s="205">
        <f t="shared" si="32"/>
        <v>33489.867316657932</v>
      </c>
      <c r="BK39" s="205">
        <f t="shared" si="32"/>
        <v>33489.867316657932</v>
      </c>
      <c r="BL39" s="205">
        <f t="shared" si="32"/>
        <v>33489.867316657932</v>
      </c>
      <c r="BM39" s="205">
        <f t="shared" si="32"/>
        <v>33489.867316657932</v>
      </c>
      <c r="BN39" s="205">
        <f t="shared" si="32"/>
        <v>33489.867316657932</v>
      </c>
      <c r="BO39" s="205">
        <f t="shared" si="32"/>
        <v>33489.867316657932</v>
      </c>
      <c r="BP39" s="205">
        <f t="shared" si="32"/>
        <v>33489.867316657932</v>
      </c>
      <c r="BQ39" s="205">
        <f t="shared" si="32"/>
        <v>33489.867316657932</v>
      </c>
      <c r="BR39" s="205">
        <f t="shared" si="32"/>
        <v>33489.867316657932</v>
      </c>
      <c r="BS39" s="205">
        <f t="shared" si="32"/>
        <v>33489.867316657932</v>
      </c>
      <c r="BT39" s="205">
        <f t="shared" si="32"/>
        <v>33489.867316657932</v>
      </c>
      <c r="BU39" s="205">
        <f t="shared" si="32"/>
        <v>33489.867316657932</v>
      </c>
      <c r="BV39" s="205">
        <f t="shared" si="32"/>
        <v>33489.867316657932</v>
      </c>
      <c r="BW39" s="205">
        <f t="shared" si="32"/>
        <v>33489.867316657932</v>
      </c>
      <c r="BX39" s="205">
        <f t="shared" si="32"/>
        <v>33489.867316657932</v>
      </c>
      <c r="BY39" s="205">
        <f t="shared" si="32"/>
        <v>33489.867316657932</v>
      </c>
      <c r="BZ39" s="205">
        <f t="shared" si="32"/>
        <v>33489.867316657932</v>
      </c>
      <c r="CA39" s="205">
        <f t="shared" si="32"/>
        <v>33489.867316657932</v>
      </c>
      <c r="CB39" s="205">
        <f t="shared" si="32"/>
        <v>33489.867316657932</v>
      </c>
      <c r="CC39" s="205">
        <f t="shared" si="32"/>
        <v>33489.867316657932</v>
      </c>
      <c r="CD39" s="205">
        <f t="shared" si="32"/>
        <v>33489.867316657932</v>
      </c>
      <c r="CE39" s="205">
        <f t="shared" ref="CE39:CR40" si="33">IF(CE$2&lt;=($B$2+$C$2+$D$2),IF(CE$2&lt;=($B$2+$C$2),IF(CE$2&lt;=$B$2,$B39,$C39),$D39),$E39)</f>
        <v>33489.867316657932</v>
      </c>
      <c r="CF39" s="205">
        <f t="shared" si="33"/>
        <v>33489.867316657932</v>
      </c>
      <c r="CG39" s="205">
        <f t="shared" si="33"/>
        <v>33489.867316657939</v>
      </c>
      <c r="CH39" s="205">
        <f t="shared" si="33"/>
        <v>33489.867316657939</v>
      </c>
      <c r="CI39" s="205">
        <f t="shared" si="33"/>
        <v>33489.867316657939</v>
      </c>
      <c r="CJ39" s="205">
        <f t="shared" si="33"/>
        <v>33489.867316657939</v>
      </c>
      <c r="CK39" s="205">
        <f t="shared" si="33"/>
        <v>33489.867316657939</v>
      </c>
      <c r="CL39" s="205">
        <f t="shared" si="33"/>
        <v>33489.867316657939</v>
      </c>
      <c r="CM39" s="205">
        <f t="shared" si="33"/>
        <v>33489.867316657939</v>
      </c>
      <c r="CN39" s="205">
        <f t="shared" si="33"/>
        <v>33489.867316657939</v>
      </c>
      <c r="CO39" s="205">
        <f t="shared" si="33"/>
        <v>33489.867316657939</v>
      </c>
      <c r="CP39" s="205">
        <f t="shared" si="33"/>
        <v>33489.867316657939</v>
      </c>
      <c r="CQ39" s="205">
        <f t="shared" si="33"/>
        <v>33489.867316657939</v>
      </c>
      <c r="CR39" s="205">
        <f t="shared" si="33"/>
        <v>33489.867316657939</v>
      </c>
      <c r="CS39" s="205">
        <f t="shared" ref="CS39:DA40" si="34">IF(CS$2&lt;=($B$2+$C$2+$D$2),IF(CS$2&lt;=($B$2+$C$2),IF(CS$2&lt;=$B$2,$B39,$C39),$D39),$E39)</f>
        <v>33489.867316657939</v>
      </c>
      <c r="CT39" s="205">
        <f t="shared" si="34"/>
        <v>33489.867316657939</v>
      </c>
      <c r="CU39" s="205">
        <f t="shared" si="34"/>
        <v>33489.867316657939</v>
      </c>
      <c r="CV39" s="205">
        <f t="shared" si="34"/>
        <v>33489.867316657939</v>
      </c>
      <c r="CW39" s="205">
        <f t="shared" si="34"/>
        <v>33489.867316657939</v>
      </c>
      <c r="CX39" s="205">
        <f t="shared" si="34"/>
        <v>33489.867316657939</v>
      </c>
      <c r="CY39" s="205">
        <f t="shared" si="34"/>
        <v>33489.867316657939</v>
      </c>
      <c r="CZ39" s="205">
        <f t="shared" si="34"/>
        <v>33489.867316657939</v>
      </c>
      <c r="DA39" s="205">
        <f t="shared" si="34"/>
        <v>33489.867316657939</v>
      </c>
    </row>
    <row r="40" spans="1:105">
      <c r="A40" s="202" t="str">
        <f>Income!A90</f>
        <v>Lower Bound Poverty line</v>
      </c>
      <c r="B40" s="204">
        <f>Income!B90</f>
        <v>51872.693983324607</v>
      </c>
      <c r="C40" s="204">
        <f>Income!C90</f>
        <v>51872.693983324607</v>
      </c>
      <c r="D40" s="204">
        <f>Income!D90</f>
        <v>51872.693983324607</v>
      </c>
      <c r="E40" s="204">
        <f>Income!E90</f>
        <v>0</v>
      </c>
      <c r="F40" s="205">
        <f t="shared" ref="F40:U40" si="35">IF(F$2&lt;=($B$2+$C$2+$D$2),IF(F$2&lt;=($B$2+$C$2),IF(F$2&lt;=$B$2,$B40,$C40),$D40),$E40)</f>
        <v>51872.693983324607</v>
      </c>
      <c r="G40" s="205">
        <f t="shared" si="35"/>
        <v>51872.693983324607</v>
      </c>
      <c r="H40" s="205">
        <f t="shared" si="35"/>
        <v>51872.693983324607</v>
      </c>
      <c r="I40" s="205">
        <f t="shared" si="35"/>
        <v>51872.693983324607</v>
      </c>
      <c r="J40" s="205">
        <f t="shared" si="35"/>
        <v>51872.693983324607</v>
      </c>
      <c r="K40" s="205">
        <f t="shared" si="35"/>
        <v>51872.693983324607</v>
      </c>
      <c r="L40" s="205">
        <f t="shared" si="35"/>
        <v>51872.693983324607</v>
      </c>
      <c r="M40" s="205">
        <f t="shared" si="35"/>
        <v>51872.693983324607</v>
      </c>
      <c r="N40" s="205">
        <f t="shared" si="35"/>
        <v>51872.693983324607</v>
      </c>
      <c r="O40" s="205">
        <f t="shared" si="35"/>
        <v>51872.693983324607</v>
      </c>
      <c r="P40" s="205">
        <f t="shared" si="35"/>
        <v>51872.693983324607</v>
      </c>
      <c r="Q40" s="205">
        <f t="shared" si="35"/>
        <v>51872.693983324607</v>
      </c>
      <c r="R40" s="205">
        <f t="shared" si="35"/>
        <v>51872.693983324607</v>
      </c>
      <c r="S40" s="205">
        <f t="shared" si="35"/>
        <v>51872.693983324607</v>
      </c>
      <c r="T40" s="205">
        <f t="shared" si="35"/>
        <v>51872.693983324607</v>
      </c>
      <c r="U40" s="205">
        <f t="shared" si="35"/>
        <v>51872.693983324607</v>
      </c>
      <c r="V40" s="205">
        <f t="shared" si="30"/>
        <v>51872.693983324607</v>
      </c>
      <c r="W40" s="205">
        <f t="shared" si="30"/>
        <v>51872.693983324607</v>
      </c>
      <c r="X40" s="205">
        <f t="shared" si="30"/>
        <v>51872.693983324607</v>
      </c>
      <c r="Y40" s="205">
        <f t="shared" si="30"/>
        <v>51872.693983324607</v>
      </c>
      <c r="Z40" s="205">
        <f t="shared" si="30"/>
        <v>51872.693983324607</v>
      </c>
      <c r="AA40" s="205">
        <f t="shared" si="30"/>
        <v>51872.693983324607</v>
      </c>
      <c r="AB40" s="205">
        <f t="shared" si="30"/>
        <v>51872.693983324607</v>
      </c>
      <c r="AC40" s="205">
        <f t="shared" si="30"/>
        <v>51872.693983324607</v>
      </c>
      <c r="AD40" s="205">
        <f t="shared" si="30"/>
        <v>51872.693983324607</v>
      </c>
      <c r="AE40" s="205">
        <f t="shared" si="30"/>
        <v>51872.693983324607</v>
      </c>
      <c r="AF40" s="205">
        <f t="shared" si="30"/>
        <v>51872.693983324607</v>
      </c>
      <c r="AG40" s="205">
        <f t="shared" si="30"/>
        <v>51872.693983324607</v>
      </c>
      <c r="AH40" s="205">
        <f t="shared" si="30"/>
        <v>51872.693983324607</v>
      </c>
      <c r="AI40" s="205">
        <f t="shared" si="30"/>
        <v>51872.693983324607</v>
      </c>
      <c r="AJ40" s="205">
        <f t="shared" si="30"/>
        <v>51872.693983324607</v>
      </c>
      <c r="AK40" s="205">
        <f t="shared" si="30"/>
        <v>51872.693983324607</v>
      </c>
      <c r="AL40" s="205">
        <f t="shared" si="31"/>
        <v>51872.693983324607</v>
      </c>
      <c r="AM40" s="205">
        <f t="shared" si="31"/>
        <v>51872.693983324607</v>
      </c>
      <c r="AN40" s="205">
        <f t="shared" si="31"/>
        <v>51872.693983324607</v>
      </c>
      <c r="AO40" s="205">
        <f t="shared" si="31"/>
        <v>51872.693983324607</v>
      </c>
      <c r="AP40" s="205">
        <f t="shared" si="31"/>
        <v>51872.693983324607</v>
      </c>
      <c r="AQ40" s="205">
        <f t="shared" si="31"/>
        <v>51872.693983324607</v>
      </c>
      <c r="AR40" s="205">
        <f t="shared" si="31"/>
        <v>51872.693983324607</v>
      </c>
      <c r="AS40" s="205">
        <f t="shared" si="31"/>
        <v>51872.693983324607</v>
      </c>
      <c r="AT40" s="205">
        <f t="shared" si="31"/>
        <v>51872.693983324607</v>
      </c>
      <c r="AU40" s="205">
        <f t="shared" si="31"/>
        <v>51872.693983324607</v>
      </c>
      <c r="AV40" s="205">
        <f t="shared" si="31"/>
        <v>51872.693983324607</v>
      </c>
      <c r="AW40" s="205">
        <f t="shared" si="31"/>
        <v>51872.693983324607</v>
      </c>
      <c r="AX40" s="205">
        <f t="shared" si="31"/>
        <v>51872.693983324607</v>
      </c>
      <c r="AY40" s="205">
        <f t="shared" si="31"/>
        <v>51872.693983324607</v>
      </c>
      <c r="AZ40" s="205">
        <f t="shared" si="31"/>
        <v>51872.693983324607</v>
      </c>
      <c r="BA40" s="205">
        <f t="shared" si="31"/>
        <v>51872.693983324607</v>
      </c>
      <c r="BB40" s="205">
        <f t="shared" si="32"/>
        <v>51872.693983324607</v>
      </c>
      <c r="BC40" s="205">
        <f t="shared" si="32"/>
        <v>51872.693983324607</v>
      </c>
      <c r="BD40" s="205">
        <f t="shared" si="32"/>
        <v>51872.693983324607</v>
      </c>
      <c r="BE40" s="205">
        <f t="shared" si="32"/>
        <v>51872.693983324607</v>
      </c>
      <c r="BF40" s="205">
        <f t="shared" si="32"/>
        <v>51872.693983324607</v>
      </c>
      <c r="BG40" s="205">
        <f t="shared" si="32"/>
        <v>51872.693983324607</v>
      </c>
      <c r="BH40" s="205">
        <f t="shared" si="32"/>
        <v>51872.693983324607</v>
      </c>
      <c r="BI40" s="205">
        <f t="shared" si="32"/>
        <v>51872.693983324607</v>
      </c>
      <c r="BJ40" s="205">
        <f t="shared" si="32"/>
        <v>51872.693983324607</v>
      </c>
      <c r="BK40" s="205">
        <f t="shared" si="32"/>
        <v>51872.693983324607</v>
      </c>
      <c r="BL40" s="205">
        <f t="shared" si="32"/>
        <v>51872.693983324607</v>
      </c>
      <c r="BM40" s="205">
        <f t="shared" si="32"/>
        <v>51872.693983324607</v>
      </c>
      <c r="BN40" s="205">
        <f t="shared" si="32"/>
        <v>51872.693983324607</v>
      </c>
      <c r="BO40" s="205">
        <f t="shared" si="32"/>
        <v>51872.693983324607</v>
      </c>
      <c r="BP40" s="205">
        <f t="shared" si="32"/>
        <v>51872.693983324607</v>
      </c>
      <c r="BQ40" s="205">
        <f t="shared" si="32"/>
        <v>51872.693983324607</v>
      </c>
      <c r="BR40" s="205">
        <f t="shared" si="32"/>
        <v>51872.693983324607</v>
      </c>
      <c r="BS40" s="205">
        <f t="shared" si="32"/>
        <v>51872.693983324607</v>
      </c>
      <c r="BT40" s="205">
        <f t="shared" si="32"/>
        <v>51872.693983324607</v>
      </c>
      <c r="BU40" s="205">
        <f t="shared" si="32"/>
        <v>51872.693983324607</v>
      </c>
      <c r="BV40" s="205">
        <f t="shared" si="32"/>
        <v>51872.693983324607</v>
      </c>
      <c r="BW40" s="205">
        <f t="shared" si="32"/>
        <v>51872.693983324607</v>
      </c>
      <c r="BX40" s="205">
        <f t="shared" si="32"/>
        <v>51872.693983324607</v>
      </c>
      <c r="BY40" s="205">
        <f t="shared" si="32"/>
        <v>51872.693983324607</v>
      </c>
      <c r="BZ40" s="205">
        <f t="shared" si="32"/>
        <v>51872.693983324607</v>
      </c>
      <c r="CA40" s="205">
        <f t="shared" si="32"/>
        <v>51872.693983324607</v>
      </c>
      <c r="CB40" s="205">
        <f t="shared" si="32"/>
        <v>51872.693983324607</v>
      </c>
      <c r="CC40" s="205">
        <f t="shared" si="32"/>
        <v>51872.693983324607</v>
      </c>
      <c r="CD40" s="205">
        <f t="shared" si="32"/>
        <v>51872.693983324607</v>
      </c>
      <c r="CE40" s="205">
        <f t="shared" si="33"/>
        <v>51872.693983324607</v>
      </c>
      <c r="CF40" s="205">
        <f t="shared" si="33"/>
        <v>51872.693983324607</v>
      </c>
      <c r="CG40" s="205">
        <f t="shared" si="33"/>
        <v>51872.693983324607</v>
      </c>
      <c r="CH40" s="205">
        <f t="shared" si="33"/>
        <v>51872.693983324607</v>
      </c>
      <c r="CI40" s="205">
        <f t="shared" si="33"/>
        <v>51872.693983324607</v>
      </c>
      <c r="CJ40" s="205">
        <f t="shared" si="33"/>
        <v>51872.693983324607</v>
      </c>
      <c r="CK40" s="205">
        <f t="shared" si="33"/>
        <v>51872.693983324607</v>
      </c>
      <c r="CL40" s="205">
        <f t="shared" si="33"/>
        <v>51872.693983324607</v>
      </c>
      <c r="CM40" s="205">
        <f t="shared" si="33"/>
        <v>51872.693983324607</v>
      </c>
      <c r="CN40" s="205">
        <f t="shared" si="33"/>
        <v>51872.693983324607</v>
      </c>
      <c r="CO40" s="205">
        <f t="shared" si="33"/>
        <v>51872.693983324607</v>
      </c>
      <c r="CP40" s="205">
        <f t="shared" si="33"/>
        <v>51872.693983324607</v>
      </c>
      <c r="CQ40" s="205">
        <f t="shared" si="33"/>
        <v>51872.693983324607</v>
      </c>
      <c r="CR40" s="205">
        <f t="shared" si="33"/>
        <v>51872.693983324607</v>
      </c>
      <c r="CS40" s="205">
        <f t="shared" si="34"/>
        <v>51872.693983324607</v>
      </c>
      <c r="CT40" s="205">
        <f t="shared" si="34"/>
        <v>51872.693983324607</v>
      </c>
      <c r="CU40" s="205">
        <f t="shared" si="34"/>
        <v>51872.693983324607</v>
      </c>
      <c r="CV40" s="205">
        <f t="shared" si="34"/>
        <v>51872.693983324607</v>
      </c>
      <c r="CW40" s="205">
        <f t="shared" si="34"/>
        <v>51872.693983324607</v>
      </c>
      <c r="CX40" s="205">
        <f t="shared" si="34"/>
        <v>51872.693983324607</v>
      </c>
      <c r="CY40" s="205">
        <f t="shared" si="34"/>
        <v>51872.693983324607</v>
      </c>
      <c r="CZ40" s="205">
        <f t="shared" si="34"/>
        <v>51872.693983324607</v>
      </c>
      <c r="DA40" s="205">
        <f t="shared" si="34"/>
        <v>51872.693983324607</v>
      </c>
    </row>
    <row r="42" spans="1:105">
      <c r="A42" s="202" t="str">
        <f>Income!A72</f>
        <v>Own crops Consumed</v>
      </c>
      <c r="F42" s="211">
        <f t="shared" ref="F42:AK42" si="36">IF(F$22&lt;=$E$24,IF(F$22&lt;=$D$24,IF(F$22&lt;=$C$24,IF(F$22&lt;=$B$24,$B108,($C25-$B25)/($C$24-$B$24)),($D25-$C25)/($D$24-$C$24)),($E25-$D25)/($E$24-$D$24)),$F108)</f>
        <v>0</v>
      </c>
      <c r="G42" s="211">
        <f t="shared" si="36"/>
        <v>0</v>
      </c>
      <c r="H42" s="211">
        <f t="shared" si="36"/>
        <v>0</v>
      </c>
      <c r="I42" s="211">
        <f t="shared" si="36"/>
        <v>0</v>
      </c>
      <c r="J42" s="211">
        <f t="shared" si="36"/>
        <v>0</v>
      </c>
      <c r="K42" s="211">
        <f t="shared" si="36"/>
        <v>0</v>
      </c>
      <c r="L42" s="211">
        <f t="shared" si="36"/>
        <v>0</v>
      </c>
      <c r="M42" s="211">
        <f t="shared" si="36"/>
        <v>0</v>
      </c>
      <c r="N42" s="211">
        <f t="shared" si="36"/>
        <v>0</v>
      </c>
      <c r="O42" s="211">
        <f t="shared" si="36"/>
        <v>0</v>
      </c>
      <c r="P42" s="211">
        <f t="shared" si="36"/>
        <v>0</v>
      </c>
      <c r="Q42" s="211">
        <f t="shared" si="36"/>
        <v>0</v>
      </c>
      <c r="R42" s="211">
        <f t="shared" si="36"/>
        <v>0</v>
      </c>
      <c r="S42" s="211">
        <f t="shared" si="36"/>
        <v>0</v>
      </c>
      <c r="T42" s="211">
        <f t="shared" si="36"/>
        <v>0</v>
      </c>
      <c r="U42" s="211">
        <f t="shared" si="36"/>
        <v>0</v>
      </c>
      <c r="V42" s="211">
        <f t="shared" si="36"/>
        <v>0</v>
      </c>
      <c r="W42" s="211">
        <f t="shared" si="36"/>
        <v>0</v>
      </c>
      <c r="X42" s="211">
        <f t="shared" si="36"/>
        <v>0</v>
      </c>
      <c r="Y42" s="211">
        <f t="shared" si="36"/>
        <v>0</v>
      </c>
      <c r="Z42" s="211">
        <f t="shared" si="36"/>
        <v>0</v>
      </c>
      <c r="AA42" s="211">
        <f t="shared" si="36"/>
        <v>22.586018473045073</v>
      </c>
      <c r="AB42" s="211">
        <f t="shared" si="36"/>
        <v>22.586018473045073</v>
      </c>
      <c r="AC42" s="211">
        <f t="shared" si="36"/>
        <v>22.586018473045073</v>
      </c>
      <c r="AD42" s="211">
        <f t="shared" si="36"/>
        <v>22.586018473045073</v>
      </c>
      <c r="AE42" s="211">
        <f t="shared" si="36"/>
        <v>22.586018473045073</v>
      </c>
      <c r="AF42" s="211">
        <f t="shared" si="36"/>
        <v>22.586018473045073</v>
      </c>
      <c r="AG42" s="211">
        <f t="shared" si="36"/>
        <v>22.586018473045073</v>
      </c>
      <c r="AH42" s="211">
        <f t="shared" si="36"/>
        <v>22.586018473045073</v>
      </c>
      <c r="AI42" s="211">
        <f t="shared" si="36"/>
        <v>22.586018473045073</v>
      </c>
      <c r="AJ42" s="211">
        <f t="shared" si="36"/>
        <v>22.586018473045073</v>
      </c>
      <c r="AK42" s="211">
        <f t="shared" si="36"/>
        <v>22.586018473045073</v>
      </c>
      <c r="AL42" s="211">
        <f t="shared" ref="AL42:BQ42" si="37">IF(AL$22&lt;=$E$24,IF(AL$22&lt;=$D$24,IF(AL$22&lt;=$C$24,IF(AL$22&lt;=$B$24,$B108,($C25-$B25)/($C$24-$B$24)),($D25-$C25)/($D$24-$C$24)),($E25-$D25)/($E$24-$D$24)),$F108)</f>
        <v>22.586018473045073</v>
      </c>
      <c r="AM42" s="211">
        <f t="shared" si="37"/>
        <v>22.586018473045073</v>
      </c>
      <c r="AN42" s="211">
        <f t="shared" si="37"/>
        <v>22.586018473045073</v>
      </c>
      <c r="AO42" s="211">
        <f t="shared" si="37"/>
        <v>22.586018473045073</v>
      </c>
      <c r="AP42" s="211">
        <f t="shared" si="37"/>
        <v>22.586018473045073</v>
      </c>
      <c r="AQ42" s="211">
        <f t="shared" si="37"/>
        <v>22.586018473045073</v>
      </c>
      <c r="AR42" s="211">
        <f t="shared" si="37"/>
        <v>22.586018473045073</v>
      </c>
      <c r="AS42" s="211">
        <f t="shared" si="37"/>
        <v>22.586018473045073</v>
      </c>
      <c r="AT42" s="211">
        <f t="shared" si="37"/>
        <v>22.586018473045073</v>
      </c>
      <c r="AU42" s="211">
        <f t="shared" si="37"/>
        <v>22.586018473045073</v>
      </c>
      <c r="AV42" s="211">
        <f t="shared" si="37"/>
        <v>22.586018473045073</v>
      </c>
      <c r="AW42" s="211">
        <f t="shared" si="37"/>
        <v>22.586018473045073</v>
      </c>
      <c r="AX42" s="211">
        <f t="shared" si="37"/>
        <v>22.586018473045073</v>
      </c>
      <c r="AY42" s="211">
        <f t="shared" si="37"/>
        <v>22.586018473045073</v>
      </c>
      <c r="AZ42" s="211">
        <f t="shared" si="37"/>
        <v>22.586018473045073</v>
      </c>
      <c r="BA42" s="211">
        <f t="shared" si="37"/>
        <v>22.586018473045073</v>
      </c>
      <c r="BB42" s="211">
        <f t="shared" si="37"/>
        <v>22.586018473045073</v>
      </c>
      <c r="BC42" s="211">
        <f t="shared" si="37"/>
        <v>22.586018473045073</v>
      </c>
      <c r="BD42" s="211">
        <f t="shared" si="37"/>
        <v>22.586018473045073</v>
      </c>
      <c r="BE42" s="211">
        <f t="shared" si="37"/>
        <v>22.586018473045073</v>
      </c>
      <c r="BF42" s="211">
        <f t="shared" si="37"/>
        <v>22.586018473045073</v>
      </c>
      <c r="BG42" s="211">
        <f t="shared" si="37"/>
        <v>22.586018473045073</v>
      </c>
      <c r="BH42" s="211">
        <f t="shared" si="37"/>
        <v>22.586018473045073</v>
      </c>
      <c r="BI42" s="211">
        <f t="shared" si="37"/>
        <v>22.586018473045073</v>
      </c>
      <c r="BJ42" s="211">
        <f t="shared" si="37"/>
        <v>22.586018473045073</v>
      </c>
      <c r="BK42" s="211">
        <f t="shared" si="37"/>
        <v>22.586018473045073</v>
      </c>
      <c r="BL42" s="211">
        <f t="shared" si="37"/>
        <v>22.586018473045073</v>
      </c>
      <c r="BM42" s="211">
        <f t="shared" si="37"/>
        <v>22.586018473045073</v>
      </c>
      <c r="BN42" s="211">
        <f t="shared" si="37"/>
        <v>-11.853102912045566</v>
      </c>
      <c r="BO42" s="211">
        <f t="shared" si="37"/>
        <v>-11.853102912045566</v>
      </c>
      <c r="BP42" s="211">
        <f t="shared" si="37"/>
        <v>-11.853102912045566</v>
      </c>
      <c r="BQ42" s="211">
        <f t="shared" si="37"/>
        <v>-11.853102912045566</v>
      </c>
      <c r="BR42" s="211">
        <f t="shared" ref="BR42:DA42" si="38">IF(BR$22&lt;=$E$24,IF(BR$22&lt;=$D$24,IF(BR$22&lt;=$C$24,IF(BR$22&lt;=$B$24,$B108,($C25-$B25)/($C$24-$B$24)),($D25-$C25)/($D$24-$C$24)),($E25-$D25)/($E$24-$D$24)),$F108)</f>
        <v>-11.853102912045566</v>
      </c>
      <c r="BS42" s="211">
        <f t="shared" si="38"/>
        <v>-11.853102912045566</v>
      </c>
      <c r="BT42" s="211">
        <f t="shared" si="38"/>
        <v>-11.853102912045566</v>
      </c>
      <c r="BU42" s="211">
        <f t="shared" si="38"/>
        <v>-11.853102912045566</v>
      </c>
      <c r="BV42" s="211">
        <f t="shared" si="38"/>
        <v>-11.853102912045566</v>
      </c>
      <c r="BW42" s="211">
        <f t="shared" si="38"/>
        <v>-11.853102912045566</v>
      </c>
      <c r="BX42" s="211">
        <f t="shared" si="38"/>
        <v>-11.853102912045566</v>
      </c>
      <c r="BY42" s="211">
        <f t="shared" si="38"/>
        <v>-11.853102912045566</v>
      </c>
      <c r="BZ42" s="211">
        <f t="shared" si="38"/>
        <v>-11.853102912045566</v>
      </c>
      <c r="CA42" s="211">
        <f t="shared" si="38"/>
        <v>-11.853102912045566</v>
      </c>
      <c r="CB42" s="211">
        <f t="shared" si="38"/>
        <v>-11.853102912045566</v>
      </c>
      <c r="CC42" s="211">
        <f t="shared" si="38"/>
        <v>-11.853102912045566</v>
      </c>
      <c r="CD42" s="211">
        <f t="shared" si="38"/>
        <v>-11.853102912045566</v>
      </c>
      <c r="CE42" s="211">
        <f t="shared" si="38"/>
        <v>-11.853102912045566</v>
      </c>
      <c r="CF42" s="211">
        <f t="shared" si="38"/>
        <v>-11.853102912045566</v>
      </c>
      <c r="CG42" s="211">
        <f t="shared" si="38"/>
        <v>-11.853102912045566</v>
      </c>
      <c r="CH42" s="211">
        <f t="shared" si="38"/>
        <v>-11.853102912045566</v>
      </c>
      <c r="CI42" s="211">
        <f t="shared" si="38"/>
        <v>-11.853102912045566</v>
      </c>
      <c r="CJ42" s="211">
        <f t="shared" si="38"/>
        <v>-11.853102912045566</v>
      </c>
      <c r="CK42" s="211">
        <f t="shared" si="38"/>
        <v>-11.853102912045566</v>
      </c>
      <c r="CL42" s="211">
        <f t="shared" si="38"/>
        <v>-11.853102912045566</v>
      </c>
      <c r="CM42" s="211">
        <f t="shared" si="38"/>
        <v>-11.853102912045566</v>
      </c>
      <c r="CN42" s="211">
        <f t="shared" si="38"/>
        <v>-11.853102912045566</v>
      </c>
      <c r="CO42" s="211">
        <f t="shared" si="38"/>
        <v>-11.853102912045566</v>
      </c>
      <c r="CP42" s="211">
        <f t="shared" si="38"/>
        <v>-11.853102912045566</v>
      </c>
      <c r="CQ42" s="211">
        <f t="shared" si="38"/>
        <v>-11.853102912045566</v>
      </c>
      <c r="CR42" s="211">
        <f t="shared" si="38"/>
        <v>-286.74178341944634</v>
      </c>
      <c r="CS42" s="211">
        <f t="shared" si="38"/>
        <v>-286.74178341944634</v>
      </c>
      <c r="CT42" s="211">
        <f t="shared" si="38"/>
        <v>-286.74178341944634</v>
      </c>
      <c r="CU42" s="211">
        <f t="shared" si="38"/>
        <v>-286.74178341944634</v>
      </c>
      <c r="CV42" s="211">
        <f t="shared" si="38"/>
        <v>-286.74178341944634</v>
      </c>
      <c r="CW42" s="211">
        <f t="shared" si="38"/>
        <v>-286.74178341944634</v>
      </c>
      <c r="CX42" s="211">
        <f t="shared" si="38"/>
        <v>-286.74178341944634</v>
      </c>
      <c r="CY42" s="211">
        <f t="shared" si="38"/>
        <v>-286.74178341944634</v>
      </c>
      <c r="CZ42" s="211">
        <f t="shared" si="38"/>
        <v>-286.74178341944634</v>
      </c>
      <c r="DA42" s="211">
        <f t="shared" si="38"/>
        <v>-286.74178341944634</v>
      </c>
    </row>
    <row r="43" spans="1:105">
      <c r="A43" s="202" t="str">
        <f>Income!A73</f>
        <v>Own crops sold</v>
      </c>
      <c r="F43" s="211">
        <f t="shared" ref="F43:AK43" si="39">IF(F$22&lt;=$E$24,IF(F$22&lt;=$D$24,IF(F$22&lt;=$C$24,IF(F$22&lt;=$B$24,$B109,($C26-$B26)/($C$24-$B$24)),($D26-$C26)/($D$24-$C$24)),($E26-$D26)/($E$24-$D$24)),$F109)</f>
        <v>340.26</v>
      </c>
      <c r="G43" s="211">
        <f t="shared" si="39"/>
        <v>340.26</v>
      </c>
      <c r="H43" s="211">
        <f t="shared" si="39"/>
        <v>340.26</v>
      </c>
      <c r="I43" s="211">
        <f t="shared" si="39"/>
        <v>340.26</v>
      </c>
      <c r="J43" s="211">
        <f t="shared" si="39"/>
        <v>340.26</v>
      </c>
      <c r="K43" s="211">
        <f t="shared" si="39"/>
        <v>340.26</v>
      </c>
      <c r="L43" s="211">
        <f>IF(L$22&lt;=$E$24,IF(L$22&lt;=$D$24,IF(L$22&lt;=$C$24,IF(L$22&lt;=$B$24,$B109,($C26-$B26)/($C$24-$B$24)),($D26-$C26)/($D$24-$C$24)),($E26-$D26)/($E$24-$D$24)),$F109)</f>
        <v>340.26</v>
      </c>
      <c r="M43" s="211">
        <f t="shared" si="39"/>
        <v>340.26</v>
      </c>
      <c r="N43" s="211">
        <f t="shared" si="39"/>
        <v>340.26</v>
      </c>
      <c r="O43" s="211">
        <f t="shared" si="39"/>
        <v>340.26</v>
      </c>
      <c r="P43" s="211">
        <f t="shared" si="39"/>
        <v>340.26</v>
      </c>
      <c r="Q43" s="211">
        <f t="shared" si="39"/>
        <v>340.26</v>
      </c>
      <c r="R43" s="211">
        <f t="shared" si="39"/>
        <v>340.26</v>
      </c>
      <c r="S43" s="211">
        <f t="shared" si="39"/>
        <v>340.26</v>
      </c>
      <c r="T43" s="211">
        <f t="shared" si="39"/>
        <v>340.26</v>
      </c>
      <c r="U43" s="211">
        <f t="shared" si="39"/>
        <v>340.26</v>
      </c>
      <c r="V43" s="211">
        <f t="shared" si="39"/>
        <v>340.26</v>
      </c>
      <c r="W43" s="211">
        <f t="shared" si="39"/>
        <v>340.26</v>
      </c>
      <c r="X43" s="211">
        <f t="shared" si="39"/>
        <v>340.26</v>
      </c>
      <c r="Y43" s="211">
        <f t="shared" si="39"/>
        <v>340.26</v>
      </c>
      <c r="Z43" s="211">
        <f t="shared" si="39"/>
        <v>340.26</v>
      </c>
      <c r="AA43" s="211">
        <f t="shared" si="39"/>
        <v>5.4293012123617865</v>
      </c>
      <c r="AB43" s="211">
        <f t="shared" si="39"/>
        <v>5.4293012123617865</v>
      </c>
      <c r="AC43" s="211">
        <f t="shared" si="39"/>
        <v>5.4293012123617865</v>
      </c>
      <c r="AD43" s="211">
        <f t="shared" si="39"/>
        <v>5.4293012123617865</v>
      </c>
      <c r="AE43" s="211">
        <f t="shared" si="39"/>
        <v>5.4293012123617865</v>
      </c>
      <c r="AF43" s="211">
        <f t="shared" si="39"/>
        <v>5.4293012123617865</v>
      </c>
      <c r="AG43" s="211">
        <f t="shared" si="39"/>
        <v>5.4293012123617865</v>
      </c>
      <c r="AH43" s="211">
        <f t="shared" si="39"/>
        <v>5.4293012123617865</v>
      </c>
      <c r="AI43" s="211">
        <f t="shared" si="39"/>
        <v>5.4293012123617865</v>
      </c>
      <c r="AJ43" s="211">
        <f t="shared" si="39"/>
        <v>5.4293012123617865</v>
      </c>
      <c r="AK43" s="211">
        <f t="shared" si="39"/>
        <v>5.4293012123617865</v>
      </c>
      <c r="AL43" s="211">
        <f t="shared" ref="AL43:BQ43" si="40">IF(AL$22&lt;=$E$24,IF(AL$22&lt;=$D$24,IF(AL$22&lt;=$C$24,IF(AL$22&lt;=$B$24,$B109,($C26-$B26)/($C$24-$B$24)),($D26-$C26)/($D$24-$C$24)),($E26-$D26)/($E$24-$D$24)),$F109)</f>
        <v>5.4293012123617865</v>
      </c>
      <c r="AM43" s="211">
        <f t="shared" si="40"/>
        <v>5.4293012123617865</v>
      </c>
      <c r="AN43" s="211">
        <f t="shared" si="40"/>
        <v>5.4293012123617865</v>
      </c>
      <c r="AO43" s="211">
        <f t="shared" si="40"/>
        <v>5.4293012123617865</v>
      </c>
      <c r="AP43" s="211">
        <f t="shared" si="40"/>
        <v>5.4293012123617865</v>
      </c>
      <c r="AQ43" s="211">
        <f t="shared" si="40"/>
        <v>5.4293012123617865</v>
      </c>
      <c r="AR43" s="211">
        <f t="shared" si="40"/>
        <v>5.4293012123617865</v>
      </c>
      <c r="AS43" s="211">
        <f t="shared" si="40"/>
        <v>5.4293012123617865</v>
      </c>
      <c r="AT43" s="211">
        <f t="shared" si="40"/>
        <v>5.4293012123617865</v>
      </c>
      <c r="AU43" s="211">
        <f t="shared" si="40"/>
        <v>5.4293012123617865</v>
      </c>
      <c r="AV43" s="211">
        <f t="shared" si="40"/>
        <v>5.4293012123617865</v>
      </c>
      <c r="AW43" s="211">
        <f t="shared" si="40"/>
        <v>5.4293012123617865</v>
      </c>
      <c r="AX43" s="211">
        <f t="shared" si="40"/>
        <v>5.4293012123617865</v>
      </c>
      <c r="AY43" s="211">
        <f t="shared" si="40"/>
        <v>5.4293012123617865</v>
      </c>
      <c r="AZ43" s="211">
        <f t="shared" si="40"/>
        <v>5.4293012123617865</v>
      </c>
      <c r="BA43" s="211">
        <f t="shared" si="40"/>
        <v>5.4293012123617865</v>
      </c>
      <c r="BB43" s="211">
        <f t="shared" si="40"/>
        <v>5.4293012123617865</v>
      </c>
      <c r="BC43" s="211">
        <f t="shared" si="40"/>
        <v>5.4293012123617865</v>
      </c>
      <c r="BD43" s="211">
        <f t="shared" si="40"/>
        <v>5.4293012123617865</v>
      </c>
      <c r="BE43" s="211">
        <f t="shared" si="40"/>
        <v>5.4293012123617865</v>
      </c>
      <c r="BF43" s="211">
        <f t="shared" si="40"/>
        <v>5.4293012123617865</v>
      </c>
      <c r="BG43" s="211">
        <f t="shared" si="40"/>
        <v>5.4293012123617865</v>
      </c>
      <c r="BH43" s="211">
        <f t="shared" si="40"/>
        <v>5.4293012123617865</v>
      </c>
      <c r="BI43" s="211">
        <f t="shared" si="40"/>
        <v>5.4293012123617865</v>
      </c>
      <c r="BJ43" s="211">
        <f t="shared" si="40"/>
        <v>5.4293012123617865</v>
      </c>
      <c r="BK43" s="211">
        <f t="shared" si="40"/>
        <v>5.4293012123617865</v>
      </c>
      <c r="BL43" s="211">
        <f t="shared" si="40"/>
        <v>5.4293012123617865</v>
      </c>
      <c r="BM43" s="211">
        <f t="shared" si="40"/>
        <v>5.4293012123617865</v>
      </c>
      <c r="BN43" s="211">
        <f t="shared" si="40"/>
        <v>-0.5634348712992856</v>
      </c>
      <c r="BO43" s="211">
        <f t="shared" si="40"/>
        <v>-0.5634348712992856</v>
      </c>
      <c r="BP43" s="211">
        <f t="shared" si="40"/>
        <v>-0.5634348712992856</v>
      </c>
      <c r="BQ43" s="211">
        <f t="shared" si="40"/>
        <v>-0.5634348712992856</v>
      </c>
      <c r="BR43" s="211">
        <f t="shared" ref="BR43:DA43" si="41">IF(BR$22&lt;=$E$24,IF(BR$22&lt;=$D$24,IF(BR$22&lt;=$C$24,IF(BR$22&lt;=$B$24,$B109,($C26-$B26)/($C$24-$B$24)),($D26-$C26)/($D$24-$C$24)),($E26-$D26)/($E$24-$D$24)),$F109)</f>
        <v>-0.5634348712992856</v>
      </c>
      <c r="BS43" s="211">
        <f t="shared" si="41"/>
        <v>-0.5634348712992856</v>
      </c>
      <c r="BT43" s="211">
        <f t="shared" si="41"/>
        <v>-0.5634348712992856</v>
      </c>
      <c r="BU43" s="211">
        <f t="shared" si="41"/>
        <v>-0.5634348712992856</v>
      </c>
      <c r="BV43" s="211">
        <f t="shared" si="41"/>
        <v>-0.5634348712992856</v>
      </c>
      <c r="BW43" s="211">
        <f t="shared" si="41"/>
        <v>-0.5634348712992856</v>
      </c>
      <c r="BX43" s="211">
        <f t="shared" si="41"/>
        <v>-0.5634348712992856</v>
      </c>
      <c r="BY43" s="211">
        <f t="shared" si="41"/>
        <v>-0.5634348712992856</v>
      </c>
      <c r="BZ43" s="211">
        <f t="shared" si="41"/>
        <v>-0.5634348712992856</v>
      </c>
      <c r="CA43" s="211">
        <f t="shared" si="41"/>
        <v>-0.5634348712992856</v>
      </c>
      <c r="CB43" s="211">
        <f t="shared" si="41"/>
        <v>-0.5634348712992856</v>
      </c>
      <c r="CC43" s="211">
        <f t="shared" si="41"/>
        <v>-0.5634348712992856</v>
      </c>
      <c r="CD43" s="211">
        <f t="shared" si="41"/>
        <v>-0.5634348712992856</v>
      </c>
      <c r="CE43" s="211">
        <f t="shared" si="41"/>
        <v>-0.5634348712992856</v>
      </c>
      <c r="CF43" s="211">
        <f t="shared" si="41"/>
        <v>-0.5634348712992856</v>
      </c>
      <c r="CG43" s="211">
        <f t="shared" si="41"/>
        <v>-0.5634348712992856</v>
      </c>
      <c r="CH43" s="211">
        <f t="shared" si="41"/>
        <v>-0.5634348712992856</v>
      </c>
      <c r="CI43" s="211">
        <f t="shared" si="41"/>
        <v>-0.5634348712992856</v>
      </c>
      <c r="CJ43" s="211">
        <f t="shared" si="41"/>
        <v>-0.5634348712992856</v>
      </c>
      <c r="CK43" s="211">
        <f t="shared" si="41"/>
        <v>-0.5634348712992856</v>
      </c>
      <c r="CL43" s="211">
        <f t="shared" si="41"/>
        <v>-0.5634348712992856</v>
      </c>
      <c r="CM43" s="211">
        <f t="shared" si="41"/>
        <v>-0.5634348712992856</v>
      </c>
      <c r="CN43" s="211">
        <f t="shared" si="41"/>
        <v>-0.5634348712992856</v>
      </c>
      <c r="CO43" s="211">
        <f t="shared" si="41"/>
        <v>-0.5634348712992856</v>
      </c>
      <c r="CP43" s="211">
        <f t="shared" si="41"/>
        <v>-0.5634348712992856</v>
      </c>
      <c r="CQ43" s="211">
        <f t="shared" si="41"/>
        <v>-0.5634348712992856</v>
      </c>
      <c r="CR43" s="211">
        <f t="shared" si="41"/>
        <v>-20.927580933973463</v>
      </c>
      <c r="CS43" s="211">
        <f t="shared" si="41"/>
        <v>-20.927580933973463</v>
      </c>
      <c r="CT43" s="211">
        <f t="shared" si="41"/>
        <v>-20.927580933973463</v>
      </c>
      <c r="CU43" s="211">
        <f t="shared" si="41"/>
        <v>-20.927580933973463</v>
      </c>
      <c r="CV43" s="211">
        <f t="shared" si="41"/>
        <v>-20.927580933973463</v>
      </c>
      <c r="CW43" s="211">
        <f t="shared" si="41"/>
        <v>-20.927580933973463</v>
      </c>
      <c r="CX43" s="211">
        <f t="shared" si="41"/>
        <v>-20.927580933973463</v>
      </c>
      <c r="CY43" s="211">
        <f t="shared" si="41"/>
        <v>-20.927580933973463</v>
      </c>
      <c r="CZ43" s="211">
        <f t="shared" si="41"/>
        <v>-20.927580933973463</v>
      </c>
      <c r="DA43" s="211">
        <f t="shared" si="41"/>
        <v>-20.927580933973463</v>
      </c>
    </row>
    <row r="44" spans="1:105">
      <c r="A44" s="202" t="str">
        <f>Income!A74</f>
        <v>Animal products consumed</v>
      </c>
      <c r="F44" s="211">
        <f t="shared" ref="F44:AK44" si="42">IF(F$22&lt;=$E$24,IF(F$22&lt;=$D$24,IF(F$22&lt;=$C$24,IF(F$22&lt;=$B$24,$B110,($C27-$B27)/($C$24-$B$24)),($D27-$C27)/($D$24-$C$24)),($E27-$D27)/($E$24-$D$24)),$F110)</f>
        <v>0</v>
      </c>
      <c r="G44" s="211">
        <f t="shared" si="42"/>
        <v>0</v>
      </c>
      <c r="H44" s="211">
        <f t="shared" si="42"/>
        <v>0</v>
      </c>
      <c r="I44" s="211">
        <f t="shared" si="42"/>
        <v>0</v>
      </c>
      <c r="J44" s="211">
        <f t="shared" si="42"/>
        <v>0</v>
      </c>
      <c r="K44" s="211">
        <f t="shared" si="42"/>
        <v>0</v>
      </c>
      <c r="L44" s="211">
        <f t="shared" si="42"/>
        <v>0</v>
      </c>
      <c r="M44" s="211">
        <f t="shared" si="42"/>
        <v>0</v>
      </c>
      <c r="N44" s="211">
        <f t="shared" si="42"/>
        <v>0</v>
      </c>
      <c r="O44" s="211">
        <f t="shared" si="42"/>
        <v>0</v>
      </c>
      <c r="P44" s="211">
        <f t="shared" si="42"/>
        <v>0</v>
      </c>
      <c r="Q44" s="211">
        <f t="shared" si="42"/>
        <v>0</v>
      </c>
      <c r="R44" s="211">
        <f t="shared" si="42"/>
        <v>0</v>
      </c>
      <c r="S44" s="211">
        <f t="shared" si="42"/>
        <v>0</v>
      </c>
      <c r="T44" s="211">
        <f t="shared" si="42"/>
        <v>0</v>
      </c>
      <c r="U44" s="211">
        <f t="shared" si="42"/>
        <v>0</v>
      </c>
      <c r="V44" s="211">
        <f t="shared" si="42"/>
        <v>0</v>
      </c>
      <c r="W44" s="211">
        <f t="shared" si="42"/>
        <v>0</v>
      </c>
      <c r="X44" s="211">
        <f t="shared" si="42"/>
        <v>0</v>
      </c>
      <c r="Y44" s="211">
        <f t="shared" si="42"/>
        <v>0</v>
      </c>
      <c r="Z44" s="211">
        <f t="shared" si="42"/>
        <v>0</v>
      </c>
      <c r="AA44" s="211">
        <f t="shared" si="42"/>
        <v>23.221920652303574</v>
      </c>
      <c r="AB44" s="211">
        <f t="shared" si="42"/>
        <v>23.221920652303574</v>
      </c>
      <c r="AC44" s="211">
        <f t="shared" si="42"/>
        <v>23.221920652303574</v>
      </c>
      <c r="AD44" s="211">
        <f t="shared" si="42"/>
        <v>23.221920652303574</v>
      </c>
      <c r="AE44" s="211">
        <f t="shared" si="42"/>
        <v>23.221920652303574</v>
      </c>
      <c r="AF44" s="211">
        <f t="shared" si="42"/>
        <v>23.221920652303574</v>
      </c>
      <c r="AG44" s="211">
        <f t="shared" si="42"/>
        <v>23.221920652303574</v>
      </c>
      <c r="AH44" s="211">
        <f t="shared" si="42"/>
        <v>23.221920652303574</v>
      </c>
      <c r="AI44" s="211">
        <f t="shared" si="42"/>
        <v>23.221920652303574</v>
      </c>
      <c r="AJ44" s="211">
        <f t="shared" si="42"/>
        <v>23.221920652303574</v>
      </c>
      <c r="AK44" s="211">
        <f t="shared" si="42"/>
        <v>23.221920652303574</v>
      </c>
      <c r="AL44" s="211">
        <f t="shared" ref="AL44:BQ44" si="43">IF(AL$22&lt;=$E$24,IF(AL$22&lt;=$D$24,IF(AL$22&lt;=$C$24,IF(AL$22&lt;=$B$24,$B110,($C27-$B27)/($C$24-$B$24)),($D27-$C27)/($D$24-$C$24)),($E27-$D27)/($E$24-$D$24)),$F110)</f>
        <v>23.221920652303574</v>
      </c>
      <c r="AM44" s="211">
        <f t="shared" si="43"/>
        <v>23.221920652303574</v>
      </c>
      <c r="AN44" s="211">
        <f t="shared" si="43"/>
        <v>23.221920652303574</v>
      </c>
      <c r="AO44" s="211">
        <f t="shared" si="43"/>
        <v>23.221920652303574</v>
      </c>
      <c r="AP44" s="211">
        <f t="shared" si="43"/>
        <v>23.221920652303574</v>
      </c>
      <c r="AQ44" s="211">
        <f t="shared" si="43"/>
        <v>23.221920652303574</v>
      </c>
      <c r="AR44" s="211">
        <f t="shared" si="43"/>
        <v>23.221920652303574</v>
      </c>
      <c r="AS44" s="211">
        <f t="shared" si="43"/>
        <v>23.221920652303574</v>
      </c>
      <c r="AT44" s="211">
        <f t="shared" si="43"/>
        <v>23.221920652303574</v>
      </c>
      <c r="AU44" s="211">
        <f t="shared" si="43"/>
        <v>23.221920652303574</v>
      </c>
      <c r="AV44" s="211">
        <f t="shared" si="43"/>
        <v>23.221920652303574</v>
      </c>
      <c r="AW44" s="211">
        <f t="shared" si="43"/>
        <v>23.221920652303574</v>
      </c>
      <c r="AX44" s="211">
        <f t="shared" si="43"/>
        <v>23.221920652303574</v>
      </c>
      <c r="AY44" s="211">
        <f t="shared" si="43"/>
        <v>23.221920652303574</v>
      </c>
      <c r="AZ44" s="211">
        <f t="shared" si="43"/>
        <v>23.221920652303574</v>
      </c>
      <c r="BA44" s="211">
        <f t="shared" si="43"/>
        <v>23.221920652303574</v>
      </c>
      <c r="BB44" s="211">
        <f t="shared" si="43"/>
        <v>23.221920652303574</v>
      </c>
      <c r="BC44" s="211">
        <f t="shared" si="43"/>
        <v>23.221920652303574</v>
      </c>
      <c r="BD44" s="211">
        <f t="shared" si="43"/>
        <v>23.221920652303574</v>
      </c>
      <c r="BE44" s="211">
        <f t="shared" si="43"/>
        <v>23.221920652303574</v>
      </c>
      <c r="BF44" s="211">
        <f t="shared" si="43"/>
        <v>23.221920652303574</v>
      </c>
      <c r="BG44" s="211">
        <f t="shared" si="43"/>
        <v>23.221920652303574</v>
      </c>
      <c r="BH44" s="211">
        <f t="shared" si="43"/>
        <v>23.221920652303574</v>
      </c>
      <c r="BI44" s="211">
        <f t="shared" si="43"/>
        <v>23.221920652303574</v>
      </c>
      <c r="BJ44" s="211">
        <f t="shared" si="43"/>
        <v>23.221920652303574</v>
      </c>
      <c r="BK44" s="211">
        <f t="shared" si="43"/>
        <v>23.221920652303574</v>
      </c>
      <c r="BL44" s="211">
        <f t="shared" si="43"/>
        <v>23.221920652303574</v>
      </c>
      <c r="BM44" s="211">
        <f t="shared" si="43"/>
        <v>23.221920652303574</v>
      </c>
      <c r="BN44" s="211">
        <f t="shared" si="43"/>
        <v>22.768329124349808</v>
      </c>
      <c r="BO44" s="211">
        <f t="shared" si="43"/>
        <v>22.768329124349808</v>
      </c>
      <c r="BP44" s="211">
        <f t="shared" si="43"/>
        <v>22.768329124349808</v>
      </c>
      <c r="BQ44" s="211">
        <f t="shared" si="43"/>
        <v>22.768329124349808</v>
      </c>
      <c r="BR44" s="211">
        <f t="shared" ref="BR44:DA44" si="44">IF(BR$22&lt;=$E$24,IF(BR$22&lt;=$D$24,IF(BR$22&lt;=$C$24,IF(BR$22&lt;=$B$24,$B110,($C27-$B27)/($C$24-$B$24)),($D27-$C27)/($D$24-$C$24)),($E27-$D27)/($E$24-$D$24)),$F110)</f>
        <v>22.768329124349808</v>
      </c>
      <c r="BS44" s="211">
        <f t="shared" si="44"/>
        <v>22.768329124349808</v>
      </c>
      <c r="BT44" s="211">
        <f t="shared" si="44"/>
        <v>22.768329124349808</v>
      </c>
      <c r="BU44" s="211">
        <f t="shared" si="44"/>
        <v>22.768329124349808</v>
      </c>
      <c r="BV44" s="211">
        <f t="shared" si="44"/>
        <v>22.768329124349808</v>
      </c>
      <c r="BW44" s="211">
        <f t="shared" si="44"/>
        <v>22.768329124349808</v>
      </c>
      <c r="BX44" s="211">
        <f t="shared" si="44"/>
        <v>22.768329124349808</v>
      </c>
      <c r="BY44" s="211">
        <f t="shared" si="44"/>
        <v>22.768329124349808</v>
      </c>
      <c r="BZ44" s="211">
        <f t="shared" si="44"/>
        <v>22.768329124349808</v>
      </c>
      <c r="CA44" s="211">
        <f t="shared" si="44"/>
        <v>22.768329124349808</v>
      </c>
      <c r="CB44" s="211">
        <f t="shared" si="44"/>
        <v>22.768329124349808</v>
      </c>
      <c r="CC44" s="211">
        <f t="shared" si="44"/>
        <v>22.768329124349808</v>
      </c>
      <c r="CD44" s="211">
        <f t="shared" si="44"/>
        <v>22.768329124349808</v>
      </c>
      <c r="CE44" s="211">
        <f t="shared" si="44"/>
        <v>22.768329124349808</v>
      </c>
      <c r="CF44" s="211">
        <f t="shared" si="44"/>
        <v>22.768329124349808</v>
      </c>
      <c r="CG44" s="211">
        <f t="shared" si="44"/>
        <v>22.768329124349808</v>
      </c>
      <c r="CH44" s="211">
        <f t="shared" si="44"/>
        <v>22.768329124349808</v>
      </c>
      <c r="CI44" s="211">
        <f t="shared" si="44"/>
        <v>22.768329124349808</v>
      </c>
      <c r="CJ44" s="211">
        <f t="shared" si="44"/>
        <v>22.768329124349808</v>
      </c>
      <c r="CK44" s="211">
        <f t="shared" si="44"/>
        <v>22.768329124349808</v>
      </c>
      <c r="CL44" s="211">
        <f t="shared" si="44"/>
        <v>22.768329124349808</v>
      </c>
      <c r="CM44" s="211">
        <f t="shared" si="44"/>
        <v>22.768329124349808</v>
      </c>
      <c r="CN44" s="211">
        <f t="shared" si="44"/>
        <v>22.768329124349808</v>
      </c>
      <c r="CO44" s="211">
        <f t="shared" si="44"/>
        <v>22.768329124349808</v>
      </c>
      <c r="CP44" s="211">
        <f t="shared" si="44"/>
        <v>22.768329124349808</v>
      </c>
      <c r="CQ44" s="211">
        <f t="shared" si="44"/>
        <v>22.768329124349808</v>
      </c>
      <c r="CR44" s="211">
        <f t="shared" si="44"/>
        <v>-227.56753431244513</v>
      </c>
      <c r="CS44" s="211">
        <f t="shared" si="44"/>
        <v>-227.56753431244513</v>
      </c>
      <c r="CT44" s="211">
        <f t="shared" si="44"/>
        <v>-227.56753431244513</v>
      </c>
      <c r="CU44" s="211">
        <f t="shared" si="44"/>
        <v>-227.56753431244513</v>
      </c>
      <c r="CV44" s="211">
        <f t="shared" si="44"/>
        <v>-227.56753431244513</v>
      </c>
      <c r="CW44" s="211">
        <f t="shared" si="44"/>
        <v>-227.56753431244513</v>
      </c>
      <c r="CX44" s="211">
        <f t="shared" si="44"/>
        <v>-227.56753431244513</v>
      </c>
      <c r="CY44" s="211">
        <f t="shared" si="44"/>
        <v>-227.56753431244513</v>
      </c>
      <c r="CZ44" s="211">
        <f t="shared" si="44"/>
        <v>-227.56753431244513</v>
      </c>
      <c r="DA44" s="211">
        <f t="shared" si="44"/>
        <v>-227.56753431244513</v>
      </c>
    </row>
    <row r="45" spans="1:105">
      <c r="A45" s="202" t="str">
        <f>Income!A75</f>
        <v>Animal products sold</v>
      </c>
      <c r="F45" s="211">
        <f t="shared" ref="F45:AK45" si="45">IF(F$22&lt;=$E$24,IF(F$22&lt;=$D$24,IF(F$22&lt;=$C$24,IF(F$22&lt;=$B$24,$B111,($C28-$B28)/($C$24-$B$24)),($D28-$C28)/($D$24-$C$24)),($E28-$D28)/($E$24-$D$24)),$F111)</f>
        <v>0</v>
      </c>
      <c r="G45" s="211">
        <f t="shared" si="45"/>
        <v>0</v>
      </c>
      <c r="H45" s="211">
        <f t="shared" si="45"/>
        <v>0</v>
      </c>
      <c r="I45" s="211">
        <f t="shared" si="45"/>
        <v>0</v>
      </c>
      <c r="J45" s="211">
        <f t="shared" si="45"/>
        <v>0</v>
      </c>
      <c r="K45" s="211">
        <f t="shared" si="45"/>
        <v>0</v>
      </c>
      <c r="L45" s="211">
        <f t="shared" si="45"/>
        <v>0</v>
      </c>
      <c r="M45" s="211">
        <f t="shared" si="45"/>
        <v>0</v>
      </c>
      <c r="N45" s="211">
        <f t="shared" si="45"/>
        <v>0</v>
      </c>
      <c r="O45" s="211">
        <f t="shared" si="45"/>
        <v>0</v>
      </c>
      <c r="P45" s="211">
        <f t="shared" si="45"/>
        <v>0</v>
      </c>
      <c r="Q45" s="211">
        <f t="shared" si="45"/>
        <v>0</v>
      </c>
      <c r="R45" s="211">
        <f t="shared" si="45"/>
        <v>0</v>
      </c>
      <c r="S45" s="211">
        <f t="shared" si="45"/>
        <v>0</v>
      </c>
      <c r="T45" s="211">
        <f t="shared" si="45"/>
        <v>0</v>
      </c>
      <c r="U45" s="211">
        <f t="shared" si="45"/>
        <v>0</v>
      </c>
      <c r="V45" s="211">
        <f t="shared" si="45"/>
        <v>0</v>
      </c>
      <c r="W45" s="211">
        <f t="shared" si="45"/>
        <v>0</v>
      </c>
      <c r="X45" s="211">
        <f t="shared" si="45"/>
        <v>0</v>
      </c>
      <c r="Y45" s="211">
        <f t="shared" si="45"/>
        <v>0</v>
      </c>
      <c r="Z45" s="211">
        <f t="shared" si="45"/>
        <v>0</v>
      </c>
      <c r="AA45" s="211">
        <f t="shared" si="45"/>
        <v>0</v>
      </c>
      <c r="AB45" s="211">
        <f t="shared" si="45"/>
        <v>0</v>
      </c>
      <c r="AC45" s="211">
        <f t="shared" si="45"/>
        <v>0</v>
      </c>
      <c r="AD45" s="211">
        <f t="shared" si="45"/>
        <v>0</v>
      </c>
      <c r="AE45" s="211">
        <f t="shared" si="45"/>
        <v>0</v>
      </c>
      <c r="AF45" s="211">
        <f t="shared" si="45"/>
        <v>0</v>
      </c>
      <c r="AG45" s="211">
        <f t="shared" si="45"/>
        <v>0</v>
      </c>
      <c r="AH45" s="211">
        <f t="shared" si="45"/>
        <v>0</v>
      </c>
      <c r="AI45" s="211">
        <f t="shared" si="45"/>
        <v>0</v>
      </c>
      <c r="AJ45" s="211">
        <f t="shared" si="45"/>
        <v>0</v>
      </c>
      <c r="AK45" s="211">
        <f t="shared" si="45"/>
        <v>0</v>
      </c>
      <c r="AL45" s="211">
        <f t="shared" ref="AL45:BQ45" si="46">IF(AL$22&lt;=$E$24,IF(AL$22&lt;=$D$24,IF(AL$22&lt;=$C$24,IF(AL$22&lt;=$B$24,$B111,($C28-$B28)/($C$24-$B$24)),($D28-$C28)/($D$24-$C$24)),($E28-$D28)/($E$24-$D$24)),$F111)</f>
        <v>0</v>
      </c>
      <c r="AM45" s="211">
        <f t="shared" si="46"/>
        <v>0</v>
      </c>
      <c r="AN45" s="211">
        <f t="shared" si="46"/>
        <v>0</v>
      </c>
      <c r="AO45" s="211">
        <f t="shared" si="46"/>
        <v>0</v>
      </c>
      <c r="AP45" s="211">
        <f t="shared" si="46"/>
        <v>0</v>
      </c>
      <c r="AQ45" s="211">
        <f t="shared" si="46"/>
        <v>0</v>
      </c>
      <c r="AR45" s="211">
        <f t="shared" si="46"/>
        <v>0</v>
      </c>
      <c r="AS45" s="211">
        <f t="shared" si="46"/>
        <v>0</v>
      </c>
      <c r="AT45" s="211">
        <f t="shared" si="46"/>
        <v>0</v>
      </c>
      <c r="AU45" s="211">
        <f t="shared" si="46"/>
        <v>0</v>
      </c>
      <c r="AV45" s="211">
        <f t="shared" si="46"/>
        <v>0</v>
      </c>
      <c r="AW45" s="211">
        <f t="shared" si="46"/>
        <v>0</v>
      </c>
      <c r="AX45" s="211">
        <f t="shared" si="46"/>
        <v>0</v>
      </c>
      <c r="AY45" s="211">
        <f t="shared" si="46"/>
        <v>0</v>
      </c>
      <c r="AZ45" s="211">
        <f t="shared" si="46"/>
        <v>0</v>
      </c>
      <c r="BA45" s="211">
        <f t="shared" si="46"/>
        <v>0</v>
      </c>
      <c r="BB45" s="211">
        <f t="shared" si="46"/>
        <v>0</v>
      </c>
      <c r="BC45" s="211">
        <f t="shared" si="46"/>
        <v>0</v>
      </c>
      <c r="BD45" s="211">
        <f t="shared" si="46"/>
        <v>0</v>
      </c>
      <c r="BE45" s="211">
        <f t="shared" si="46"/>
        <v>0</v>
      </c>
      <c r="BF45" s="211">
        <f t="shared" si="46"/>
        <v>0</v>
      </c>
      <c r="BG45" s="211">
        <f t="shared" si="46"/>
        <v>0</v>
      </c>
      <c r="BH45" s="211">
        <f t="shared" si="46"/>
        <v>0</v>
      </c>
      <c r="BI45" s="211">
        <f t="shared" si="46"/>
        <v>0</v>
      </c>
      <c r="BJ45" s="211">
        <f t="shared" si="46"/>
        <v>0</v>
      </c>
      <c r="BK45" s="211">
        <f t="shared" si="46"/>
        <v>0</v>
      </c>
      <c r="BL45" s="211">
        <f t="shared" si="46"/>
        <v>0</v>
      </c>
      <c r="BM45" s="211">
        <f t="shared" si="46"/>
        <v>0</v>
      </c>
      <c r="BN45" s="211">
        <f t="shared" si="46"/>
        <v>0</v>
      </c>
      <c r="BO45" s="211">
        <f t="shared" si="46"/>
        <v>0</v>
      </c>
      <c r="BP45" s="211">
        <f t="shared" si="46"/>
        <v>0</v>
      </c>
      <c r="BQ45" s="211">
        <f t="shared" si="46"/>
        <v>0</v>
      </c>
      <c r="BR45" s="211">
        <f t="shared" ref="BR45:DA45" si="47">IF(BR$22&lt;=$E$24,IF(BR$22&lt;=$D$24,IF(BR$22&lt;=$C$24,IF(BR$22&lt;=$B$24,$B111,($C28-$B28)/($C$24-$B$24)),($D28-$C28)/($D$24-$C$24)),($E28-$D28)/($E$24-$D$24)),$F111)</f>
        <v>0</v>
      </c>
      <c r="BS45" s="211">
        <f t="shared" si="47"/>
        <v>0</v>
      </c>
      <c r="BT45" s="211">
        <f t="shared" si="47"/>
        <v>0</v>
      </c>
      <c r="BU45" s="211">
        <f t="shared" si="47"/>
        <v>0</v>
      </c>
      <c r="BV45" s="211">
        <f t="shared" si="47"/>
        <v>0</v>
      </c>
      <c r="BW45" s="211">
        <f t="shared" si="47"/>
        <v>0</v>
      </c>
      <c r="BX45" s="211">
        <f t="shared" si="47"/>
        <v>0</v>
      </c>
      <c r="BY45" s="211">
        <f t="shared" si="47"/>
        <v>0</v>
      </c>
      <c r="BZ45" s="211">
        <f t="shared" si="47"/>
        <v>0</v>
      </c>
      <c r="CA45" s="211">
        <f t="shared" si="47"/>
        <v>0</v>
      </c>
      <c r="CB45" s="211">
        <f t="shared" si="47"/>
        <v>0</v>
      </c>
      <c r="CC45" s="211">
        <f t="shared" si="47"/>
        <v>0</v>
      </c>
      <c r="CD45" s="211">
        <f t="shared" si="47"/>
        <v>0</v>
      </c>
      <c r="CE45" s="211">
        <f t="shared" si="47"/>
        <v>0</v>
      </c>
      <c r="CF45" s="211">
        <f t="shared" si="47"/>
        <v>0</v>
      </c>
      <c r="CG45" s="211">
        <f t="shared" si="47"/>
        <v>0</v>
      </c>
      <c r="CH45" s="211">
        <f t="shared" si="47"/>
        <v>0</v>
      </c>
      <c r="CI45" s="211">
        <f t="shared" si="47"/>
        <v>0</v>
      </c>
      <c r="CJ45" s="211">
        <f t="shared" si="47"/>
        <v>0</v>
      </c>
      <c r="CK45" s="211">
        <f t="shared" si="47"/>
        <v>0</v>
      </c>
      <c r="CL45" s="211">
        <f t="shared" si="47"/>
        <v>0</v>
      </c>
      <c r="CM45" s="211">
        <f t="shared" si="47"/>
        <v>0</v>
      </c>
      <c r="CN45" s="211">
        <f t="shared" si="47"/>
        <v>0</v>
      </c>
      <c r="CO45" s="211">
        <f t="shared" si="47"/>
        <v>0</v>
      </c>
      <c r="CP45" s="211">
        <f t="shared" si="47"/>
        <v>0</v>
      </c>
      <c r="CQ45" s="211">
        <f t="shared" si="47"/>
        <v>0</v>
      </c>
      <c r="CR45" s="211">
        <f t="shared" si="47"/>
        <v>0</v>
      </c>
      <c r="CS45" s="211">
        <f t="shared" si="47"/>
        <v>0</v>
      </c>
      <c r="CT45" s="211">
        <f t="shared" si="47"/>
        <v>0</v>
      </c>
      <c r="CU45" s="211">
        <f t="shared" si="47"/>
        <v>0</v>
      </c>
      <c r="CV45" s="211">
        <f t="shared" si="47"/>
        <v>0</v>
      </c>
      <c r="CW45" s="211">
        <f t="shared" si="47"/>
        <v>0</v>
      </c>
      <c r="CX45" s="211">
        <f t="shared" si="47"/>
        <v>0</v>
      </c>
      <c r="CY45" s="211">
        <f t="shared" si="47"/>
        <v>0</v>
      </c>
      <c r="CZ45" s="211">
        <f t="shared" si="47"/>
        <v>0</v>
      </c>
      <c r="DA45" s="211">
        <f t="shared" si="47"/>
        <v>0</v>
      </c>
    </row>
    <row r="46" spans="1:105">
      <c r="A46" s="202" t="str">
        <f>Income!A76</f>
        <v>Animals sold</v>
      </c>
      <c r="F46" s="211">
        <f t="shared" ref="F46:AK46" si="48">IF(F$22&lt;=$E$24,IF(F$22&lt;=$D$24,IF(F$22&lt;=$C$24,IF(F$22&lt;=$B$24,$B112,($C29-$B29)/($C$24-$B$24)),($D29-$C29)/($D$24-$C$24)),($E29-$D29)/($E$24-$D$24)),$F112)</f>
        <v>0</v>
      </c>
      <c r="G46" s="211">
        <f t="shared" si="48"/>
        <v>0</v>
      </c>
      <c r="H46" s="211">
        <f t="shared" si="48"/>
        <v>0</v>
      </c>
      <c r="I46" s="211">
        <f t="shared" si="48"/>
        <v>0</v>
      </c>
      <c r="J46" s="211">
        <f t="shared" si="48"/>
        <v>0</v>
      </c>
      <c r="K46" s="211">
        <f t="shared" si="48"/>
        <v>0</v>
      </c>
      <c r="L46" s="211">
        <f t="shared" si="48"/>
        <v>0</v>
      </c>
      <c r="M46" s="211">
        <f t="shared" si="48"/>
        <v>0</v>
      </c>
      <c r="N46" s="211">
        <f t="shared" si="48"/>
        <v>0</v>
      </c>
      <c r="O46" s="211">
        <f t="shared" si="48"/>
        <v>0</v>
      </c>
      <c r="P46" s="211">
        <f t="shared" si="48"/>
        <v>0</v>
      </c>
      <c r="Q46" s="211">
        <f t="shared" si="48"/>
        <v>0</v>
      </c>
      <c r="R46" s="211">
        <f t="shared" si="48"/>
        <v>0</v>
      </c>
      <c r="S46" s="211">
        <f t="shared" si="48"/>
        <v>0</v>
      </c>
      <c r="T46" s="211">
        <f t="shared" si="48"/>
        <v>0</v>
      </c>
      <c r="U46" s="211">
        <f t="shared" si="48"/>
        <v>0</v>
      </c>
      <c r="V46" s="211">
        <f t="shared" si="48"/>
        <v>0</v>
      </c>
      <c r="W46" s="211">
        <f t="shared" si="48"/>
        <v>0</v>
      </c>
      <c r="X46" s="211">
        <f t="shared" si="48"/>
        <v>0</v>
      </c>
      <c r="Y46" s="211">
        <f t="shared" si="48"/>
        <v>0</v>
      </c>
      <c r="Z46" s="211">
        <f t="shared" si="48"/>
        <v>0</v>
      </c>
      <c r="AA46" s="211">
        <f t="shared" si="48"/>
        <v>134.79644389312017</v>
      </c>
      <c r="AB46" s="211">
        <f t="shared" si="48"/>
        <v>134.79644389312017</v>
      </c>
      <c r="AC46" s="211">
        <f t="shared" si="48"/>
        <v>134.79644389312017</v>
      </c>
      <c r="AD46" s="211">
        <f t="shared" si="48"/>
        <v>134.79644389312017</v>
      </c>
      <c r="AE46" s="211">
        <f t="shared" si="48"/>
        <v>134.79644389312017</v>
      </c>
      <c r="AF46" s="211">
        <f t="shared" si="48"/>
        <v>134.79644389312017</v>
      </c>
      <c r="AG46" s="211">
        <f t="shared" si="48"/>
        <v>134.79644389312017</v>
      </c>
      <c r="AH46" s="211">
        <f t="shared" si="48"/>
        <v>134.79644389312017</v>
      </c>
      <c r="AI46" s="211">
        <f t="shared" si="48"/>
        <v>134.79644389312017</v>
      </c>
      <c r="AJ46" s="211">
        <f t="shared" si="48"/>
        <v>134.79644389312017</v>
      </c>
      <c r="AK46" s="211">
        <f t="shared" si="48"/>
        <v>134.79644389312017</v>
      </c>
      <c r="AL46" s="211">
        <f t="shared" ref="AL46:BQ46" si="49">IF(AL$22&lt;=$E$24,IF(AL$22&lt;=$D$24,IF(AL$22&lt;=$C$24,IF(AL$22&lt;=$B$24,$B112,($C29-$B29)/($C$24-$B$24)),($D29-$C29)/($D$24-$C$24)),($E29-$D29)/($E$24-$D$24)),$F112)</f>
        <v>134.79644389312017</v>
      </c>
      <c r="AM46" s="211">
        <f t="shared" si="49"/>
        <v>134.79644389312017</v>
      </c>
      <c r="AN46" s="211">
        <f t="shared" si="49"/>
        <v>134.79644389312017</v>
      </c>
      <c r="AO46" s="211">
        <f t="shared" si="49"/>
        <v>134.79644389312017</v>
      </c>
      <c r="AP46" s="211">
        <f t="shared" si="49"/>
        <v>134.79644389312017</v>
      </c>
      <c r="AQ46" s="211">
        <f t="shared" si="49"/>
        <v>134.79644389312017</v>
      </c>
      <c r="AR46" s="211">
        <f t="shared" si="49"/>
        <v>134.79644389312017</v>
      </c>
      <c r="AS46" s="211">
        <f t="shared" si="49"/>
        <v>134.79644389312017</v>
      </c>
      <c r="AT46" s="211">
        <f t="shared" si="49"/>
        <v>134.79644389312017</v>
      </c>
      <c r="AU46" s="211">
        <f t="shared" si="49"/>
        <v>134.79644389312017</v>
      </c>
      <c r="AV46" s="211">
        <f t="shared" si="49"/>
        <v>134.79644389312017</v>
      </c>
      <c r="AW46" s="211">
        <f t="shared" si="49"/>
        <v>134.79644389312017</v>
      </c>
      <c r="AX46" s="211">
        <f t="shared" si="49"/>
        <v>134.79644389312017</v>
      </c>
      <c r="AY46" s="211">
        <f t="shared" si="49"/>
        <v>134.79644389312017</v>
      </c>
      <c r="AZ46" s="211">
        <f t="shared" si="49"/>
        <v>134.79644389312017</v>
      </c>
      <c r="BA46" s="211">
        <f t="shared" si="49"/>
        <v>134.79644389312017</v>
      </c>
      <c r="BB46" s="211">
        <f t="shared" si="49"/>
        <v>134.79644389312017</v>
      </c>
      <c r="BC46" s="211">
        <f t="shared" si="49"/>
        <v>134.79644389312017</v>
      </c>
      <c r="BD46" s="211">
        <f t="shared" si="49"/>
        <v>134.79644389312017</v>
      </c>
      <c r="BE46" s="211">
        <f t="shared" si="49"/>
        <v>134.79644389312017</v>
      </c>
      <c r="BF46" s="211">
        <f t="shared" si="49"/>
        <v>134.79644389312017</v>
      </c>
      <c r="BG46" s="211">
        <f t="shared" si="49"/>
        <v>134.79644389312017</v>
      </c>
      <c r="BH46" s="211">
        <f t="shared" si="49"/>
        <v>134.79644389312017</v>
      </c>
      <c r="BI46" s="211">
        <f t="shared" si="49"/>
        <v>134.79644389312017</v>
      </c>
      <c r="BJ46" s="211">
        <f t="shared" si="49"/>
        <v>134.79644389312017</v>
      </c>
      <c r="BK46" s="211">
        <f t="shared" si="49"/>
        <v>134.79644389312017</v>
      </c>
      <c r="BL46" s="211">
        <f t="shared" si="49"/>
        <v>134.79644389312017</v>
      </c>
      <c r="BM46" s="211">
        <f t="shared" si="49"/>
        <v>134.79644389312017</v>
      </c>
      <c r="BN46" s="211">
        <f t="shared" si="49"/>
        <v>238.75552671307233</v>
      </c>
      <c r="BO46" s="211">
        <f t="shared" si="49"/>
        <v>238.75552671307233</v>
      </c>
      <c r="BP46" s="211">
        <f t="shared" si="49"/>
        <v>238.75552671307233</v>
      </c>
      <c r="BQ46" s="211">
        <f t="shared" si="49"/>
        <v>238.75552671307233</v>
      </c>
      <c r="BR46" s="211">
        <f t="shared" ref="BR46:DA46" si="50">IF(BR$22&lt;=$E$24,IF(BR$22&lt;=$D$24,IF(BR$22&lt;=$C$24,IF(BR$22&lt;=$B$24,$B112,($C29-$B29)/($C$24-$B$24)),($D29-$C29)/($D$24-$C$24)),($E29-$D29)/($E$24-$D$24)),$F112)</f>
        <v>238.75552671307233</v>
      </c>
      <c r="BS46" s="211">
        <f t="shared" si="50"/>
        <v>238.75552671307233</v>
      </c>
      <c r="BT46" s="211">
        <f t="shared" si="50"/>
        <v>238.75552671307233</v>
      </c>
      <c r="BU46" s="211">
        <f t="shared" si="50"/>
        <v>238.75552671307233</v>
      </c>
      <c r="BV46" s="211">
        <f t="shared" si="50"/>
        <v>238.75552671307233</v>
      </c>
      <c r="BW46" s="211">
        <f t="shared" si="50"/>
        <v>238.75552671307233</v>
      </c>
      <c r="BX46" s="211">
        <f t="shared" si="50"/>
        <v>238.75552671307233</v>
      </c>
      <c r="BY46" s="211">
        <f t="shared" si="50"/>
        <v>238.75552671307233</v>
      </c>
      <c r="BZ46" s="211">
        <f t="shared" si="50"/>
        <v>238.75552671307233</v>
      </c>
      <c r="CA46" s="211">
        <f t="shared" si="50"/>
        <v>238.75552671307233</v>
      </c>
      <c r="CB46" s="211">
        <f t="shared" si="50"/>
        <v>238.75552671307233</v>
      </c>
      <c r="CC46" s="211">
        <f t="shared" si="50"/>
        <v>238.75552671307233</v>
      </c>
      <c r="CD46" s="211">
        <f t="shared" si="50"/>
        <v>238.75552671307233</v>
      </c>
      <c r="CE46" s="211">
        <f t="shared" si="50"/>
        <v>238.75552671307233</v>
      </c>
      <c r="CF46" s="211">
        <f t="shared" si="50"/>
        <v>238.75552671307233</v>
      </c>
      <c r="CG46" s="211">
        <f t="shared" si="50"/>
        <v>238.75552671307233</v>
      </c>
      <c r="CH46" s="211">
        <f t="shared" si="50"/>
        <v>238.75552671307233</v>
      </c>
      <c r="CI46" s="211">
        <f t="shared" si="50"/>
        <v>238.75552671307233</v>
      </c>
      <c r="CJ46" s="211">
        <f t="shared" si="50"/>
        <v>238.75552671307233</v>
      </c>
      <c r="CK46" s="211">
        <f t="shared" si="50"/>
        <v>238.75552671307233</v>
      </c>
      <c r="CL46" s="211">
        <f t="shared" si="50"/>
        <v>238.75552671307233</v>
      </c>
      <c r="CM46" s="211">
        <f t="shared" si="50"/>
        <v>238.75552671307233</v>
      </c>
      <c r="CN46" s="211">
        <f t="shared" si="50"/>
        <v>238.75552671307233</v>
      </c>
      <c r="CO46" s="211">
        <f t="shared" si="50"/>
        <v>238.75552671307233</v>
      </c>
      <c r="CP46" s="211">
        <f t="shared" si="50"/>
        <v>238.75552671307233</v>
      </c>
      <c r="CQ46" s="211">
        <f t="shared" si="50"/>
        <v>238.75552671307233</v>
      </c>
      <c r="CR46" s="211">
        <f t="shared" si="50"/>
        <v>-2076.6599542173667</v>
      </c>
      <c r="CS46" s="211">
        <f t="shared" si="50"/>
        <v>-2076.6599542173667</v>
      </c>
      <c r="CT46" s="211">
        <f t="shared" si="50"/>
        <v>-2076.6599542173667</v>
      </c>
      <c r="CU46" s="211">
        <f t="shared" si="50"/>
        <v>-2076.6599542173667</v>
      </c>
      <c r="CV46" s="211">
        <f t="shared" si="50"/>
        <v>-2076.6599542173667</v>
      </c>
      <c r="CW46" s="211">
        <f t="shared" si="50"/>
        <v>-2076.6599542173667</v>
      </c>
      <c r="CX46" s="211">
        <f t="shared" si="50"/>
        <v>-2076.6599542173667</v>
      </c>
      <c r="CY46" s="211">
        <f t="shared" si="50"/>
        <v>-2076.6599542173667</v>
      </c>
      <c r="CZ46" s="211">
        <f t="shared" si="50"/>
        <v>-2076.6599542173667</v>
      </c>
      <c r="DA46" s="211">
        <f t="shared" si="50"/>
        <v>-2076.6599542173667</v>
      </c>
    </row>
    <row r="47" spans="1:105">
      <c r="A47" s="202" t="str">
        <f>Income!A77</f>
        <v>Wild foods consumed and sold</v>
      </c>
      <c r="F47" s="211">
        <f t="shared" ref="F47:AK47" si="51">IF(F$22&lt;=$E$24,IF(F$22&lt;=$D$24,IF(F$22&lt;=$C$24,IF(F$22&lt;=$B$24,$B113,($C30-$B30)/($C$24-$B$24)),($D30-$C30)/($D$24-$C$24)),($E30-$D30)/($E$24-$D$24)),$F113)</f>
        <v>0</v>
      </c>
      <c r="G47" s="211">
        <f t="shared" si="51"/>
        <v>0</v>
      </c>
      <c r="H47" s="211">
        <f t="shared" si="51"/>
        <v>0</v>
      </c>
      <c r="I47" s="211">
        <f t="shared" si="51"/>
        <v>0</v>
      </c>
      <c r="J47" s="211">
        <f t="shared" si="51"/>
        <v>0</v>
      </c>
      <c r="K47" s="211">
        <f t="shared" si="51"/>
        <v>0</v>
      </c>
      <c r="L47" s="211">
        <f t="shared" si="51"/>
        <v>0</v>
      </c>
      <c r="M47" s="211">
        <f t="shared" si="51"/>
        <v>0</v>
      </c>
      <c r="N47" s="211">
        <f t="shared" si="51"/>
        <v>0</v>
      </c>
      <c r="O47" s="211">
        <f t="shared" si="51"/>
        <v>0</v>
      </c>
      <c r="P47" s="211">
        <f t="shared" si="51"/>
        <v>0</v>
      </c>
      <c r="Q47" s="211">
        <f t="shared" si="51"/>
        <v>0</v>
      </c>
      <c r="R47" s="211">
        <f t="shared" si="51"/>
        <v>0</v>
      </c>
      <c r="S47" s="211">
        <f t="shared" si="51"/>
        <v>0</v>
      </c>
      <c r="T47" s="211">
        <f t="shared" si="51"/>
        <v>0</v>
      </c>
      <c r="U47" s="211">
        <f t="shared" si="51"/>
        <v>0</v>
      </c>
      <c r="V47" s="211">
        <f t="shared" si="51"/>
        <v>0</v>
      </c>
      <c r="W47" s="211">
        <f t="shared" si="51"/>
        <v>0</v>
      </c>
      <c r="X47" s="211">
        <f t="shared" si="51"/>
        <v>0</v>
      </c>
      <c r="Y47" s="211">
        <f t="shared" si="51"/>
        <v>0</v>
      </c>
      <c r="Z47" s="211">
        <f t="shared" si="51"/>
        <v>0</v>
      </c>
      <c r="AA47" s="211">
        <f t="shared" si="51"/>
        <v>-7.1953694760516473E-16</v>
      </c>
      <c r="AB47" s="211">
        <f t="shared" si="51"/>
        <v>-7.1953694760516473E-16</v>
      </c>
      <c r="AC47" s="211">
        <f t="shared" si="51"/>
        <v>-7.1953694760516473E-16</v>
      </c>
      <c r="AD47" s="211">
        <f t="shared" si="51"/>
        <v>-7.1953694760516473E-16</v>
      </c>
      <c r="AE47" s="211">
        <f t="shared" si="51"/>
        <v>-7.1953694760516473E-16</v>
      </c>
      <c r="AF47" s="211">
        <f t="shared" si="51"/>
        <v>-7.1953694760516473E-16</v>
      </c>
      <c r="AG47" s="211">
        <f t="shared" si="51"/>
        <v>-7.1953694760516473E-16</v>
      </c>
      <c r="AH47" s="211">
        <f t="shared" si="51"/>
        <v>-7.1953694760516473E-16</v>
      </c>
      <c r="AI47" s="211">
        <f t="shared" si="51"/>
        <v>-7.1953694760516473E-16</v>
      </c>
      <c r="AJ47" s="211">
        <f t="shared" si="51"/>
        <v>-7.1953694760516473E-16</v>
      </c>
      <c r="AK47" s="211">
        <f t="shared" si="51"/>
        <v>-7.1953694760516473E-16</v>
      </c>
      <c r="AL47" s="211">
        <f t="shared" ref="AL47:BQ47" si="52">IF(AL$22&lt;=$E$24,IF(AL$22&lt;=$D$24,IF(AL$22&lt;=$C$24,IF(AL$22&lt;=$B$24,$B113,($C30-$B30)/($C$24-$B$24)),($D30-$C30)/($D$24-$C$24)),($E30-$D30)/($E$24-$D$24)),$F113)</f>
        <v>-7.1953694760516473E-16</v>
      </c>
      <c r="AM47" s="211">
        <f t="shared" si="52"/>
        <v>-7.1953694760516473E-16</v>
      </c>
      <c r="AN47" s="211">
        <f t="shared" si="52"/>
        <v>-7.1953694760516473E-16</v>
      </c>
      <c r="AO47" s="211">
        <f t="shared" si="52"/>
        <v>-7.1953694760516473E-16</v>
      </c>
      <c r="AP47" s="211">
        <f t="shared" si="52"/>
        <v>-7.1953694760516473E-16</v>
      </c>
      <c r="AQ47" s="211">
        <f t="shared" si="52"/>
        <v>-7.1953694760516473E-16</v>
      </c>
      <c r="AR47" s="211">
        <f t="shared" si="52"/>
        <v>-7.1953694760516473E-16</v>
      </c>
      <c r="AS47" s="211">
        <f t="shared" si="52"/>
        <v>-7.1953694760516473E-16</v>
      </c>
      <c r="AT47" s="211">
        <f t="shared" si="52"/>
        <v>-7.1953694760516473E-16</v>
      </c>
      <c r="AU47" s="211">
        <f t="shared" si="52"/>
        <v>-7.1953694760516473E-16</v>
      </c>
      <c r="AV47" s="211">
        <f t="shared" si="52"/>
        <v>-7.1953694760516473E-16</v>
      </c>
      <c r="AW47" s="211">
        <f t="shared" si="52"/>
        <v>-7.1953694760516473E-16</v>
      </c>
      <c r="AX47" s="211">
        <f t="shared" si="52"/>
        <v>-7.1953694760516473E-16</v>
      </c>
      <c r="AY47" s="211">
        <f t="shared" si="52"/>
        <v>-7.1953694760516473E-16</v>
      </c>
      <c r="AZ47" s="211">
        <f t="shared" si="52"/>
        <v>-7.1953694760516473E-16</v>
      </c>
      <c r="BA47" s="211">
        <f t="shared" si="52"/>
        <v>-7.1953694760516473E-16</v>
      </c>
      <c r="BB47" s="211">
        <f t="shared" si="52"/>
        <v>-7.1953694760516473E-16</v>
      </c>
      <c r="BC47" s="211">
        <f t="shared" si="52"/>
        <v>-7.1953694760516473E-16</v>
      </c>
      <c r="BD47" s="211">
        <f t="shared" si="52"/>
        <v>-7.1953694760516473E-16</v>
      </c>
      <c r="BE47" s="211">
        <f t="shared" si="52"/>
        <v>-7.1953694760516473E-16</v>
      </c>
      <c r="BF47" s="211">
        <f t="shared" si="52"/>
        <v>-7.1953694760516473E-16</v>
      </c>
      <c r="BG47" s="211">
        <f t="shared" si="52"/>
        <v>-7.1953694760516473E-16</v>
      </c>
      <c r="BH47" s="211">
        <f t="shared" si="52"/>
        <v>-7.1953694760516473E-16</v>
      </c>
      <c r="BI47" s="211">
        <f t="shared" si="52"/>
        <v>-7.1953694760516473E-16</v>
      </c>
      <c r="BJ47" s="211">
        <f t="shared" si="52"/>
        <v>-7.1953694760516473E-16</v>
      </c>
      <c r="BK47" s="211">
        <f t="shared" si="52"/>
        <v>-7.1953694760516473E-16</v>
      </c>
      <c r="BL47" s="211">
        <f t="shared" si="52"/>
        <v>-7.1953694760516473E-16</v>
      </c>
      <c r="BM47" s="211">
        <f t="shared" si="52"/>
        <v>-7.1953694760516473E-16</v>
      </c>
      <c r="BN47" s="211">
        <f t="shared" si="52"/>
        <v>2.3543143070395396</v>
      </c>
      <c r="BO47" s="211">
        <f t="shared" si="52"/>
        <v>2.3543143070395396</v>
      </c>
      <c r="BP47" s="211">
        <f t="shared" si="52"/>
        <v>2.3543143070395396</v>
      </c>
      <c r="BQ47" s="211">
        <f t="shared" si="52"/>
        <v>2.3543143070395396</v>
      </c>
      <c r="BR47" s="211">
        <f t="shared" ref="BR47:DA47" si="53">IF(BR$22&lt;=$E$24,IF(BR$22&lt;=$D$24,IF(BR$22&lt;=$C$24,IF(BR$22&lt;=$B$24,$B113,($C30-$B30)/($C$24-$B$24)),($D30-$C30)/($D$24-$C$24)),($E30-$D30)/($E$24-$D$24)),$F113)</f>
        <v>2.3543143070395396</v>
      </c>
      <c r="BS47" s="211">
        <f t="shared" si="53"/>
        <v>2.3543143070395396</v>
      </c>
      <c r="BT47" s="211">
        <f t="shared" si="53"/>
        <v>2.3543143070395396</v>
      </c>
      <c r="BU47" s="211">
        <f t="shared" si="53"/>
        <v>2.3543143070395396</v>
      </c>
      <c r="BV47" s="211">
        <f t="shared" si="53"/>
        <v>2.3543143070395396</v>
      </c>
      <c r="BW47" s="211">
        <f t="shared" si="53"/>
        <v>2.3543143070395396</v>
      </c>
      <c r="BX47" s="211">
        <f t="shared" si="53"/>
        <v>2.3543143070395396</v>
      </c>
      <c r="BY47" s="211">
        <f t="shared" si="53"/>
        <v>2.3543143070395396</v>
      </c>
      <c r="BZ47" s="211">
        <f t="shared" si="53"/>
        <v>2.3543143070395396</v>
      </c>
      <c r="CA47" s="211">
        <f t="shared" si="53"/>
        <v>2.3543143070395396</v>
      </c>
      <c r="CB47" s="211">
        <f t="shared" si="53"/>
        <v>2.3543143070395396</v>
      </c>
      <c r="CC47" s="211">
        <f t="shared" si="53"/>
        <v>2.3543143070395396</v>
      </c>
      <c r="CD47" s="211">
        <f t="shared" si="53"/>
        <v>2.3543143070395396</v>
      </c>
      <c r="CE47" s="211">
        <f t="shared" si="53"/>
        <v>2.3543143070395396</v>
      </c>
      <c r="CF47" s="211">
        <f t="shared" si="53"/>
        <v>2.3543143070395396</v>
      </c>
      <c r="CG47" s="211">
        <f t="shared" si="53"/>
        <v>2.3543143070395396</v>
      </c>
      <c r="CH47" s="211">
        <f t="shared" si="53"/>
        <v>2.3543143070395396</v>
      </c>
      <c r="CI47" s="211">
        <f t="shared" si="53"/>
        <v>2.3543143070395396</v>
      </c>
      <c r="CJ47" s="211">
        <f t="shared" si="53"/>
        <v>2.3543143070395396</v>
      </c>
      <c r="CK47" s="211">
        <f t="shared" si="53"/>
        <v>2.3543143070395396</v>
      </c>
      <c r="CL47" s="211">
        <f t="shared" si="53"/>
        <v>2.3543143070395396</v>
      </c>
      <c r="CM47" s="211">
        <f t="shared" si="53"/>
        <v>2.3543143070395396</v>
      </c>
      <c r="CN47" s="211">
        <f t="shared" si="53"/>
        <v>2.3543143070395396</v>
      </c>
      <c r="CO47" s="211">
        <f t="shared" si="53"/>
        <v>2.3543143070395396</v>
      </c>
      <c r="CP47" s="211">
        <f t="shared" si="53"/>
        <v>2.3543143070395396</v>
      </c>
      <c r="CQ47" s="211">
        <f t="shared" si="53"/>
        <v>2.3543143070395396</v>
      </c>
      <c r="CR47" s="211">
        <f t="shared" si="53"/>
        <v>-19.568326707861097</v>
      </c>
      <c r="CS47" s="211">
        <f t="shared" si="53"/>
        <v>-19.568326707861097</v>
      </c>
      <c r="CT47" s="211">
        <f t="shared" si="53"/>
        <v>-19.568326707861097</v>
      </c>
      <c r="CU47" s="211">
        <f t="shared" si="53"/>
        <v>-19.568326707861097</v>
      </c>
      <c r="CV47" s="211">
        <f t="shared" si="53"/>
        <v>-19.568326707861097</v>
      </c>
      <c r="CW47" s="211">
        <f t="shared" si="53"/>
        <v>-19.568326707861097</v>
      </c>
      <c r="CX47" s="211">
        <f t="shared" si="53"/>
        <v>-19.568326707861097</v>
      </c>
      <c r="CY47" s="211">
        <f t="shared" si="53"/>
        <v>-19.568326707861097</v>
      </c>
      <c r="CZ47" s="211">
        <f t="shared" si="53"/>
        <v>-19.568326707861097</v>
      </c>
      <c r="DA47" s="211">
        <f t="shared" si="53"/>
        <v>-19.568326707861097</v>
      </c>
    </row>
    <row r="48" spans="1:105">
      <c r="A48" s="202" t="str">
        <f>Income!A78</f>
        <v>Labour - casual</v>
      </c>
      <c r="F48" s="211">
        <f t="shared" ref="F48:AK48" si="54">IF(F$22&lt;=$E$24,IF(F$22&lt;=$D$24,IF(F$22&lt;=$C$24,IF(F$22&lt;=$B$24,$B114,($C31-$B31)/($C$24-$B$24)),($D31-$C31)/($D$24-$C$24)),($E31-$D31)/($E$24-$D$24)),$F114)</f>
        <v>0</v>
      </c>
      <c r="G48" s="211">
        <f t="shared" si="54"/>
        <v>0</v>
      </c>
      <c r="H48" s="211">
        <f t="shared" si="54"/>
        <v>0</v>
      </c>
      <c r="I48" s="211">
        <f t="shared" si="54"/>
        <v>0</v>
      </c>
      <c r="J48" s="211">
        <f t="shared" si="54"/>
        <v>0</v>
      </c>
      <c r="K48" s="211">
        <f t="shared" si="54"/>
        <v>0</v>
      </c>
      <c r="L48" s="211">
        <f t="shared" si="54"/>
        <v>0</v>
      </c>
      <c r="M48" s="211">
        <f t="shared" si="54"/>
        <v>0</v>
      </c>
      <c r="N48" s="211">
        <f t="shared" si="54"/>
        <v>0</v>
      </c>
      <c r="O48" s="211">
        <f t="shared" si="54"/>
        <v>0</v>
      </c>
      <c r="P48" s="211">
        <f t="shared" si="54"/>
        <v>0</v>
      </c>
      <c r="Q48" s="211">
        <f t="shared" si="54"/>
        <v>0</v>
      </c>
      <c r="R48" s="211">
        <f t="shared" si="54"/>
        <v>0</v>
      </c>
      <c r="S48" s="211">
        <f t="shared" si="54"/>
        <v>0</v>
      </c>
      <c r="T48" s="211">
        <f t="shared" si="54"/>
        <v>0</v>
      </c>
      <c r="U48" s="211">
        <f t="shared" si="54"/>
        <v>0</v>
      </c>
      <c r="V48" s="211">
        <f t="shared" si="54"/>
        <v>0</v>
      </c>
      <c r="W48" s="211">
        <f t="shared" si="54"/>
        <v>0</v>
      </c>
      <c r="X48" s="211">
        <f t="shared" si="54"/>
        <v>0</v>
      </c>
      <c r="Y48" s="211">
        <f t="shared" si="54"/>
        <v>0</v>
      </c>
      <c r="Z48" s="211">
        <f t="shared" si="54"/>
        <v>0</v>
      </c>
      <c r="AA48" s="211">
        <f t="shared" si="54"/>
        <v>-20.219466583968035</v>
      </c>
      <c r="AB48" s="211">
        <f t="shared" si="54"/>
        <v>-20.219466583968035</v>
      </c>
      <c r="AC48" s="211">
        <f t="shared" si="54"/>
        <v>-20.219466583968035</v>
      </c>
      <c r="AD48" s="211">
        <f t="shared" si="54"/>
        <v>-20.219466583968035</v>
      </c>
      <c r="AE48" s="211">
        <f t="shared" si="54"/>
        <v>-20.219466583968035</v>
      </c>
      <c r="AF48" s="211">
        <f t="shared" si="54"/>
        <v>-20.219466583968035</v>
      </c>
      <c r="AG48" s="211">
        <f t="shared" si="54"/>
        <v>-20.219466583968035</v>
      </c>
      <c r="AH48" s="211">
        <f t="shared" si="54"/>
        <v>-20.219466583968035</v>
      </c>
      <c r="AI48" s="211">
        <f t="shared" si="54"/>
        <v>-20.219466583968035</v>
      </c>
      <c r="AJ48" s="211">
        <f t="shared" si="54"/>
        <v>-20.219466583968035</v>
      </c>
      <c r="AK48" s="211">
        <f t="shared" si="54"/>
        <v>-20.219466583968035</v>
      </c>
      <c r="AL48" s="211">
        <f t="shared" ref="AL48:BQ48" si="55">IF(AL$22&lt;=$E$24,IF(AL$22&lt;=$D$24,IF(AL$22&lt;=$C$24,IF(AL$22&lt;=$B$24,$B114,($C31-$B31)/($C$24-$B$24)),($D31-$C31)/($D$24-$C$24)),($E31-$D31)/($E$24-$D$24)),$F114)</f>
        <v>-20.219466583968035</v>
      </c>
      <c r="AM48" s="211">
        <f t="shared" si="55"/>
        <v>-20.219466583968035</v>
      </c>
      <c r="AN48" s="211">
        <f t="shared" si="55"/>
        <v>-20.219466583968035</v>
      </c>
      <c r="AO48" s="211">
        <f t="shared" si="55"/>
        <v>-20.219466583968035</v>
      </c>
      <c r="AP48" s="211">
        <f t="shared" si="55"/>
        <v>-20.219466583968035</v>
      </c>
      <c r="AQ48" s="211">
        <f t="shared" si="55"/>
        <v>-20.219466583968035</v>
      </c>
      <c r="AR48" s="211">
        <f t="shared" si="55"/>
        <v>-20.219466583968035</v>
      </c>
      <c r="AS48" s="211">
        <f t="shared" si="55"/>
        <v>-20.219466583968035</v>
      </c>
      <c r="AT48" s="211">
        <f t="shared" si="55"/>
        <v>-20.219466583968035</v>
      </c>
      <c r="AU48" s="211">
        <f t="shared" si="55"/>
        <v>-20.219466583968035</v>
      </c>
      <c r="AV48" s="211">
        <f t="shared" si="55"/>
        <v>-20.219466583968035</v>
      </c>
      <c r="AW48" s="211">
        <f t="shared" si="55"/>
        <v>-20.219466583968035</v>
      </c>
      <c r="AX48" s="211">
        <f t="shared" si="55"/>
        <v>-20.219466583968035</v>
      </c>
      <c r="AY48" s="211">
        <f t="shared" si="55"/>
        <v>-20.219466583968035</v>
      </c>
      <c r="AZ48" s="211">
        <f t="shared" si="55"/>
        <v>-20.219466583968035</v>
      </c>
      <c r="BA48" s="211">
        <f t="shared" si="55"/>
        <v>-20.219466583968035</v>
      </c>
      <c r="BB48" s="211">
        <f t="shared" si="55"/>
        <v>-20.219466583968035</v>
      </c>
      <c r="BC48" s="211">
        <f t="shared" si="55"/>
        <v>-20.219466583968035</v>
      </c>
      <c r="BD48" s="211">
        <f t="shared" si="55"/>
        <v>-20.219466583968035</v>
      </c>
      <c r="BE48" s="211">
        <f t="shared" si="55"/>
        <v>-20.219466583968035</v>
      </c>
      <c r="BF48" s="211">
        <f t="shared" si="55"/>
        <v>-20.219466583968035</v>
      </c>
      <c r="BG48" s="211">
        <f t="shared" si="55"/>
        <v>-20.219466583968035</v>
      </c>
      <c r="BH48" s="211">
        <f t="shared" si="55"/>
        <v>-20.219466583968035</v>
      </c>
      <c r="BI48" s="211">
        <f t="shared" si="55"/>
        <v>-20.219466583968035</v>
      </c>
      <c r="BJ48" s="211">
        <f t="shared" si="55"/>
        <v>-20.219466583968035</v>
      </c>
      <c r="BK48" s="211">
        <f t="shared" si="55"/>
        <v>-20.219466583968035</v>
      </c>
      <c r="BL48" s="211">
        <f t="shared" si="55"/>
        <v>-20.219466583968035</v>
      </c>
      <c r="BM48" s="211">
        <f t="shared" si="55"/>
        <v>-20.219466583968035</v>
      </c>
      <c r="BN48" s="211">
        <f t="shared" si="55"/>
        <v>-53.244595337782485</v>
      </c>
      <c r="BO48" s="211">
        <f t="shared" si="55"/>
        <v>-53.244595337782485</v>
      </c>
      <c r="BP48" s="211">
        <f t="shared" si="55"/>
        <v>-53.244595337782485</v>
      </c>
      <c r="BQ48" s="211">
        <f t="shared" si="55"/>
        <v>-53.244595337782485</v>
      </c>
      <c r="BR48" s="211">
        <f t="shared" ref="BR48:DA48" si="56">IF(BR$22&lt;=$E$24,IF(BR$22&lt;=$D$24,IF(BR$22&lt;=$C$24,IF(BR$22&lt;=$B$24,$B114,($C31-$B31)/($C$24-$B$24)),($D31-$C31)/($D$24-$C$24)),($E31-$D31)/($E$24-$D$24)),$F114)</f>
        <v>-53.244595337782485</v>
      </c>
      <c r="BS48" s="211">
        <f t="shared" si="56"/>
        <v>-53.244595337782485</v>
      </c>
      <c r="BT48" s="211">
        <f t="shared" si="56"/>
        <v>-53.244595337782485</v>
      </c>
      <c r="BU48" s="211">
        <f t="shared" si="56"/>
        <v>-53.244595337782485</v>
      </c>
      <c r="BV48" s="211">
        <f t="shared" si="56"/>
        <v>-53.244595337782485</v>
      </c>
      <c r="BW48" s="211">
        <f t="shared" si="56"/>
        <v>-53.244595337782485</v>
      </c>
      <c r="BX48" s="211">
        <f t="shared" si="56"/>
        <v>-53.244595337782485</v>
      </c>
      <c r="BY48" s="211">
        <f t="shared" si="56"/>
        <v>-53.244595337782485</v>
      </c>
      <c r="BZ48" s="211">
        <f t="shared" si="56"/>
        <v>-53.244595337782485</v>
      </c>
      <c r="CA48" s="211">
        <f t="shared" si="56"/>
        <v>-53.244595337782485</v>
      </c>
      <c r="CB48" s="211">
        <f t="shared" si="56"/>
        <v>-53.244595337782485</v>
      </c>
      <c r="CC48" s="211">
        <f t="shared" si="56"/>
        <v>-53.244595337782485</v>
      </c>
      <c r="CD48" s="211">
        <f t="shared" si="56"/>
        <v>-53.244595337782485</v>
      </c>
      <c r="CE48" s="211">
        <f t="shared" si="56"/>
        <v>-53.244595337782485</v>
      </c>
      <c r="CF48" s="211">
        <f t="shared" si="56"/>
        <v>-53.244595337782485</v>
      </c>
      <c r="CG48" s="211">
        <f t="shared" si="56"/>
        <v>-53.244595337782485</v>
      </c>
      <c r="CH48" s="211">
        <f t="shared" si="56"/>
        <v>-53.244595337782485</v>
      </c>
      <c r="CI48" s="211">
        <f t="shared" si="56"/>
        <v>-53.244595337782485</v>
      </c>
      <c r="CJ48" s="211">
        <f t="shared" si="56"/>
        <v>-53.244595337782485</v>
      </c>
      <c r="CK48" s="211">
        <f t="shared" si="56"/>
        <v>-53.244595337782485</v>
      </c>
      <c r="CL48" s="211">
        <f t="shared" si="56"/>
        <v>-53.244595337782485</v>
      </c>
      <c r="CM48" s="211">
        <f t="shared" si="56"/>
        <v>-53.244595337782485</v>
      </c>
      <c r="CN48" s="211">
        <f t="shared" si="56"/>
        <v>-53.244595337782485</v>
      </c>
      <c r="CO48" s="211">
        <f t="shared" si="56"/>
        <v>-53.244595337782485</v>
      </c>
      <c r="CP48" s="211">
        <f t="shared" si="56"/>
        <v>-53.244595337782485</v>
      </c>
      <c r="CQ48" s="211">
        <f t="shared" si="56"/>
        <v>-53.244595337782485</v>
      </c>
      <c r="CR48" s="211">
        <f t="shared" si="56"/>
        <v>0</v>
      </c>
      <c r="CS48" s="211">
        <f t="shared" si="56"/>
        <v>0</v>
      </c>
      <c r="CT48" s="211">
        <f t="shared" si="56"/>
        <v>0</v>
      </c>
      <c r="CU48" s="211">
        <f t="shared" si="56"/>
        <v>0</v>
      </c>
      <c r="CV48" s="211">
        <f t="shared" si="56"/>
        <v>0</v>
      </c>
      <c r="CW48" s="211">
        <f t="shared" si="56"/>
        <v>0</v>
      </c>
      <c r="CX48" s="211">
        <f t="shared" si="56"/>
        <v>0</v>
      </c>
      <c r="CY48" s="211">
        <f t="shared" si="56"/>
        <v>0</v>
      </c>
      <c r="CZ48" s="211">
        <f t="shared" si="56"/>
        <v>0</v>
      </c>
      <c r="DA48" s="211">
        <f t="shared" si="56"/>
        <v>0</v>
      </c>
    </row>
    <row r="49" spans="1:105">
      <c r="A49" s="202" t="str">
        <f>Income!A79</f>
        <v>Labour - formal emp</v>
      </c>
      <c r="F49" s="211">
        <f t="shared" ref="F49:AK49" si="57">IF(F$22&lt;=$E$24,IF(F$22&lt;=$D$24,IF(F$22&lt;=$C$24,IF(F$22&lt;=$B$24,$B115,($C32-$B32)/($C$24-$B$24)),($D32-$C32)/($D$24-$C$24)),($E32-$D32)/($E$24-$D$24)),$F115)</f>
        <v>0</v>
      </c>
      <c r="G49" s="211">
        <f t="shared" si="57"/>
        <v>0</v>
      </c>
      <c r="H49" s="211">
        <f t="shared" si="57"/>
        <v>0</v>
      </c>
      <c r="I49" s="211">
        <f t="shared" si="57"/>
        <v>0</v>
      </c>
      <c r="J49" s="211">
        <f t="shared" si="57"/>
        <v>0</v>
      </c>
      <c r="K49" s="211">
        <f t="shared" si="57"/>
        <v>0</v>
      </c>
      <c r="L49" s="211">
        <f t="shared" si="57"/>
        <v>0</v>
      </c>
      <c r="M49" s="211">
        <f t="shared" si="57"/>
        <v>0</v>
      </c>
      <c r="N49" s="211">
        <f t="shared" si="57"/>
        <v>0</v>
      </c>
      <c r="O49" s="211">
        <f t="shared" si="57"/>
        <v>0</v>
      </c>
      <c r="P49" s="211">
        <f t="shared" si="57"/>
        <v>0</v>
      </c>
      <c r="Q49" s="211">
        <f t="shared" si="57"/>
        <v>0</v>
      </c>
      <c r="R49" s="211">
        <f t="shared" si="57"/>
        <v>0</v>
      </c>
      <c r="S49" s="211">
        <f t="shared" si="57"/>
        <v>0</v>
      </c>
      <c r="T49" s="211">
        <f t="shared" si="57"/>
        <v>0</v>
      </c>
      <c r="U49" s="211">
        <f t="shared" si="57"/>
        <v>0</v>
      </c>
      <c r="V49" s="211">
        <f t="shared" si="57"/>
        <v>0</v>
      </c>
      <c r="W49" s="211">
        <f t="shared" si="57"/>
        <v>0</v>
      </c>
      <c r="X49" s="211">
        <f t="shared" si="57"/>
        <v>0</v>
      </c>
      <c r="Y49" s="211">
        <f t="shared" si="57"/>
        <v>0</v>
      </c>
      <c r="Z49" s="211">
        <f t="shared" si="57"/>
        <v>0</v>
      </c>
      <c r="AA49" s="211">
        <f t="shared" si="57"/>
        <v>0</v>
      </c>
      <c r="AB49" s="211">
        <f t="shared" si="57"/>
        <v>0</v>
      </c>
      <c r="AC49" s="211">
        <f t="shared" si="57"/>
        <v>0</v>
      </c>
      <c r="AD49" s="211">
        <f t="shared" si="57"/>
        <v>0</v>
      </c>
      <c r="AE49" s="211">
        <f t="shared" si="57"/>
        <v>0</v>
      </c>
      <c r="AF49" s="211">
        <f t="shared" si="57"/>
        <v>0</v>
      </c>
      <c r="AG49" s="211">
        <f t="shared" si="57"/>
        <v>0</v>
      </c>
      <c r="AH49" s="211">
        <f t="shared" si="57"/>
        <v>0</v>
      </c>
      <c r="AI49" s="211">
        <f t="shared" si="57"/>
        <v>0</v>
      </c>
      <c r="AJ49" s="211">
        <f t="shared" si="57"/>
        <v>0</v>
      </c>
      <c r="AK49" s="211">
        <f t="shared" si="57"/>
        <v>0</v>
      </c>
      <c r="AL49" s="211">
        <f t="shared" ref="AL49:BQ49" si="58">IF(AL$22&lt;=$E$24,IF(AL$22&lt;=$D$24,IF(AL$22&lt;=$C$24,IF(AL$22&lt;=$B$24,$B115,($C32-$B32)/($C$24-$B$24)),($D32-$C32)/($D$24-$C$24)),($E32-$D32)/($E$24-$D$24)),$F115)</f>
        <v>0</v>
      </c>
      <c r="AM49" s="211">
        <f t="shared" si="58"/>
        <v>0</v>
      </c>
      <c r="AN49" s="211">
        <f t="shared" si="58"/>
        <v>0</v>
      </c>
      <c r="AO49" s="211">
        <f t="shared" si="58"/>
        <v>0</v>
      </c>
      <c r="AP49" s="211">
        <f t="shared" si="58"/>
        <v>0</v>
      </c>
      <c r="AQ49" s="211">
        <f t="shared" si="58"/>
        <v>0</v>
      </c>
      <c r="AR49" s="211">
        <f t="shared" si="58"/>
        <v>0</v>
      </c>
      <c r="AS49" s="211">
        <f t="shared" si="58"/>
        <v>0</v>
      </c>
      <c r="AT49" s="211">
        <f t="shared" si="58"/>
        <v>0</v>
      </c>
      <c r="AU49" s="211">
        <f t="shared" si="58"/>
        <v>0</v>
      </c>
      <c r="AV49" s="211">
        <f t="shared" si="58"/>
        <v>0</v>
      </c>
      <c r="AW49" s="211">
        <f t="shared" si="58"/>
        <v>0</v>
      </c>
      <c r="AX49" s="211">
        <f t="shared" si="58"/>
        <v>0</v>
      </c>
      <c r="AY49" s="211">
        <f t="shared" si="58"/>
        <v>0</v>
      </c>
      <c r="AZ49" s="211">
        <f t="shared" si="58"/>
        <v>0</v>
      </c>
      <c r="BA49" s="211">
        <f t="shared" si="58"/>
        <v>0</v>
      </c>
      <c r="BB49" s="211">
        <f t="shared" si="58"/>
        <v>0</v>
      </c>
      <c r="BC49" s="211">
        <f t="shared" si="58"/>
        <v>0</v>
      </c>
      <c r="BD49" s="211">
        <f t="shared" si="58"/>
        <v>0</v>
      </c>
      <c r="BE49" s="211">
        <f t="shared" si="58"/>
        <v>0</v>
      </c>
      <c r="BF49" s="211">
        <f t="shared" si="58"/>
        <v>0</v>
      </c>
      <c r="BG49" s="211">
        <f t="shared" si="58"/>
        <v>0</v>
      </c>
      <c r="BH49" s="211">
        <f t="shared" si="58"/>
        <v>0</v>
      </c>
      <c r="BI49" s="211">
        <f t="shared" si="58"/>
        <v>0</v>
      </c>
      <c r="BJ49" s="211">
        <f t="shared" si="58"/>
        <v>0</v>
      </c>
      <c r="BK49" s="211">
        <f t="shared" si="58"/>
        <v>0</v>
      </c>
      <c r="BL49" s="211">
        <f t="shared" si="58"/>
        <v>0</v>
      </c>
      <c r="BM49" s="211">
        <f t="shared" si="58"/>
        <v>0</v>
      </c>
      <c r="BN49" s="211">
        <f t="shared" si="58"/>
        <v>2488.1283916576449</v>
      </c>
      <c r="BO49" s="211">
        <f t="shared" si="58"/>
        <v>2488.1283916576449</v>
      </c>
      <c r="BP49" s="211">
        <f t="shared" si="58"/>
        <v>2488.1283916576449</v>
      </c>
      <c r="BQ49" s="211">
        <f t="shared" si="58"/>
        <v>2488.1283916576449</v>
      </c>
      <c r="BR49" s="211">
        <f t="shared" ref="BR49:DA49" si="59">IF(BR$22&lt;=$E$24,IF(BR$22&lt;=$D$24,IF(BR$22&lt;=$C$24,IF(BR$22&lt;=$B$24,$B115,($C32-$B32)/($C$24-$B$24)),($D32-$C32)/($D$24-$C$24)),($E32-$D32)/($E$24-$D$24)),$F115)</f>
        <v>2488.1283916576449</v>
      </c>
      <c r="BS49" s="211">
        <f t="shared" si="59"/>
        <v>2488.1283916576449</v>
      </c>
      <c r="BT49" s="211">
        <f t="shared" si="59"/>
        <v>2488.1283916576449</v>
      </c>
      <c r="BU49" s="211">
        <f t="shared" si="59"/>
        <v>2488.1283916576449</v>
      </c>
      <c r="BV49" s="211">
        <f t="shared" si="59"/>
        <v>2488.1283916576449</v>
      </c>
      <c r="BW49" s="211">
        <f t="shared" si="59"/>
        <v>2488.1283916576449</v>
      </c>
      <c r="BX49" s="211">
        <f t="shared" si="59"/>
        <v>2488.1283916576449</v>
      </c>
      <c r="BY49" s="211">
        <f t="shared" si="59"/>
        <v>2488.1283916576449</v>
      </c>
      <c r="BZ49" s="211">
        <f t="shared" si="59"/>
        <v>2488.1283916576449</v>
      </c>
      <c r="CA49" s="211">
        <f t="shared" si="59"/>
        <v>2488.1283916576449</v>
      </c>
      <c r="CB49" s="211">
        <f t="shared" si="59"/>
        <v>2488.1283916576449</v>
      </c>
      <c r="CC49" s="211">
        <f t="shared" si="59"/>
        <v>2488.1283916576449</v>
      </c>
      <c r="CD49" s="211">
        <f t="shared" si="59"/>
        <v>2488.1283916576449</v>
      </c>
      <c r="CE49" s="211">
        <f t="shared" si="59"/>
        <v>2488.1283916576449</v>
      </c>
      <c r="CF49" s="211">
        <f t="shared" si="59"/>
        <v>2488.1283916576449</v>
      </c>
      <c r="CG49" s="211">
        <f t="shared" si="59"/>
        <v>2488.1283916576449</v>
      </c>
      <c r="CH49" s="211">
        <f t="shared" si="59"/>
        <v>2488.1283916576449</v>
      </c>
      <c r="CI49" s="211">
        <f t="shared" si="59"/>
        <v>2488.1283916576449</v>
      </c>
      <c r="CJ49" s="211">
        <f t="shared" si="59"/>
        <v>2488.1283916576449</v>
      </c>
      <c r="CK49" s="211">
        <f t="shared" si="59"/>
        <v>2488.1283916576449</v>
      </c>
      <c r="CL49" s="211">
        <f t="shared" si="59"/>
        <v>2488.1283916576449</v>
      </c>
      <c r="CM49" s="211">
        <f t="shared" si="59"/>
        <v>2488.1283916576449</v>
      </c>
      <c r="CN49" s="211">
        <f t="shared" si="59"/>
        <v>2488.1283916576449</v>
      </c>
      <c r="CO49" s="211">
        <f t="shared" si="59"/>
        <v>2488.1283916576449</v>
      </c>
      <c r="CP49" s="211">
        <f t="shared" si="59"/>
        <v>2488.1283916576449</v>
      </c>
      <c r="CQ49" s="211">
        <f t="shared" si="59"/>
        <v>2488.1283916576449</v>
      </c>
      <c r="CR49" s="211">
        <f t="shared" si="59"/>
        <v>-7108.9382618789859</v>
      </c>
      <c r="CS49" s="211">
        <f t="shared" si="59"/>
        <v>-7108.9382618789859</v>
      </c>
      <c r="CT49" s="211">
        <f t="shared" si="59"/>
        <v>-7108.9382618789859</v>
      </c>
      <c r="CU49" s="211">
        <f t="shared" si="59"/>
        <v>-7108.9382618789859</v>
      </c>
      <c r="CV49" s="211">
        <f t="shared" si="59"/>
        <v>-7108.9382618789859</v>
      </c>
      <c r="CW49" s="211">
        <f t="shared" si="59"/>
        <v>-7108.9382618789859</v>
      </c>
      <c r="CX49" s="211">
        <f t="shared" si="59"/>
        <v>-7108.9382618789859</v>
      </c>
      <c r="CY49" s="211">
        <f t="shared" si="59"/>
        <v>-7108.9382618789859</v>
      </c>
      <c r="CZ49" s="211">
        <f t="shared" si="59"/>
        <v>-7108.9382618789859</v>
      </c>
      <c r="DA49" s="211">
        <f t="shared" si="59"/>
        <v>-7108.9382618789859</v>
      </c>
    </row>
    <row r="50" spans="1:105">
      <c r="A50" s="202" t="str">
        <f>Income!A81</f>
        <v>Self - employment</v>
      </c>
      <c r="F50" s="211">
        <f t="shared" ref="F50:AK50" si="60">IF(F$22&lt;=$E$24,IF(F$22&lt;=$D$24,IF(F$22&lt;=$C$24,IF(F$22&lt;=$B$24,$B116,($C33-$B33)/($C$24-$B$24)),($D33-$C33)/($D$24-$C$24)),($E33-$D33)/($E$24-$D$24)),$F116)</f>
        <v>0</v>
      </c>
      <c r="G50" s="211">
        <f t="shared" si="60"/>
        <v>0</v>
      </c>
      <c r="H50" s="211">
        <f t="shared" si="60"/>
        <v>0</v>
      </c>
      <c r="I50" s="211">
        <f t="shared" si="60"/>
        <v>0</v>
      </c>
      <c r="J50" s="211">
        <f t="shared" si="60"/>
        <v>0</v>
      </c>
      <c r="K50" s="211">
        <f t="shared" si="60"/>
        <v>0</v>
      </c>
      <c r="L50" s="211">
        <f t="shared" si="60"/>
        <v>0</v>
      </c>
      <c r="M50" s="211">
        <f t="shared" si="60"/>
        <v>0</v>
      </c>
      <c r="N50" s="211">
        <f t="shared" si="60"/>
        <v>0</v>
      </c>
      <c r="O50" s="211">
        <f t="shared" si="60"/>
        <v>0</v>
      </c>
      <c r="P50" s="211">
        <f t="shared" si="60"/>
        <v>0</v>
      </c>
      <c r="Q50" s="211">
        <f t="shared" si="60"/>
        <v>0</v>
      </c>
      <c r="R50" s="211">
        <f t="shared" si="60"/>
        <v>0</v>
      </c>
      <c r="S50" s="211">
        <f t="shared" si="60"/>
        <v>0</v>
      </c>
      <c r="T50" s="211">
        <f t="shared" si="60"/>
        <v>0</v>
      </c>
      <c r="U50" s="211">
        <f t="shared" si="60"/>
        <v>0</v>
      </c>
      <c r="V50" s="211">
        <f t="shared" si="60"/>
        <v>0</v>
      </c>
      <c r="W50" s="211">
        <f t="shared" si="60"/>
        <v>0</v>
      </c>
      <c r="X50" s="211">
        <f t="shared" si="60"/>
        <v>0</v>
      </c>
      <c r="Y50" s="211">
        <f t="shared" si="60"/>
        <v>0</v>
      </c>
      <c r="Z50" s="211">
        <f t="shared" si="60"/>
        <v>0</v>
      </c>
      <c r="AA50" s="211">
        <f t="shared" si="60"/>
        <v>0</v>
      </c>
      <c r="AB50" s="211">
        <f t="shared" si="60"/>
        <v>0</v>
      </c>
      <c r="AC50" s="211">
        <f t="shared" si="60"/>
        <v>0</v>
      </c>
      <c r="AD50" s="211">
        <f t="shared" si="60"/>
        <v>0</v>
      </c>
      <c r="AE50" s="211">
        <f t="shared" si="60"/>
        <v>0</v>
      </c>
      <c r="AF50" s="211">
        <f t="shared" si="60"/>
        <v>0</v>
      </c>
      <c r="AG50" s="211">
        <f t="shared" si="60"/>
        <v>0</v>
      </c>
      <c r="AH50" s="211">
        <f t="shared" si="60"/>
        <v>0</v>
      </c>
      <c r="AI50" s="211">
        <f t="shared" si="60"/>
        <v>0</v>
      </c>
      <c r="AJ50" s="211">
        <f t="shared" si="60"/>
        <v>0</v>
      </c>
      <c r="AK50" s="211">
        <f t="shared" si="60"/>
        <v>0</v>
      </c>
      <c r="AL50" s="211">
        <f t="shared" ref="AL50:BQ50" si="61">IF(AL$22&lt;=$E$24,IF(AL$22&lt;=$D$24,IF(AL$22&lt;=$C$24,IF(AL$22&lt;=$B$24,$B116,($C33-$B33)/($C$24-$B$24)),($D33-$C33)/($D$24-$C$24)),($E33-$D33)/($E$24-$D$24)),$F116)</f>
        <v>0</v>
      </c>
      <c r="AM50" s="211">
        <f t="shared" si="61"/>
        <v>0</v>
      </c>
      <c r="AN50" s="211">
        <f t="shared" si="61"/>
        <v>0</v>
      </c>
      <c r="AO50" s="211">
        <f t="shared" si="61"/>
        <v>0</v>
      </c>
      <c r="AP50" s="211">
        <f t="shared" si="61"/>
        <v>0</v>
      </c>
      <c r="AQ50" s="211">
        <f t="shared" si="61"/>
        <v>0</v>
      </c>
      <c r="AR50" s="211">
        <f t="shared" si="61"/>
        <v>0</v>
      </c>
      <c r="AS50" s="211">
        <f t="shared" si="61"/>
        <v>0</v>
      </c>
      <c r="AT50" s="211">
        <f t="shared" si="61"/>
        <v>0</v>
      </c>
      <c r="AU50" s="211">
        <f t="shared" si="61"/>
        <v>0</v>
      </c>
      <c r="AV50" s="211">
        <f t="shared" si="61"/>
        <v>0</v>
      </c>
      <c r="AW50" s="211">
        <f t="shared" si="61"/>
        <v>0</v>
      </c>
      <c r="AX50" s="211">
        <f t="shared" si="61"/>
        <v>0</v>
      </c>
      <c r="AY50" s="211">
        <f t="shared" si="61"/>
        <v>0</v>
      </c>
      <c r="AZ50" s="211">
        <f t="shared" si="61"/>
        <v>0</v>
      </c>
      <c r="BA50" s="211">
        <f t="shared" si="61"/>
        <v>0</v>
      </c>
      <c r="BB50" s="211">
        <f t="shared" si="61"/>
        <v>0</v>
      </c>
      <c r="BC50" s="211">
        <f t="shared" si="61"/>
        <v>0</v>
      </c>
      <c r="BD50" s="211">
        <f t="shared" si="61"/>
        <v>0</v>
      </c>
      <c r="BE50" s="211">
        <f t="shared" si="61"/>
        <v>0</v>
      </c>
      <c r="BF50" s="211">
        <f t="shared" si="61"/>
        <v>0</v>
      </c>
      <c r="BG50" s="211">
        <f t="shared" si="61"/>
        <v>0</v>
      </c>
      <c r="BH50" s="211">
        <f t="shared" si="61"/>
        <v>0</v>
      </c>
      <c r="BI50" s="211">
        <f t="shared" si="61"/>
        <v>0</v>
      </c>
      <c r="BJ50" s="211">
        <f t="shared" si="61"/>
        <v>0</v>
      </c>
      <c r="BK50" s="211">
        <f t="shared" si="61"/>
        <v>0</v>
      </c>
      <c r="BL50" s="211">
        <f t="shared" si="61"/>
        <v>0</v>
      </c>
      <c r="BM50" s="211">
        <f t="shared" si="61"/>
        <v>0</v>
      </c>
      <c r="BN50" s="211">
        <f t="shared" si="61"/>
        <v>0</v>
      </c>
      <c r="BO50" s="211">
        <f t="shared" si="61"/>
        <v>0</v>
      </c>
      <c r="BP50" s="211">
        <f t="shared" si="61"/>
        <v>0</v>
      </c>
      <c r="BQ50" s="211">
        <f t="shared" si="61"/>
        <v>0</v>
      </c>
      <c r="BR50" s="211">
        <f t="shared" ref="BR50:DA50" si="62">IF(BR$22&lt;=$E$24,IF(BR$22&lt;=$D$24,IF(BR$22&lt;=$C$24,IF(BR$22&lt;=$B$24,$B116,($C33-$B33)/($C$24-$B$24)),($D33-$C33)/($D$24-$C$24)),($E33-$D33)/($E$24-$D$24)),$F116)</f>
        <v>0</v>
      </c>
      <c r="BS50" s="211">
        <f t="shared" si="62"/>
        <v>0</v>
      </c>
      <c r="BT50" s="211">
        <f t="shared" si="62"/>
        <v>0</v>
      </c>
      <c r="BU50" s="211">
        <f t="shared" si="62"/>
        <v>0</v>
      </c>
      <c r="BV50" s="211">
        <f t="shared" si="62"/>
        <v>0</v>
      </c>
      <c r="BW50" s="211">
        <f t="shared" si="62"/>
        <v>0</v>
      </c>
      <c r="BX50" s="211">
        <f t="shared" si="62"/>
        <v>0</v>
      </c>
      <c r="BY50" s="211">
        <f t="shared" si="62"/>
        <v>0</v>
      </c>
      <c r="BZ50" s="211">
        <f t="shared" si="62"/>
        <v>0</v>
      </c>
      <c r="CA50" s="211">
        <f t="shared" si="62"/>
        <v>0</v>
      </c>
      <c r="CB50" s="211">
        <f t="shared" si="62"/>
        <v>0</v>
      </c>
      <c r="CC50" s="211">
        <f t="shared" si="62"/>
        <v>0</v>
      </c>
      <c r="CD50" s="211">
        <f t="shared" si="62"/>
        <v>0</v>
      </c>
      <c r="CE50" s="211">
        <f t="shared" si="62"/>
        <v>0</v>
      </c>
      <c r="CF50" s="211">
        <f t="shared" si="62"/>
        <v>0</v>
      </c>
      <c r="CG50" s="211">
        <f t="shared" si="62"/>
        <v>0</v>
      </c>
      <c r="CH50" s="211">
        <f t="shared" si="62"/>
        <v>0</v>
      </c>
      <c r="CI50" s="211">
        <f t="shared" si="62"/>
        <v>0</v>
      </c>
      <c r="CJ50" s="211">
        <f t="shared" si="62"/>
        <v>0</v>
      </c>
      <c r="CK50" s="211">
        <f t="shared" si="62"/>
        <v>0</v>
      </c>
      <c r="CL50" s="211">
        <f t="shared" si="62"/>
        <v>0</v>
      </c>
      <c r="CM50" s="211">
        <f t="shared" si="62"/>
        <v>0</v>
      </c>
      <c r="CN50" s="211">
        <f t="shared" si="62"/>
        <v>0</v>
      </c>
      <c r="CO50" s="211">
        <f t="shared" si="62"/>
        <v>0</v>
      </c>
      <c r="CP50" s="211">
        <f t="shared" si="62"/>
        <v>0</v>
      </c>
      <c r="CQ50" s="211">
        <f t="shared" si="62"/>
        <v>0</v>
      </c>
      <c r="CR50" s="211">
        <f t="shared" si="62"/>
        <v>0</v>
      </c>
      <c r="CS50" s="211">
        <f t="shared" si="62"/>
        <v>0</v>
      </c>
      <c r="CT50" s="211">
        <f t="shared" si="62"/>
        <v>0</v>
      </c>
      <c r="CU50" s="211">
        <f t="shared" si="62"/>
        <v>0</v>
      </c>
      <c r="CV50" s="211">
        <f t="shared" si="62"/>
        <v>0</v>
      </c>
      <c r="CW50" s="211">
        <f t="shared" si="62"/>
        <v>0</v>
      </c>
      <c r="CX50" s="211">
        <f t="shared" si="62"/>
        <v>0</v>
      </c>
      <c r="CY50" s="211">
        <f t="shared" si="62"/>
        <v>0</v>
      </c>
      <c r="CZ50" s="211">
        <f t="shared" si="62"/>
        <v>0</v>
      </c>
      <c r="DA50" s="211">
        <f t="shared" si="62"/>
        <v>0</v>
      </c>
    </row>
    <row r="51" spans="1:105">
      <c r="A51" s="202" t="str">
        <f>Income!A82</f>
        <v>Small business/petty trading</v>
      </c>
      <c r="F51" s="211">
        <f t="shared" ref="F51:AK51" si="63">IF(F$22&lt;=$E$24,IF(F$22&lt;=$D$24,IF(F$22&lt;=$C$24,IF(F$22&lt;=$B$24,$B117,($C34-$B34)/($C$24-$B$24)),($D34-$C34)/($D$24-$C$24)),($E34-$D34)/($E$24-$D$24)),$F117)</f>
        <v>0</v>
      </c>
      <c r="G51" s="211">
        <f t="shared" si="63"/>
        <v>0</v>
      </c>
      <c r="H51" s="211">
        <f t="shared" si="63"/>
        <v>0</v>
      </c>
      <c r="I51" s="211">
        <f t="shared" si="63"/>
        <v>0</v>
      </c>
      <c r="J51" s="211">
        <f t="shared" si="63"/>
        <v>0</v>
      </c>
      <c r="K51" s="211">
        <f t="shared" si="63"/>
        <v>0</v>
      </c>
      <c r="L51" s="211">
        <f t="shared" si="63"/>
        <v>0</v>
      </c>
      <c r="M51" s="211">
        <f t="shared" si="63"/>
        <v>0</v>
      </c>
      <c r="N51" s="211">
        <f t="shared" si="63"/>
        <v>0</v>
      </c>
      <c r="O51" s="211">
        <f t="shared" si="63"/>
        <v>0</v>
      </c>
      <c r="P51" s="211">
        <f t="shared" si="63"/>
        <v>0</v>
      </c>
      <c r="Q51" s="211">
        <f t="shared" si="63"/>
        <v>0</v>
      </c>
      <c r="R51" s="211">
        <f t="shared" si="63"/>
        <v>0</v>
      </c>
      <c r="S51" s="211">
        <f t="shared" si="63"/>
        <v>0</v>
      </c>
      <c r="T51" s="211">
        <f t="shared" si="63"/>
        <v>0</v>
      </c>
      <c r="U51" s="211">
        <f t="shared" si="63"/>
        <v>0</v>
      </c>
      <c r="V51" s="211">
        <f t="shared" si="63"/>
        <v>0</v>
      </c>
      <c r="W51" s="211">
        <f t="shared" si="63"/>
        <v>0</v>
      </c>
      <c r="X51" s="211">
        <f t="shared" si="63"/>
        <v>0</v>
      </c>
      <c r="Y51" s="211">
        <f t="shared" si="63"/>
        <v>0</v>
      </c>
      <c r="Z51" s="211">
        <f t="shared" si="63"/>
        <v>0</v>
      </c>
      <c r="AA51" s="211">
        <f t="shared" si="63"/>
        <v>104.84167858353794</v>
      </c>
      <c r="AB51" s="211">
        <f t="shared" si="63"/>
        <v>104.84167858353794</v>
      </c>
      <c r="AC51" s="211">
        <f t="shared" si="63"/>
        <v>104.84167858353794</v>
      </c>
      <c r="AD51" s="211">
        <f t="shared" si="63"/>
        <v>104.84167858353794</v>
      </c>
      <c r="AE51" s="211">
        <f t="shared" si="63"/>
        <v>104.84167858353794</v>
      </c>
      <c r="AF51" s="211">
        <f t="shared" si="63"/>
        <v>104.84167858353794</v>
      </c>
      <c r="AG51" s="211">
        <f t="shared" si="63"/>
        <v>104.84167858353794</v>
      </c>
      <c r="AH51" s="211">
        <f t="shared" si="63"/>
        <v>104.84167858353794</v>
      </c>
      <c r="AI51" s="211">
        <f t="shared" si="63"/>
        <v>104.84167858353794</v>
      </c>
      <c r="AJ51" s="211">
        <f t="shared" si="63"/>
        <v>104.84167858353794</v>
      </c>
      <c r="AK51" s="211">
        <f t="shared" si="63"/>
        <v>104.84167858353794</v>
      </c>
      <c r="AL51" s="211">
        <f t="shared" ref="AL51:BQ51" si="64">IF(AL$22&lt;=$E$24,IF(AL$22&lt;=$D$24,IF(AL$22&lt;=$C$24,IF(AL$22&lt;=$B$24,$B117,($C34-$B34)/($C$24-$B$24)),($D34-$C34)/($D$24-$C$24)),($E34-$D34)/($E$24-$D$24)),$F117)</f>
        <v>104.84167858353794</v>
      </c>
      <c r="AM51" s="211">
        <f t="shared" si="64"/>
        <v>104.84167858353794</v>
      </c>
      <c r="AN51" s="211">
        <f t="shared" si="64"/>
        <v>104.84167858353794</v>
      </c>
      <c r="AO51" s="211">
        <f t="shared" si="64"/>
        <v>104.84167858353794</v>
      </c>
      <c r="AP51" s="211">
        <f t="shared" si="64"/>
        <v>104.84167858353794</v>
      </c>
      <c r="AQ51" s="211">
        <f t="shared" si="64"/>
        <v>104.84167858353794</v>
      </c>
      <c r="AR51" s="211">
        <f t="shared" si="64"/>
        <v>104.84167858353794</v>
      </c>
      <c r="AS51" s="211">
        <f t="shared" si="64"/>
        <v>104.84167858353794</v>
      </c>
      <c r="AT51" s="211">
        <f t="shared" si="64"/>
        <v>104.84167858353794</v>
      </c>
      <c r="AU51" s="211">
        <f t="shared" si="64"/>
        <v>104.84167858353794</v>
      </c>
      <c r="AV51" s="211">
        <f t="shared" si="64"/>
        <v>104.84167858353794</v>
      </c>
      <c r="AW51" s="211">
        <f t="shared" si="64"/>
        <v>104.84167858353794</v>
      </c>
      <c r="AX51" s="211">
        <f t="shared" si="64"/>
        <v>104.84167858353794</v>
      </c>
      <c r="AY51" s="211">
        <f t="shared" si="64"/>
        <v>104.84167858353794</v>
      </c>
      <c r="AZ51" s="211">
        <f t="shared" si="64"/>
        <v>104.84167858353794</v>
      </c>
      <c r="BA51" s="211">
        <f t="shared" si="64"/>
        <v>104.84167858353794</v>
      </c>
      <c r="BB51" s="211">
        <f t="shared" si="64"/>
        <v>104.84167858353794</v>
      </c>
      <c r="BC51" s="211">
        <f t="shared" si="64"/>
        <v>104.84167858353794</v>
      </c>
      <c r="BD51" s="211">
        <f t="shared" si="64"/>
        <v>104.84167858353794</v>
      </c>
      <c r="BE51" s="211">
        <f t="shared" si="64"/>
        <v>104.84167858353794</v>
      </c>
      <c r="BF51" s="211">
        <f t="shared" si="64"/>
        <v>104.84167858353794</v>
      </c>
      <c r="BG51" s="211">
        <f t="shared" si="64"/>
        <v>104.84167858353794</v>
      </c>
      <c r="BH51" s="211">
        <f t="shared" si="64"/>
        <v>104.84167858353794</v>
      </c>
      <c r="BI51" s="211">
        <f t="shared" si="64"/>
        <v>104.84167858353794</v>
      </c>
      <c r="BJ51" s="211">
        <f t="shared" si="64"/>
        <v>104.84167858353794</v>
      </c>
      <c r="BK51" s="211">
        <f t="shared" si="64"/>
        <v>104.84167858353794</v>
      </c>
      <c r="BL51" s="211">
        <f t="shared" si="64"/>
        <v>104.84167858353794</v>
      </c>
      <c r="BM51" s="211">
        <f t="shared" si="64"/>
        <v>104.84167858353794</v>
      </c>
      <c r="BN51" s="211">
        <f t="shared" si="64"/>
        <v>-138.04154346832496</v>
      </c>
      <c r="BO51" s="211">
        <f t="shared" si="64"/>
        <v>-138.04154346832496</v>
      </c>
      <c r="BP51" s="211">
        <f t="shared" si="64"/>
        <v>-138.04154346832496</v>
      </c>
      <c r="BQ51" s="211">
        <f t="shared" si="64"/>
        <v>-138.04154346832496</v>
      </c>
      <c r="BR51" s="211">
        <f t="shared" ref="BR51:DA51" si="65">IF(BR$22&lt;=$E$24,IF(BR$22&lt;=$D$24,IF(BR$22&lt;=$C$24,IF(BR$22&lt;=$B$24,$B117,($C34-$B34)/($C$24-$B$24)),($D34-$C34)/($D$24-$C$24)),($E34-$D34)/($E$24-$D$24)),$F117)</f>
        <v>-138.04154346832496</v>
      </c>
      <c r="BS51" s="211">
        <f t="shared" si="65"/>
        <v>-138.04154346832496</v>
      </c>
      <c r="BT51" s="211">
        <f t="shared" si="65"/>
        <v>-138.04154346832496</v>
      </c>
      <c r="BU51" s="211">
        <f t="shared" si="65"/>
        <v>-138.04154346832496</v>
      </c>
      <c r="BV51" s="211">
        <f t="shared" si="65"/>
        <v>-138.04154346832496</v>
      </c>
      <c r="BW51" s="211">
        <f t="shared" si="65"/>
        <v>-138.04154346832496</v>
      </c>
      <c r="BX51" s="211">
        <f t="shared" si="65"/>
        <v>-138.04154346832496</v>
      </c>
      <c r="BY51" s="211">
        <f t="shared" si="65"/>
        <v>-138.04154346832496</v>
      </c>
      <c r="BZ51" s="211">
        <f t="shared" si="65"/>
        <v>-138.04154346832496</v>
      </c>
      <c r="CA51" s="211">
        <f t="shared" si="65"/>
        <v>-138.04154346832496</v>
      </c>
      <c r="CB51" s="211">
        <f t="shared" si="65"/>
        <v>-138.04154346832496</v>
      </c>
      <c r="CC51" s="211">
        <f t="shared" si="65"/>
        <v>-138.04154346832496</v>
      </c>
      <c r="CD51" s="211">
        <f t="shared" si="65"/>
        <v>-138.04154346832496</v>
      </c>
      <c r="CE51" s="211">
        <f t="shared" si="65"/>
        <v>-138.04154346832496</v>
      </c>
      <c r="CF51" s="211">
        <f t="shared" si="65"/>
        <v>-138.04154346832496</v>
      </c>
      <c r="CG51" s="211">
        <f t="shared" si="65"/>
        <v>-138.04154346832496</v>
      </c>
      <c r="CH51" s="211">
        <f t="shared" si="65"/>
        <v>-138.04154346832496</v>
      </c>
      <c r="CI51" s="211">
        <f t="shared" si="65"/>
        <v>-138.04154346832496</v>
      </c>
      <c r="CJ51" s="211">
        <f t="shared" si="65"/>
        <v>-138.04154346832496</v>
      </c>
      <c r="CK51" s="211">
        <f t="shared" si="65"/>
        <v>-138.04154346832496</v>
      </c>
      <c r="CL51" s="211">
        <f t="shared" si="65"/>
        <v>-138.04154346832496</v>
      </c>
      <c r="CM51" s="211">
        <f t="shared" si="65"/>
        <v>-138.04154346832496</v>
      </c>
      <c r="CN51" s="211">
        <f t="shared" si="65"/>
        <v>-138.04154346832496</v>
      </c>
      <c r="CO51" s="211">
        <f t="shared" si="65"/>
        <v>-138.04154346832496</v>
      </c>
      <c r="CP51" s="211">
        <f t="shared" si="65"/>
        <v>-138.04154346832496</v>
      </c>
      <c r="CQ51" s="211">
        <f t="shared" si="65"/>
        <v>-138.04154346832496</v>
      </c>
      <c r="CR51" s="211">
        <f t="shared" si="65"/>
        <v>0</v>
      </c>
      <c r="CS51" s="211">
        <f t="shared" si="65"/>
        <v>0</v>
      </c>
      <c r="CT51" s="211">
        <f t="shared" si="65"/>
        <v>0</v>
      </c>
      <c r="CU51" s="211">
        <f t="shared" si="65"/>
        <v>0</v>
      </c>
      <c r="CV51" s="211">
        <f t="shared" si="65"/>
        <v>0</v>
      </c>
      <c r="CW51" s="211">
        <f t="shared" si="65"/>
        <v>0</v>
      </c>
      <c r="CX51" s="211">
        <f t="shared" si="65"/>
        <v>0</v>
      </c>
      <c r="CY51" s="211">
        <f t="shared" si="65"/>
        <v>0</v>
      </c>
      <c r="CZ51" s="211">
        <f t="shared" si="65"/>
        <v>0</v>
      </c>
      <c r="DA51" s="211">
        <f t="shared" si="65"/>
        <v>0</v>
      </c>
    </row>
    <row r="52" spans="1:105">
      <c r="A52" s="202" t="str">
        <f>Income!A83</f>
        <v>Food transfer - official</v>
      </c>
      <c r="F52" s="211">
        <f t="shared" ref="F52:AK52" si="66">IF(F$22&lt;=$E$24,IF(F$22&lt;=$D$24,IF(F$22&lt;=$C$24,IF(F$22&lt;=$B$24,$B118,($C35-$B35)/($C$24-$B$24)),($D35-$C35)/($D$24-$C$24)),($E35-$D35)/($E$24-$D$24)),$F118)</f>
        <v>0</v>
      </c>
      <c r="G52" s="211">
        <f t="shared" si="66"/>
        <v>0</v>
      </c>
      <c r="H52" s="211">
        <f t="shared" si="66"/>
        <v>0</v>
      </c>
      <c r="I52" s="211">
        <f t="shared" si="66"/>
        <v>0</v>
      </c>
      <c r="J52" s="211">
        <f t="shared" si="66"/>
        <v>0</v>
      </c>
      <c r="K52" s="211">
        <f t="shared" si="66"/>
        <v>0</v>
      </c>
      <c r="L52" s="211">
        <f t="shared" si="66"/>
        <v>0</v>
      </c>
      <c r="M52" s="211">
        <f t="shared" si="66"/>
        <v>0</v>
      </c>
      <c r="N52" s="211">
        <f t="shared" si="66"/>
        <v>0</v>
      </c>
      <c r="O52" s="211">
        <f t="shared" si="66"/>
        <v>0</v>
      </c>
      <c r="P52" s="211">
        <f t="shared" si="66"/>
        <v>0</v>
      </c>
      <c r="Q52" s="211">
        <f t="shared" si="66"/>
        <v>0</v>
      </c>
      <c r="R52" s="211">
        <f t="shared" si="66"/>
        <v>0</v>
      </c>
      <c r="S52" s="211">
        <f t="shared" si="66"/>
        <v>0</v>
      </c>
      <c r="T52" s="211">
        <f t="shared" si="66"/>
        <v>0</v>
      </c>
      <c r="U52" s="211">
        <f t="shared" si="66"/>
        <v>0</v>
      </c>
      <c r="V52" s="211">
        <f t="shared" si="66"/>
        <v>0</v>
      </c>
      <c r="W52" s="211">
        <f t="shared" si="66"/>
        <v>0</v>
      </c>
      <c r="X52" s="211">
        <f t="shared" si="66"/>
        <v>0</v>
      </c>
      <c r="Y52" s="211">
        <f t="shared" si="66"/>
        <v>0</v>
      </c>
      <c r="Z52" s="211">
        <f t="shared" si="66"/>
        <v>0</v>
      </c>
      <c r="AA52" s="211">
        <f t="shared" si="66"/>
        <v>-5.7562955808413179E-15</v>
      </c>
      <c r="AB52" s="211">
        <f t="shared" si="66"/>
        <v>-5.7562955808413179E-15</v>
      </c>
      <c r="AC52" s="211">
        <f t="shared" si="66"/>
        <v>-5.7562955808413179E-15</v>
      </c>
      <c r="AD52" s="211">
        <f t="shared" si="66"/>
        <v>-5.7562955808413179E-15</v>
      </c>
      <c r="AE52" s="211">
        <f t="shared" si="66"/>
        <v>-5.7562955808413179E-15</v>
      </c>
      <c r="AF52" s="211">
        <f t="shared" si="66"/>
        <v>-5.7562955808413179E-15</v>
      </c>
      <c r="AG52" s="211">
        <f t="shared" si="66"/>
        <v>-5.7562955808413179E-15</v>
      </c>
      <c r="AH52" s="211">
        <f t="shared" si="66"/>
        <v>-5.7562955808413179E-15</v>
      </c>
      <c r="AI52" s="211">
        <f t="shared" si="66"/>
        <v>-5.7562955808413179E-15</v>
      </c>
      <c r="AJ52" s="211">
        <f t="shared" si="66"/>
        <v>-5.7562955808413179E-15</v>
      </c>
      <c r="AK52" s="211">
        <f t="shared" si="66"/>
        <v>-5.7562955808413179E-15</v>
      </c>
      <c r="AL52" s="211">
        <f t="shared" ref="AL52:BQ52" si="67">IF(AL$22&lt;=$E$24,IF(AL$22&lt;=$D$24,IF(AL$22&lt;=$C$24,IF(AL$22&lt;=$B$24,$B118,($C35-$B35)/($C$24-$B$24)),($D35-$C35)/($D$24-$C$24)),($E35-$D35)/($E$24-$D$24)),$F118)</f>
        <v>-5.7562955808413179E-15</v>
      </c>
      <c r="AM52" s="211">
        <f t="shared" si="67"/>
        <v>-5.7562955808413179E-15</v>
      </c>
      <c r="AN52" s="211">
        <f t="shared" si="67"/>
        <v>-5.7562955808413179E-15</v>
      </c>
      <c r="AO52" s="211">
        <f t="shared" si="67"/>
        <v>-5.7562955808413179E-15</v>
      </c>
      <c r="AP52" s="211">
        <f t="shared" si="67"/>
        <v>-5.7562955808413179E-15</v>
      </c>
      <c r="AQ52" s="211">
        <f t="shared" si="67"/>
        <v>-5.7562955808413179E-15</v>
      </c>
      <c r="AR52" s="211">
        <f t="shared" si="67"/>
        <v>-5.7562955808413179E-15</v>
      </c>
      <c r="AS52" s="211">
        <f t="shared" si="67"/>
        <v>-5.7562955808413179E-15</v>
      </c>
      <c r="AT52" s="211">
        <f t="shared" si="67"/>
        <v>-5.7562955808413179E-15</v>
      </c>
      <c r="AU52" s="211">
        <f t="shared" si="67"/>
        <v>-5.7562955808413179E-15</v>
      </c>
      <c r="AV52" s="211">
        <f t="shared" si="67"/>
        <v>-5.7562955808413179E-15</v>
      </c>
      <c r="AW52" s="211">
        <f t="shared" si="67"/>
        <v>-5.7562955808413179E-15</v>
      </c>
      <c r="AX52" s="211">
        <f t="shared" si="67"/>
        <v>-5.7562955808413179E-15</v>
      </c>
      <c r="AY52" s="211">
        <f t="shared" si="67"/>
        <v>-5.7562955808413179E-15</v>
      </c>
      <c r="AZ52" s="211">
        <f t="shared" si="67"/>
        <v>-5.7562955808413179E-15</v>
      </c>
      <c r="BA52" s="211">
        <f t="shared" si="67"/>
        <v>-5.7562955808413179E-15</v>
      </c>
      <c r="BB52" s="211">
        <f t="shared" si="67"/>
        <v>-5.7562955808413179E-15</v>
      </c>
      <c r="BC52" s="211">
        <f t="shared" si="67"/>
        <v>-5.7562955808413179E-15</v>
      </c>
      <c r="BD52" s="211">
        <f t="shared" si="67"/>
        <v>-5.7562955808413179E-15</v>
      </c>
      <c r="BE52" s="211">
        <f t="shared" si="67"/>
        <v>-5.7562955808413179E-15</v>
      </c>
      <c r="BF52" s="211">
        <f t="shared" si="67"/>
        <v>-5.7562955808413179E-15</v>
      </c>
      <c r="BG52" s="211">
        <f t="shared" si="67"/>
        <v>-5.7562955808413179E-15</v>
      </c>
      <c r="BH52" s="211">
        <f t="shared" si="67"/>
        <v>-5.7562955808413179E-15</v>
      </c>
      <c r="BI52" s="211">
        <f t="shared" si="67"/>
        <v>-5.7562955808413179E-15</v>
      </c>
      <c r="BJ52" s="211">
        <f t="shared" si="67"/>
        <v>-5.7562955808413179E-15</v>
      </c>
      <c r="BK52" s="211">
        <f t="shared" si="67"/>
        <v>-5.7562955808413179E-15</v>
      </c>
      <c r="BL52" s="211">
        <f t="shared" si="67"/>
        <v>-5.7562955808413179E-15</v>
      </c>
      <c r="BM52" s="211">
        <f t="shared" si="67"/>
        <v>-5.7562955808413179E-15</v>
      </c>
      <c r="BN52" s="211">
        <f t="shared" si="67"/>
        <v>-5.804287214248105</v>
      </c>
      <c r="BO52" s="211">
        <f t="shared" si="67"/>
        <v>-5.804287214248105</v>
      </c>
      <c r="BP52" s="211">
        <f t="shared" si="67"/>
        <v>-5.804287214248105</v>
      </c>
      <c r="BQ52" s="211">
        <f t="shared" si="67"/>
        <v>-5.804287214248105</v>
      </c>
      <c r="BR52" s="211">
        <f t="shared" ref="BR52:DA52" si="68">IF(BR$22&lt;=$E$24,IF(BR$22&lt;=$D$24,IF(BR$22&lt;=$C$24,IF(BR$22&lt;=$B$24,$B118,($C35-$B35)/($C$24-$B$24)),($D35-$C35)/($D$24-$C$24)),($E35-$D35)/($E$24-$D$24)),$F118)</f>
        <v>-5.804287214248105</v>
      </c>
      <c r="BS52" s="211">
        <f t="shared" si="68"/>
        <v>-5.804287214248105</v>
      </c>
      <c r="BT52" s="211">
        <f t="shared" si="68"/>
        <v>-5.804287214248105</v>
      </c>
      <c r="BU52" s="211">
        <f t="shared" si="68"/>
        <v>-5.804287214248105</v>
      </c>
      <c r="BV52" s="211">
        <f t="shared" si="68"/>
        <v>-5.804287214248105</v>
      </c>
      <c r="BW52" s="211">
        <f t="shared" si="68"/>
        <v>-5.804287214248105</v>
      </c>
      <c r="BX52" s="211">
        <f t="shared" si="68"/>
        <v>-5.804287214248105</v>
      </c>
      <c r="BY52" s="211">
        <f t="shared" si="68"/>
        <v>-5.804287214248105</v>
      </c>
      <c r="BZ52" s="211">
        <f t="shared" si="68"/>
        <v>-5.804287214248105</v>
      </c>
      <c r="CA52" s="211">
        <f t="shared" si="68"/>
        <v>-5.804287214248105</v>
      </c>
      <c r="CB52" s="211">
        <f t="shared" si="68"/>
        <v>-5.804287214248105</v>
      </c>
      <c r="CC52" s="211">
        <f t="shared" si="68"/>
        <v>-5.804287214248105</v>
      </c>
      <c r="CD52" s="211">
        <f t="shared" si="68"/>
        <v>-5.804287214248105</v>
      </c>
      <c r="CE52" s="211">
        <f t="shared" si="68"/>
        <v>-5.804287214248105</v>
      </c>
      <c r="CF52" s="211">
        <f t="shared" si="68"/>
        <v>-5.804287214248105</v>
      </c>
      <c r="CG52" s="211">
        <f t="shared" si="68"/>
        <v>-5.804287214248105</v>
      </c>
      <c r="CH52" s="211">
        <f t="shared" si="68"/>
        <v>-5.804287214248105</v>
      </c>
      <c r="CI52" s="211">
        <f t="shared" si="68"/>
        <v>-5.804287214248105</v>
      </c>
      <c r="CJ52" s="211">
        <f t="shared" si="68"/>
        <v>-5.804287214248105</v>
      </c>
      <c r="CK52" s="211">
        <f t="shared" si="68"/>
        <v>-5.804287214248105</v>
      </c>
      <c r="CL52" s="211">
        <f t="shared" si="68"/>
        <v>-5.804287214248105</v>
      </c>
      <c r="CM52" s="211">
        <f t="shared" si="68"/>
        <v>-5.804287214248105</v>
      </c>
      <c r="CN52" s="211">
        <f t="shared" si="68"/>
        <v>-5.804287214248105</v>
      </c>
      <c r="CO52" s="211">
        <f t="shared" si="68"/>
        <v>-5.804287214248105</v>
      </c>
      <c r="CP52" s="211">
        <f t="shared" si="68"/>
        <v>-5.804287214248105</v>
      </c>
      <c r="CQ52" s="211">
        <f t="shared" si="68"/>
        <v>-5.804287214248105</v>
      </c>
      <c r="CR52" s="211">
        <f t="shared" si="68"/>
        <v>-176.89256271994208</v>
      </c>
      <c r="CS52" s="211">
        <f t="shared" si="68"/>
        <v>-176.89256271994208</v>
      </c>
      <c r="CT52" s="211">
        <f t="shared" si="68"/>
        <v>-176.89256271994208</v>
      </c>
      <c r="CU52" s="211">
        <f t="shared" si="68"/>
        <v>-176.89256271994208</v>
      </c>
      <c r="CV52" s="211">
        <f t="shared" si="68"/>
        <v>-176.89256271994208</v>
      </c>
      <c r="CW52" s="211">
        <f t="shared" si="68"/>
        <v>-176.89256271994208</v>
      </c>
      <c r="CX52" s="211">
        <f t="shared" si="68"/>
        <v>-176.89256271994208</v>
      </c>
      <c r="CY52" s="211">
        <f t="shared" si="68"/>
        <v>-176.89256271994208</v>
      </c>
      <c r="CZ52" s="211">
        <f t="shared" si="68"/>
        <v>-176.89256271994208</v>
      </c>
      <c r="DA52" s="211">
        <f t="shared" si="68"/>
        <v>-176.89256271994208</v>
      </c>
    </row>
    <row r="53" spans="1:105">
      <c r="A53" s="202" t="str">
        <f>Income!A85</f>
        <v>Cash transfer - official</v>
      </c>
      <c r="F53" s="211">
        <f t="shared" ref="F53:AK53" si="69">IF(F$22&lt;=$E$24,IF(F$22&lt;=$D$24,IF(F$22&lt;=$C$24,IF(F$22&lt;=$B$24,$B119,($C36-$B36)/($C$24-$B$24)),($D36-$C36)/($D$24-$C$24)),($E36-$D36)/($E$24-$D$24)),$F119)</f>
        <v>0</v>
      </c>
      <c r="G53" s="211">
        <f t="shared" si="69"/>
        <v>0</v>
      </c>
      <c r="H53" s="211">
        <f t="shared" si="69"/>
        <v>0</v>
      </c>
      <c r="I53" s="211">
        <f t="shared" si="69"/>
        <v>0</v>
      </c>
      <c r="J53" s="211">
        <f t="shared" si="69"/>
        <v>0</v>
      </c>
      <c r="K53" s="211">
        <f t="shared" si="69"/>
        <v>0</v>
      </c>
      <c r="L53" s="211">
        <f t="shared" si="69"/>
        <v>0</v>
      </c>
      <c r="M53" s="211">
        <f t="shared" si="69"/>
        <v>0</v>
      </c>
      <c r="N53" s="211">
        <f t="shared" si="69"/>
        <v>0</v>
      </c>
      <c r="O53" s="211">
        <f t="shared" si="69"/>
        <v>0</v>
      </c>
      <c r="P53" s="211">
        <f t="shared" si="69"/>
        <v>0</v>
      </c>
      <c r="Q53" s="211">
        <f t="shared" si="69"/>
        <v>0</v>
      </c>
      <c r="R53" s="211">
        <f t="shared" si="69"/>
        <v>0</v>
      </c>
      <c r="S53" s="211">
        <f t="shared" si="69"/>
        <v>0</v>
      </c>
      <c r="T53" s="211">
        <f t="shared" si="69"/>
        <v>0</v>
      </c>
      <c r="U53" s="211">
        <f t="shared" si="69"/>
        <v>0</v>
      </c>
      <c r="V53" s="211">
        <f t="shared" si="69"/>
        <v>0</v>
      </c>
      <c r="W53" s="211">
        <f t="shared" si="69"/>
        <v>0</v>
      </c>
      <c r="X53" s="211">
        <f t="shared" si="69"/>
        <v>0</v>
      </c>
      <c r="Y53" s="211">
        <f t="shared" si="69"/>
        <v>0</v>
      </c>
      <c r="Z53" s="211">
        <f t="shared" si="69"/>
        <v>0</v>
      </c>
      <c r="AA53" s="211">
        <f t="shared" si="69"/>
        <v>5.1671970159028504</v>
      </c>
      <c r="AB53" s="211">
        <f t="shared" si="69"/>
        <v>5.1671970159028504</v>
      </c>
      <c r="AC53" s="211">
        <f t="shared" si="69"/>
        <v>5.1671970159028504</v>
      </c>
      <c r="AD53" s="211">
        <f t="shared" si="69"/>
        <v>5.1671970159028504</v>
      </c>
      <c r="AE53" s="211">
        <f t="shared" si="69"/>
        <v>5.1671970159028504</v>
      </c>
      <c r="AF53" s="211">
        <f t="shared" si="69"/>
        <v>5.1671970159028504</v>
      </c>
      <c r="AG53" s="211">
        <f t="shared" si="69"/>
        <v>5.1671970159028504</v>
      </c>
      <c r="AH53" s="211">
        <f t="shared" si="69"/>
        <v>5.1671970159028504</v>
      </c>
      <c r="AI53" s="211">
        <f t="shared" si="69"/>
        <v>5.1671970159028504</v>
      </c>
      <c r="AJ53" s="211">
        <f t="shared" si="69"/>
        <v>5.1671970159028504</v>
      </c>
      <c r="AK53" s="211">
        <f t="shared" si="69"/>
        <v>5.1671970159028504</v>
      </c>
      <c r="AL53" s="211">
        <f t="shared" ref="AL53:BQ53" si="70">IF(AL$22&lt;=$E$24,IF(AL$22&lt;=$D$24,IF(AL$22&lt;=$C$24,IF(AL$22&lt;=$B$24,$B119,($C36-$B36)/($C$24-$B$24)),($D36-$C36)/($D$24-$C$24)),($E36-$D36)/($E$24-$D$24)),$F119)</f>
        <v>5.1671970159028504</v>
      </c>
      <c r="AM53" s="211">
        <f t="shared" si="70"/>
        <v>5.1671970159028504</v>
      </c>
      <c r="AN53" s="211">
        <f t="shared" si="70"/>
        <v>5.1671970159028504</v>
      </c>
      <c r="AO53" s="211">
        <f t="shared" si="70"/>
        <v>5.1671970159028504</v>
      </c>
      <c r="AP53" s="211">
        <f t="shared" si="70"/>
        <v>5.1671970159028504</v>
      </c>
      <c r="AQ53" s="211">
        <f t="shared" si="70"/>
        <v>5.1671970159028504</v>
      </c>
      <c r="AR53" s="211">
        <f t="shared" si="70"/>
        <v>5.1671970159028504</v>
      </c>
      <c r="AS53" s="211">
        <f t="shared" si="70"/>
        <v>5.1671970159028504</v>
      </c>
      <c r="AT53" s="211">
        <f t="shared" si="70"/>
        <v>5.1671970159028504</v>
      </c>
      <c r="AU53" s="211">
        <f t="shared" si="70"/>
        <v>5.1671970159028504</v>
      </c>
      <c r="AV53" s="211">
        <f t="shared" si="70"/>
        <v>5.1671970159028504</v>
      </c>
      <c r="AW53" s="211">
        <f t="shared" si="70"/>
        <v>5.1671970159028504</v>
      </c>
      <c r="AX53" s="211">
        <f t="shared" si="70"/>
        <v>5.1671970159028504</v>
      </c>
      <c r="AY53" s="211">
        <f t="shared" si="70"/>
        <v>5.1671970159028504</v>
      </c>
      <c r="AZ53" s="211">
        <f t="shared" si="70"/>
        <v>5.1671970159028504</v>
      </c>
      <c r="BA53" s="211">
        <f t="shared" si="70"/>
        <v>5.1671970159028504</v>
      </c>
      <c r="BB53" s="211">
        <f t="shared" si="70"/>
        <v>5.1671970159028504</v>
      </c>
      <c r="BC53" s="211">
        <f t="shared" si="70"/>
        <v>5.1671970159028504</v>
      </c>
      <c r="BD53" s="211">
        <f t="shared" si="70"/>
        <v>5.1671970159028504</v>
      </c>
      <c r="BE53" s="211">
        <f t="shared" si="70"/>
        <v>5.1671970159028504</v>
      </c>
      <c r="BF53" s="211">
        <f t="shared" si="70"/>
        <v>5.1671970159028504</v>
      </c>
      <c r="BG53" s="211">
        <f t="shared" si="70"/>
        <v>5.1671970159028504</v>
      </c>
      <c r="BH53" s="211">
        <f t="shared" si="70"/>
        <v>5.1671970159028504</v>
      </c>
      <c r="BI53" s="211">
        <f t="shared" si="70"/>
        <v>5.1671970159028504</v>
      </c>
      <c r="BJ53" s="211">
        <f t="shared" si="70"/>
        <v>5.1671970159028504</v>
      </c>
      <c r="BK53" s="211">
        <f t="shared" si="70"/>
        <v>5.1671970159028504</v>
      </c>
      <c r="BL53" s="211">
        <f t="shared" si="70"/>
        <v>5.1671970159028504</v>
      </c>
      <c r="BM53" s="211">
        <f t="shared" si="70"/>
        <v>5.1671970159028504</v>
      </c>
      <c r="BN53" s="211">
        <f t="shared" si="70"/>
        <v>59.033888640382912</v>
      </c>
      <c r="BO53" s="211">
        <f t="shared" si="70"/>
        <v>59.033888640382912</v>
      </c>
      <c r="BP53" s="211">
        <f t="shared" si="70"/>
        <v>59.033888640382912</v>
      </c>
      <c r="BQ53" s="211">
        <f t="shared" si="70"/>
        <v>59.033888640382912</v>
      </c>
      <c r="BR53" s="211">
        <f t="shared" ref="BR53:DA53" si="71">IF(BR$22&lt;=$E$24,IF(BR$22&lt;=$D$24,IF(BR$22&lt;=$C$24,IF(BR$22&lt;=$B$24,$B119,($C36-$B36)/($C$24-$B$24)),($D36-$C36)/($D$24-$C$24)),($E36-$D36)/($E$24-$D$24)),$F119)</f>
        <v>59.033888640382912</v>
      </c>
      <c r="BS53" s="211">
        <f t="shared" si="71"/>
        <v>59.033888640382912</v>
      </c>
      <c r="BT53" s="211">
        <f t="shared" si="71"/>
        <v>59.033888640382912</v>
      </c>
      <c r="BU53" s="211">
        <f t="shared" si="71"/>
        <v>59.033888640382912</v>
      </c>
      <c r="BV53" s="211">
        <f t="shared" si="71"/>
        <v>59.033888640382912</v>
      </c>
      <c r="BW53" s="211">
        <f t="shared" si="71"/>
        <v>59.033888640382912</v>
      </c>
      <c r="BX53" s="211">
        <f t="shared" si="71"/>
        <v>59.033888640382912</v>
      </c>
      <c r="BY53" s="211">
        <f t="shared" si="71"/>
        <v>59.033888640382912</v>
      </c>
      <c r="BZ53" s="211">
        <f t="shared" si="71"/>
        <v>59.033888640382912</v>
      </c>
      <c r="CA53" s="211">
        <f t="shared" si="71"/>
        <v>59.033888640382912</v>
      </c>
      <c r="CB53" s="211">
        <f t="shared" si="71"/>
        <v>59.033888640382912</v>
      </c>
      <c r="CC53" s="211">
        <f t="shared" si="71"/>
        <v>59.033888640382912</v>
      </c>
      <c r="CD53" s="211">
        <f t="shared" si="71"/>
        <v>59.033888640382912</v>
      </c>
      <c r="CE53" s="211">
        <f t="shared" si="71"/>
        <v>59.033888640382912</v>
      </c>
      <c r="CF53" s="211">
        <f t="shared" si="71"/>
        <v>59.033888640382912</v>
      </c>
      <c r="CG53" s="211">
        <f t="shared" si="71"/>
        <v>59.033888640382912</v>
      </c>
      <c r="CH53" s="211">
        <f t="shared" si="71"/>
        <v>59.033888640382912</v>
      </c>
      <c r="CI53" s="211">
        <f t="shared" si="71"/>
        <v>59.033888640382912</v>
      </c>
      <c r="CJ53" s="211">
        <f t="shared" si="71"/>
        <v>59.033888640382912</v>
      </c>
      <c r="CK53" s="211">
        <f t="shared" si="71"/>
        <v>59.033888640382912</v>
      </c>
      <c r="CL53" s="211">
        <f t="shared" si="71"/>
        <v>59.033888640382912</v>
      </c>
      <c r="CM53" s="211">
        <f t="shared" si="71"/>
        <v>59.033888640382912</v>
      </c>
      <c r="CN53" s="211">
        <f t="shared" si="71"/>
        <v>59.033888640382912</v>
      </c>
      <c r="CO53" s="211">
        <f t="shared" si="71"/>
        <v>59.033888640382912</v>
      </c>
      <c r="CP53" s="211">
        <f t="shared" si="71"/>
        <v>59.033888640382912</v>
      </c>
      <c r="CQ53" s="211">
        <f t="shared" si="71"/>
        <v>59.033888640382912</v>
      </c>
      <c r="CR53" s="211">
        <f t="shared" si="71"/>
        <v>-3208.6811013535321</v>
      </c>
      <c r="CS53" s="211">
        <f t="shared" si="71"/>
        <v>-3208.6811013535321</v>
      </c>
      <c r="CT53" s="211">
        <f t="shared" si="71"/>
        <v>-3208.6811013535321</v>
      </c>
      <c r="CU53" s="211">
        <f t="shared" si="71"/>
        <v>-3208.6811013535321</v>
      </c>
      <c r="CV53" s="211">
        <f t="shared" si="71"/>
        <v>-3208.6811013535321</v>
      </c>
      <c r="CW53" s="211">
        <f t="shared" si="71"/>
        <v>-3208.6811013535321</v>
      </c>
      <c r="CX53" s="211">
        <f t="shared" si="71"/>
        <v>-3208.6811013535321</v>
      </c>
      <c r="CY53" s="211">
        <f t="shared" si="71"/>
        <v>-3208.6811013535321</v>
      </c>
      <c r="CZ53" s="211">
        <f t="shared" si="71"/>
        <v>-3208.6811013535321</v>
      </c>
      <c r="DA53" s="211">
        <f t="shared" si="71"/>
        <v>-3208.6811013535321</v>
      </c>
    </row>
    <row r="54" spans="1:105">
      <c r="A54" s="202" t="str">
        <f>Income!A86</f>
        <v>Cash transfer - gifts</v>
      </c>
      <c r="F54" s="211">
        <f t="shared" ref="F54:AK54" si="72">IF(F$22&lt;=$E$24,IF(F$22&lt;=$D$24,IF(F$22&lt;=$C$24,IF(F$22&lt;=$B$24,$B120,($C37-$B37)/($C$24-$B$24)),($D37-$C37)/($D$24-$C$24)),($E37-$D37)/($E$24-$D$24)),$F120)</f>
        <v>0</v>
      </c>
      <c r="G54" s="211">
        <f t="shared" si="72"/>
        <v>0</v>
      </c>
      <c r="H54" s="211">
        <f t="shared" si="72"/>
        <v>0</v>
      </c>
      <c r="I54" s="211">
        <f t="shared" si="72"/>
        <v>0</v>
      </c>
      <c r="J54" s="211">
        <f t="shared" si="72"/>
        <v>0</v>
      </c>
      <c r="K54" s="211">
        <f t="shared" si="72"/>
        <v>0</v>
      </c>
      <c r="L54" s="211">
        <f t="shared" si="72"/>
        <v>0</v>
      </c>
      <c r="M54" s="211">
        <f t="shared" si="72"/>
        <v>0</v>
      </c>
      <c r="N54" s="211">
        <f t="shared" si="72"/>
        <v>0</v>
      </c>
      <c r="O54" s="211">
        <f t="shared" si="72"/>
        <v>0</v>
      </c>
      <c r="P54" s="211">
        <f t="shared" si="72"/>
        <v>0</v>
      </c>
      <c r="Q54" s="211">
        <f t="shared" si="72"/>
        <v>0</v>
      </c>
      <c r="R54" s="211">
        <f t="shared" si="72"/>
        <v>0</v>
      </c>
      <c r="S54" s="211">
        <f t="shared" si="72"/>
        <v>0</v>
      </c>
      <c r="T54" s="211">
        <f t="shared" si="72"/>
        <v>0</v>
      </c>
      <c r="U54" s="211">
        <f t="shared" si="72"/>
        <v>0</v>
      </c>
      <c r="V54" s="211">
        <f t="shared" si="72"/>
        <v>0</v>
      </c>
      <c r="W54" s="211">
        <f t="shared" si="72"/>
        <v>0</v>
      </c>
      <c r="X54" s="211">
        <f t="shared" si="72"/>
        <v>0</v>
      </c>
      <c r="Y54" s="211">
        <f t="shared" si="72"/>
        <v>0</v>
      </c>
      <c r="Z54" s="211">
        <f t="shared" si="72"/>
        <v>0</v>
      </c>
      <c r="AA54" s="211">
        <f t="shared" si="72"/>
        <v>0</v>
      </c>
      <c r="AB54" s="211">
        <f t="shared" si="72"/>
        <v>0</v>
      </c>
      <c r="AC54" s="211">
        <f t="shared" si="72"/>
        <v>0</v>
      </c>
      <c r="AD54" s="211">
        <f t="shared" si="72"/>
        <v>0</v>
      </c>
      <c r="AE54" s="211">
        <f t="shared" si="72"/>
        <v>0</v>
      </c>
      <c r="AF54" s="211">
        <f t="shared" si="72"/>
        <v>0</v>
      </c>
      <c r="AG54" s="211">
        <f t="shared" si="72"/>
        <v>0</v>
      </c>
      <c r="AH54" s="211">
        <f t="shared" si="72"/>
        <v>0</v>
      </c>
      <c r="AI54" s="211">
        <f t="shared" si="72"/>
        <v>0</v>
      </c>
      <c r="AJ54" s="211">
        <f t="shared" si="72"/>
        <v>0</v>
      </c>
      <c r="AK54" s="211">
        <f t="shared" si="72"/>
        <v>0</v>
      </c>
      <c r="AL54" s="211">
        <f t="shared" ref="AL54:BQ54" si="73">IF(AL$22&lt;=$E$24,IF(AL$22&lt;=$D$24,IF(AL$22&lt;=$C$24,IF(AL$22&lt;=$B$24,$B120,($C37-$B37)/($C$24-$B$24)),($D37-$C37)/($D$24-$C$24)),($E37-$D37)/($E$24-$D$24)),$F120)</f>
        <v>0</v>
      </c>
      <c r="AM54" s="211">
        <f t="shared" si="73"/>
        <v>0</v>
      </c>
      <c r="AN54" s="211">
        <f t="shared" si="73"/>
        <v>0</v>
      </c>
      <c r="AO54" s="211">
        <f t="shared" si="73"/>
        <v>0</v>
      </c>
      <c r="AP54" s="211">
        <f t="shared" si="73"/>
        <v>0</v>
      </c>
      <c r="AQ54" s="211">
        <f t="shared" si="73"/>
        <v>0</v>
      </c>
      <c r="AR54" s="211">
        <f t="shared" si="73"/>
        <v>0</v>
      </c>
      <c r="AS54" s="211">
        <f t="shared" si="73"/>
        <v>0</v>
      </c>
      <c r="AT54" s="211">
        <f t="shared" si="73"/>
        <v>0</v>
      </c>
      <c r="AU54" s="211">
        <f t="shared" si="73"/>
        <v>0</v>
      </c>
      <c r="AV54" s="211">
        <f t="shared" si="73"/>
        <v>0</v>
      </c>
      <c r="AW54" s="211">
        <f t="shared" si="73"/>
        <v>0</v>
      </c>
      <c r="AX54" s="211">
        <f t="shared" si="73"/>
        <v>0</v>
      </c>
      <c r="AY54" s="211">
        <f t="shared" si="73"/>
        <v>0</v>
      </c>
      <c r="AZ54" s="211">
        <f t="shared" si="73"/>
        <v>0</v>
      </c>
      <c r="BA54" s="211">
        <f t="shared" si="73"/>
        <v>0</v>
      </c>
      <c r="BB54" s="211">
        <f t="shared" si="73"/>
        <v>0</v>
      </c>
      <c r="BC54" s="211">
        <f t="shared" si="73"/>
        <v>0</v>
      </c>
      <c r="BD54" s="211">
        <f t="shared" si="73"/>
        <v>0</v>
      </c>
      <c r="BE54" s="211">
        <f t="shared" si="73"/>
        <v>0</v>
      </c>
      <c r="BF54" s="211">
        <f t="shared" si="73"/>
        <v>0</v>
      </c>
      <c r="BG54" s="211">
        <f t="shared" si="73"/>
        <v>0</v>
      </c>
      <c r="BH54" s="211">
        <f t="shared" si="73"/>
        <v>0</v>
      </c>
      <c r="BI54" s="211">
        <f t="shared" si="73"/>
        <v>0</v>
      </c>
      <c r="BJ54" s="211">
        <f t="shared" si="73"/>
        <v>0</v>
      </c>
      <c r="BK54" s="211">
        <f t="shared" si="73"/>
        <v>0</v>
      </c>
      <c r="BL54" s="211">
        <f t="shared" si="73"/>
        <v>0</v>
      </c>
      <c r="BM54" s="211">
        <f t="shared" si="73"/>
        <v>0</v>
      </c>
      <c r="BN54" s="211">
        <f t="shared" si="73"/>
        <v>0</v>
      </c>
      <c r="BO54" s="211">
        <f t="shared" si="73"/>
        <v>0</v>
      </c>
      <c r="BP54" s="211">
        <f t="shared" si="73"/>
        <v>0</v>
      </c>
      <c r="BQ54" s="211">
        <f t="shared" si="73"/>
        <v>0</v>
      </c>
      <c r="BR54" s="211">
        <f t="shared" ref="BR54:DA54" si="74">IF(BR$22&lt;=$E$24,IF(BR$22&lt;=$D$24,IF(BR$22&lt;=$C$24,IF(BR$22&lt;=$B$24,$B120,($C37-$B37)/($C$24-$B$24)),($D37-$C37)/($D$24-$C$24)),($E37-$D37)/($E$24-$D$24)),$F120)</f>
        <v>0</v>
      </c>
      <c r="BS54" s="211">
        <f t="shared" si="74"/>
        <v>0</v>
      </c>
      <c r="BT54" s="211">
        <f t="shared" si="74"/>
        <v>0</v>
      </c>
      <c r="BU54" s="211">
        <f t="shared" si="74"/>
        <v>0</v>
      </c>
      <c r="BV54" s="211">
        <f t="shared" si="74"/>
        <v>0</v>
      </c>
      <c r="BW54" s="211">
        <f t="shared" si="74"/>
        <v>0</v>
      </c>
      <c r="BX54" s="211">
        <f t="shared" si="74"/>
        <v>0</v>
      </c>
      <c r="BY54" s="211">
        <f t="shared" si="74"/>
        <v>0</v>
      </c>
      <c r="BZ54" s="211">
        <f t="shared" si="74"/>
        <v>0</v>
      </c>
      <c r="CA54" s="211">
        <f t="shared" si="74"/>
        <v>0</v>
      </c>
      <c r="CB54" s="211">
        <f t="shared" si="74"/>
        <v>0</v>
      </c>
      <c r="CC54" s="211">
        <f t="shared" si="74"/>
        <v>0</v>
      </c>
      <c r="CD54" s="211">
        <f t="shared" si="74"/>
        <v>0</v>
      </c>
      <c r="CE54" s="211">
        <f t="shared" si="74"/>
        <v>0</v>
      </c>
      <c r="CF54" s="211">
        <f t="shared" si="74"/>
        <v>0</v>
      </c>
      <c r="CG54" s="211">
        <f t="shared" si="74"/>
        <v>0</v>
      </c>
      <c r="CH54" s="211">
        <f t="shared" si="74"/>
        <v>0</v>
      </c>
      <c r="CI54" s="211">
        <f t="shared" si="74"/>
        <v>0</v>
      </c>
      <c r="CJ54" s="211">
        <f t="shared" si="74"/>
        <v>0</v>
      </c>
      <c r="CK54" s="211">
        <f t="shared" si="74"/>
        <v>0</v>
      </c>
      <c r="CL54" s="211">
        <f t="shared" si="74"/>
        <v>0</v>
      </c>
      <c r="CM54" s="211">
        <f t="shared" si="74"/>
        <v>0</v>
      </c>
      <c r="CN54" s="211">
        <f t="shared" si="74"/>
        <v>0</v>
      </c>
      <c r="CO54" s="211">
        <f t="shared" si="74"/>
        <v>0</v>
      </c>
      <c r="CP54" s="211">
        <f t="shared" si="74"/>
        <v>0</v>
      </c>
      <c r="CQ54" s="211">
        <f t="shared" si="74"/>
        <v>0</v>
      </c>
      <c r="CR54" s="211">
        <f t="shared" si="74"/>
        <v>0</v>
      </c>
      <c r="CS54" s="211">
        <f t="shared" si="74"/>
        <v>0</v>
      </c>
      <c r="CT54" s="211">
        <f t="shared" si="74"/>
        <v>0</v>
      </c>
      <c r="CU54" s="211">
        <f t="shared" si="74"/>
        <v>0</v>
      </c>
      <c r="CV54" s="211">
        <f t="shared" si="74"/>
        <v>0</v>
      </c>
      <c r="CW54" s="211">
        <f t="shared" si="74"/>
        <v>0</v>
      </c>
      <c r="CX54" s="211">
        <f t="shared" si="74"/>
        <v>0</v>
      </c>
      <c r="CY54" s="211">
        <f t="shared" si="74"/>
        <v>0</v>
      </c>
      <c r="CZ54" s="211">
        <f t="shared" si="74"/>
        <v>0</v>
      </c>
      <c r="DA54" s="211">
        <f t="shared" si="74"/>
        <v>0</v>
      </c>
    </row>
    <row r="55" spans="1:105">
      <c r="A55" s="202" t="str">
        <f>Income!A88</f>
        <v>TOTAL</v>
      </c>
    </row>
    <row r="56" spans="1:105">
      <c r="A56" s="202" t="str">
        <f>Income!A89</f>
        <v>Food Poverty line</v>
      </c>
    </row>
    <row r="57" spans="1:105">
      <c r="A57" s="202" t="str">
        <f>Income!A90</f>
        <v>Lower Bound Poverty line</v>
      </c>
    </row>
    <row r="59" spans="1:105" s="205" customFormat="1">
      <c r="A59" s="205" t="str">
        <f>Income!A72</f>
        <v>Own crops Consumed</v>
      </c>
      <c r="F59" s="205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2474.2340835802729</v>
      </c>
      <c r="G59" s="205">
        <f t="shared" si="75"/>
        <v>2474.2340835802729</v>
      </c>
      <c r="H59" s="205">
        <f t="shared" si="75"/>
        <v>2474.2340835802729</v>
      </c>
      <c r="I59" s="205">
        <f t="shared" si="75"/>
        <v>2474.2340835802729</v>
      </c>
      <c r="J59" s="205">
        <f t="shared" si="75"/>
        <v>2474.2340835802729</v>
      </c>
      <c r="K59" s="205">
        <f t="shared" si="75"/>
        <v>2474.2340835802729</v>
      </c>
      <c r="L59" s="205">
        <f t="shared" si="75"/>
        <v>2474.2340835802729</v>
      </c>
      <c r="M59" s="205">
        <f t="shared" si="75"/>
        <v>2474.2340835802729</v>
      </c>
      <c r="N59" s="205">
        <f t="shared" si="75"/>
        <v>2474.2340835802729</v>
      </c>
      <c r="O59" s="205">
        <f t="shared" si="75"/>
        <v>2474.2340835802729</v>
      </c>
      <c r="P59" s="205">
        <f t="shared" si="75"/>
        <v>2474.2340835802729</v>
      </c>
      <c r="Q59" s="205">
        <f t="shared" si="75"/>
        <v>2474.2340835802729</v>
      </c>
      <c r="R59" s="205">
        <f t="shared" si="75"/>
        <v>2474.2340835802729</v>
      </c>
      <c r="S59" s="205">
        <f t="shared" si="75"/>
        <v>2474.2340835802729</v>
      </c>
      <c r="T59" s="205">
        <f t="shared" si="75"/>
        <v>2474.2340835802729</v>
      </c>
      <c r="U59" s="205">
        <f t="shared" si="75"/>
        <v>2474.2340835802729</v>
      </c>
      <c r="V59" s="205">
        <f t="shared" si="75"/>
        <v>2474.2340835802729</v>
      </c>
      <c r="W59" s="205">
        <f t="shared" si="75"/>
        <v>2474.2340835802729</v>
      </c>
      <c r="X59" s="205">
        <f t="shared" si="75"/>
        <v>2474.2340835802729</v>
      </c>
      <c r="Y59" s="205">
        <f t="shared" si="75"/>
        <v>2474.2340835802729</v>
      </c>
      <c r="Z59" s="205">
        <f t="shared" si="75"/>
        <v>2474.2340835802729</v>
      </c>
      <c r="AA59" s="205">
        <f t="shared" si="75"/>
        <v>2496.8201020533179</v>
      </c>
      <c r="AB59" s="205">
        <f t="shared" si="75"/>
        <v>2519.4061205263629</v>
      </c>
      <c r="AC59" s="205">
        <f t="shared" si="75"/>
        <v>2541.9921389994083</v>
      </c>
      <c r="AD59" s="205">
        <f t="shared" si="75"/>
        <v>2564.5781574724533</v>
      </c>
      <c r="AE59" s="205">
        <f t="shared" si="75"/>
        <v>2587.1641759454983</v>
      </c>
      <c r="AF59" s="205">
        <f t="shared" si="75"/>
        <v>2609.7501944185433</v>
      </c>
      <c r="AG59" s="205">
        <f t="shared" si="75"/>
        <v>2632.3362128915883</v>
      </c>
      <c r="AH59" s="205">
        <f t="shared" si="75"/>
        <v>2654.9222313646333</v>
      </c>
      <c r="AI59" s="205">
        <f t="shared" si="75"/>
        <v>2677.5082498376787</v>
      </c>
      <c r="AJ59" s="205">
        <f t="shared" si="75"/>
        <v>2700.0942683107237</v>
      </c>
      <c r="AK59" s="205">
        <f t="shared" si="75"/>
        <v>2722.6802867837687</v>
      </c>
      <c r="AL59" s="205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2745.2663052568137</v>
      </c>
      <c r="AM59" s="205">
        <f t="shared" si="76"/>
        <v>2767.8523237298587</v>
      </c>
      <c r="AN59" s="205">
        <f t="shared" si="76"/>
        <v>2790.4383422029041</v>
      </c>
      <c r="AO59" s="205">
        <f t="shared" si="76"/>
        <v>2813.0243606759491</v>
      </c>
      <c r="AP59" s="205">
        <f t="shared" si="76"/>
        <v>2835.6103791489941</v>
      </c>
      <c r="AQ59" s="205">
        <f t="shared" si="76"/>
        <v>2858.1963976220391</v>
      </c>
      <c r="AR59" s="205">
        <f t="shared" si="76"/>
        <v>2880.782416095084</v>
      </c>
      <c r="AS59" s="205">
        <f t="shared" si="76"/>
        <v>2903.3684345681295</v>
      </c>
      <c r="AT59" s="205">
        <f t="shared" si="76"/>
        <v>2925.9544530411745</v>
      </c>
      <c r="AU59" s="205">
        <f t="shared" si="76"/>
        <v>2948.5404715142195</v>
      </c>
      <c r="AV59" s="205">
        <f t="shared" si="76"/>
        <v>2971.1264899872644</v>
      </c>
      <c r="AW59" s="205">
        <f t="shared" si="76"/>
        <v>2993.7125084603094</v>
      </c>
      <c r="AX59" s="205">
        <f t="shared" si="76"/>
        <v>3016.2985269333549</v>
      </c>
      <c r="AY59" s="205">
        <f t="shared" si="76"/>
        <v>3038.8845454063999</v>
      </c>
      <c r="AZ59" s="205">
        <f t="shared" si="76"/>
        <v>3061.4705638794449</v>
      </c>
      <c r="BA59" s="205">
        <f t="shared" si="76"/>
        <v>3084.0565823524898</v>
      </c>
      <c r="BB59" s="205">
        <f t="shared" si="76"/>
        <v>3106.6426008255348</v>
      </c>
      <c r="BC59" s="205">
        <f t="shared" si="76"/>
        <v>3129.2286192985803</v>
      </c>
      <c r="BD59" s="205">
        <f t="shared" si="76"/>
        <v>3151.8146377716248</v>
      </c>
      <c r="BE59" s="205">
        <f t="shared" si="76"/>
        <v>3174.4006562446702</v>
      </c>
      <c r="BF59" s="205">
        <f t="shared" si="76"/>
        <v>3196.9866747177152</v>
      </c>
      <c r="BG59" s="205">
        <f t="shared" si="76"/>
        <v>3219.5726931907602</v>
      </c>
      <c r="BH59" s="205">
        <f t="shared" si="76"/>
        <v>3242.1587116638057</v>
      </c>
      <c r="BI59" s="205">
        <f t="shared" si="76"/>
        <v>3264.7447301368502</v>
      </c>
      <c r="BJ59" s="205">
        <f t="shared" si="76"/>
        <v>3287.3307486098956</v>
      </c>
      <c r="BK59" s="205">
        <f t="shared" si="76"/>
        <v>3309.9167670829406</v>
      </c>
      <c r="BL59" s="205">
        <f t="shared" si="76"/>
        <v>3332.5027855559856</v>
      </c>
      <c r="BM59" s="205">
        <f t="shared" si="76"/>
        <v>3355.0888040290306</v>
      </c>
      <c r="BN59" s="205">
        <f t="shared" si="76"/>
        <v>3360.4552618095304</v>
      </c>
      <c r="BO59" s="205">
        <f t="shared" si="76"/>
        <v>3348.602158897485</v>
      </c>
      <c r="BP59" s="205">
        <f t="shared" si="76"/>
        <v>3336.7490559854396</v>
      </c>
      <c r="BQ59" s="205">
        <f t="shared" si="76"/>
        <v>3324.8959530733937</v>
      </c>
      <c r="BR59" s="205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3313.0428501613483</v>
      </c>
      <c r="BS59" s="205">
        <f t="shared" si="77"/>
        <v>3301.1897472493029</v>
      </c>
      <c r="BT59" s="205">
        <f t="shared" si="77"/>
        <v>3289.336644337257</v>
      </c>
      <c r="BU59" s="205">
        <f t="shared" si="77"/>
        <v>3277.4835414252116</v>
      </c>
      <c r="BV59" s="205">
        <f t="shared" si="77"/>
        <v>3265.6304385131662</v>
      </c>
      <c r="BW59" s="205">
        <f t="shared" si="77"/>
        <v>3253.7773356011203</v>
      </c>
      <c r="BX59" s="205">
        <f t="shared" si="77"/>
        <v>3241.9242326890749</v>
      </c>
      <c r="BY59" s="205">
        <f t="shared" si="77"/>
        <v>3230.0711297770295</v>
      </c>
      <c r="BZ59" s="205">
        <f t="shared" si="77"/>
        <v>3218.2180268649836</v>
      </c>
      <c r="CA59" s="205">
        <f t="shared" si="77"/>
        <v>3206.3649239529382</v>
      </c>
      <c r="CB59" s="205">
        <f t="shared" si="77"/>
        <v>3194.5118210408928</v>
      </c>
      <c r="CC59" s="205">
        <f t="shared" si="77"/>
        <v>3182.6587181288469</v>
      </c>
      <c r="CD59" s="205">
        <f t="shared" si="77"/>
        <v>3170.8056152168015</v>
      </c>
      <c r="CE59" s="205">
        <f t="shared" si="77"/>
        <v>3158.9525123047561</v>
      </c>
      <c r="CF59" s="205">
        <f t="shared" si="77"/>
        <v>3147.0994093927102</v>
      </c>
      <c r="CG59" s="205">
        <f t="shared" si="77"/>
        <v>3135.2463064806648</v>
      </c>
      <c r="CH59" s="205">
        <f t="shared" si="77"/>
        <v>3123.3932035686194</v>
      </c>
      <c r="CI59" s="205">
        <f t="shared" si="77"/>
        <v>3111.5401006565735</v>
      </c>
      <c r="CJ59" s="205">
        <f t="shared" si="77"/>
        <v>3099.6869977445281</v>
      </c>
      <c r="CK59" s="205">
        <f t="shared" si="77"/>
        <v>3087.8338948324827</v>
      </c>
      <c r="CL59" s="205">
        <f t="shared" si="77"/>
        <v>3075.9807919204368</v>
      </c>
      <c r="CM59" s="205">
        <f t="shared" si="77"/>
        <v>3064.1276890083914</v>
      </c>
      <c r="CN59" s="205">
        <f t="shared" si="77"/>
        <v>3052.274586096346</v>
      </c>
      <c r="CO59" s="205">
        <f t="shared" si="77"/>
        <v>3040.4214831843001</v>
      </c>
      <c r="CP59" s="205">
        <f t="shared" si="77"/>
        <v>3028.5683802722547</v>
      </c>
      <c r="CQ59" s="205">
        <f t="shared" si="77"/>
        <v>3016.7152773602093</v>
      </c>
      <c r="CR59" s="205">
        <f t="shared" si="77"/>
        <v>2867.417834194463</v>
      </c>
      <c r="CS59" s="205">
        <f t="shared" si="77"/>
        <v>2580.6760507750168</v>
      </c>
      <c r="CT59" s="205">
        <f t="shared" si="77"/>
        <v>2293.9342673555702</v>
      </c>
      <c r="CU59" s="205">
        <f t="shared" si="77"/>
        <v>2007.1924839361241</v>
      </c>
      <c r="CV59" s="205">
        <f t="shared" si="77"/>
        <v>1720.4507005166779</v>
      </c>
      <c r="CW59" s="205">
        <f t="shared" si="77"/>
        <v>1433.7089170972315</v>
      </c>
      <c r="CX59" s="205">
        <f t="shared" si="77"/>
        <v>1146.9671336777851</v>
      </c>
      <c r="CY59" s="205">
        <f t="shared" si="77"/>
        <v>860.22535025833895</v>
      </c>
      <c r="CZ59" s="205">
        <f t="shared" si="77"/>
        <v>573.48356683889233</v>
      </c>
      <c r="DA59" s="205">
        <f t="shared" si="77"/>
        <v>286.74178341944616</v>
      </c>
    </row>
    <row r="60" spans="1:105" s="205" customFormat="1">
      <c r="A60" s="205" t="str">
        <f>Income!A73</f>
        <v>Own crops sold</v>
      </c>
      <c r="F60" s="205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6827.3852480574096</v>
      </c>
      <c r="G60" s="205">
        <f t="shared" si="78"/>
        <v>6487.1252480574094</v>
      </c>
      <c r="H60" s="205">
        <f t="shared" si="78"/>
        <v>6146.8652480574101</v>
      </c>
      <c r="I60" s="205">
        <f t="shared" si="78"/>
        <v>5806.6052480574099</v>
      </c>
      <c r="J60" s="205">
        <f t="shared" si="78"/>
        <v>5466.3452480574097</v>
      </c>
      <c r="K60" s="205">
        <f t="shared" si="78"/>
        <v>5126.0852480574094</v>
      </c>
      <c r="L60" s="205">
        <f t="shared" si="78"/>
        <v>4785.8252480574092</v>
      </c>
      <c r="M60" s="205">
        <f t="shared" si="78"/>
        <v>4445.5652480574099</v>
      </c>
      <c r="N60" s="205">
        <f t="shared" si="78"/>
        <v>4105.3052480574097</v>
      </c>
      <c r="O60" s="205">
        <f t="shared" si="78"/>
        <v>3765.045248057409</v>
      </c>
      <c r="P60" s="205">
        <f t="shared" si="78"/>
        <v>3424.7852480574093</v>
      </c>
      <c r="Q60" s="205">
        <f t="shared" si="78"/>
        <v>3084.5252480574095</v>
      </c>
      <c r="R60" s="205">
        <f t="shared" si="78"/>
        <v>2744.2652480574093</v>
      </c>
      <c r="S60" s="205">
        <f t="shared" si="78"/>
        <v>2404.0052480574091</v>
      </c>
      <c r="T60" s="205">
        <f t="shared" si="78"/>
        <v>2063.7452480574093</v>
      </c>
      <c r="U60" s="205">
        <f t="shared" si="78"/>
        <v>1723.4852480574093</v>
      </c>
      <c r="V60" s="205">
        <f t="shared" si="78"/>
        <v>1383.2252480574093</v>
      </c>
      <c r="W60" s="205">
        <f t="shared" si="78"/>
        <v>1042.9652480574093</v>
      </c>
      <c r="X60" s="205">
        <f t="shared" si="78"/>
        <v>702.70524805740934</v>
      </c>
      <c r="Y60" s="205">
        <f t="shared" si="78"/>
        <v>362.44524805740934</v>
      </c>
      <c r="Z60" s="205">
        <f t="shared" si="78"/>
        <v>22.185248057409371</v>
      </c>
      <c r="AA60" s="205">
        <f t="shared" si="78"/>
        <v>27.614549269771157</v>
      </c>
      <c r="AB60" s="205">
        <f t="shared" si="78"/>
        <v>33.043850482132946</v>
      </c>
      <c r="AC60" s="205">
        <f t="shared" si="78"/>
        <v>38.473151694494732</v>
      </c>
      <c r="AD60" s="205">
        <f t="shared" si="78"/>
        <v>43.902452906856517</v>
      </c>
      <c r="AE60" s="205">
        <f t="shared" si="78"/>
        <v>49.331754119218303</v>
      </c>
      <c r="AF60" s="205">
        <f t="shared" si="78"/>
        <v>54.761055331580096</v>
      </c>
      <c r="AG60" s="205">
        <f t="shared" si="78"/>
        <v>60.190356543941874</v>
      </c>
      <c r="AH60" s="205">
        <f t="shared" si="78"/>
        <v>65.619657756303667</v>
      </c>
      <c r="AI60" s="205">
        <f t="shared" si="78"/>
        <v>71.048958968665445</v>
      </c>
      <c r="AJ60" s="205">
        <f t="shared" si="78"/>
        <v>76.478260181027238</v>
      </c>
      <c r="AK60" s="205">
        <f t="shared" si="78"/>
        <v>81.907561393389017</v>
      </c>
      <c r="AL60" s="205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87.33686260575081</v>
      </c>
      <c r="AM60" s="205">
        <f t="shared" si="79"/>
        <v>92.766163818112588</v>
      </c>
      <c r="AN60" s="205">
        <f t="shared" si="79"/>
        <v>98.195465030474381</v>
      </c>
      <c r="AO60" s="205">
        <f t="shared" si="79"/>
        <v>103.62476624283616</v>
      </c>
      <c r="AP60" s="205">
        <f t="shared" si="79"/>
        <v>109.05406745519795</v>
      </c>
      <c r="AQ60" s="205">
        <f t="shared" si="79"/>
        <v>114.48336866755974</v>
      </c>
      <c r="AR60" s="205">
        <f t="shared" si="79"/>
        <v>119.91266987992152</v>
      </c>
      <c r="AS60" s="205">
        <f t="shared" si="79"/>
        <v>125.34197109228332</v>
      </c>
      <c r="AT60" s="205">
        <f t="shared" si="79"/>
        <v>130.77127230464509</v>
      </c>
      <c r="AU60" s="205">
        <f t="shared" si="79"/>
        <v>136.20057351700689</v>
      </c>
      <c r="AV60" s="205">
        <f t="shared" si="79"/>
        <v>141.62987472936868</v>
      </c>
      <c r="AW60" s="205">
        <f t="shared" si="79"/>
        <v>147.05917594173047</v>
      </c>
      <c r="AX60" s="205">
        <f t="shared" si="79"/>
        <v>152.48847715409227</v>
      </c>
      <c r="AY60" s="205">
        <f t="shared" si="79"/>
        <v>157.91777836645406</v>
      </c>
      <c r="AZ60" s="205">
        <f t="shared" si="79"/>
        <v>163.34707957881582</v>
      </c>
      <c r="BA60" s="205">
        <f t="shared" si="79"/>
        <v>168.77638079117762</v>
      </c>
      <c r="BB60" s="205">
        <f t="shared" si="79"/>
        <v>174.20568200353941</v>
      </c>
      <c r="BC60" s="205">
        <f t="shared" si="79"/>
        <v>179.6349832159012</v>
      </c>
      <c r="BD60" s="205">
        <f t="shared" si="79"/>
        <v>185.06428442826297</v>
      </c>
      <c r="BE60" s="205">
        <f t="shared" si="79"/>
        <v>190.49358564062476</v>
      </c>
      <c r="BF60" s="205">
        <f t="shared" si="79"/>
        <v>195.92288685298655</v>
      </c>
      <c r="BG60" s="205">
        <f t="shared" si="79"/>
        <v>201.35218806534834</v>
      </c>
      <c r="BH60" s="205">
        <f t="shared" si="79"/>
        <v>206.78148927771014</v>
      </c>
      <c r="BI60" s="205">
        <f t="shared" si="79"/>
        <v>212.2107904900719</v>
      </c>
      <c r="BJ60" s="205">
        <f t="shared" si="79"/>
        <v>217.64009170243369</v>
      </c>
      <c r="BK60" s="205">
        <f t="shared" si="79"/>
        <v>223.06939291479549</v>
      </c>
      <c r="BL60" s="205">
        <f t="shared" si="79"/>
        <v>228.49869412715728</v>
      </c>
      <c r="BM60" s="205">
        <f t="shared" si="79"/>
        <v>233.92799533951904</v>
      </c>
      <c r="BN60" s="205">
        <f t="shared" si="79"/>
        <v>236.36092851005029</v>
      </c>
      <c r="BO60" s="205">
        <f t="shared" si="79"/>
        <v>235.79749363875101</v>
      </c>
      <c r="BP60" s="205">
        <f t="shared" si="79"/>
        <v>235.23405876745173</v>
      </c>
      <c r="BQ60" s="205">
        <f t="shared" si="79"/>
        <v>234.67062389615245</v>
      </c>
      <c r="BR60" s="205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234.10718902485314</v>
      </c>
      <c r="BS60" s="205">
        <f t="shared" si="80"/>
        <v>233.54375415355386</v>
      </c>
      <c r="BT60" s="205">
        <f t="shared" si="80"/>
        <v>232.98031928225458</v>
      </c>
      <c r="BU60" s="205">
        <f t="shared" si="80"/>
        <v>232.4168844109553</v>
      </c>
      <c r="BV60" s="205">
        <f t="shared" si="80"/>
        <v>231.85344953965603</v>
      </c>
      <c r="BW60" s="205">
        <f t="shared" si="80"/>
        <v>231.29001466835672</v>
      </c>
      <c r="BX60" s="205">
        <f t="shared" si="80"/>
        <v>230.72657979705744</v>
      </c>
      <c r="BY60" s="205">
        <f t="shared" si="80"/>
        <v>230.16314492575816</v>
      </c>
      <c r="BZ60" s="205">
        <f t="shared" si="80"/>
        <v>229.59971005445888</v>
      </c>
      <c r="CA60" s="205">
        <f t="shared" si="80"/>
        <v>229.03627518315957</v>
      </c>
      <c r="CB60" s="205">
        <f t="shared" si="80"/>
        <v>228.4728403118603</v>
      </c>
      <c r="CC60" s="205">
        <f t="shared" si="80"/>
        <v>227.90940544056102</v>
      </c>
      <c r="CD60" s="205">
        <f t="shared" si="80"/>
        <v>227.34597056926174</v>
      </c>
      <c r="CE60" s="205">
        <f t="shared" si="80"/>
        <v>226.78253569796243</v>
      </c>
      <c r="CF60" s="205">
        <f t="shared" si="80"/>
        <v>226.21910082666315</v>
      </c>
      <c r="CG60" s="205">
        <f t="shared" si="80"/>
        <v>225.65566595536387</v>
      </c>
      <c r="CH60" s="205">
        <f t="shared" si="80"/>
        <v>225.09223108406459</v>
      </c>
      <c r="CI60" s="205">
        <f t="shared" si="80"/>
        <v>224.52879621276529</v>
      </c>
      <c r="CJ60" s="205">
        <f t="shared" si="80"/>
        <v>223.96536134146601</v>
      </c>
      <c r="CK60" s="205">
        <f t="shared" si="80"/>
        <v>223.40192647016673</v>
      </c>
      <c r="CL60" s="205">
        <f t="shared" si="80"/>
        <v>222.83849159886745</v>
      </c>
      <c r="CM60" s="205">
        <f t="shared" si="80"/>
        <v>222.27505672756814</v>
      </c>
      <c r="CN60" s="205">
        <f t="shared" si="80"/>
        <v>221.71162185626886</v>
      </c>
      <c r="CO60" s="205">
        <f t="shared" si="80"/>
        <v>221.14818698496958</v>
      </c>
      <c r="CP60" s="205">
        <f t="shared" si="80"/>
        <v>220.58475211367031</v>
      </c>
      <c r="CQ60" s="205">
        <f t="shared" si="80"/>
        <v>220.02131724237103</v>
      </c>
      <c r="CR60" s="205">
        <f t="shared" si="80"/>
        <v>209.27580933973465</v>
      </c>
      <c r="CS60" s="205">
        <f t="shared" si="80"/>
        <v>188.34822840576118</v>
      </c>
      <c r="CT60" s="205">
        <f t="shared" si="80"/>
        <v>167.42064747178773</v>
      </c>
      <c r="CU60" s="205">
        <f t="shared" si="80"/>
        <v>146.49306653781426</v>
      </c>
      <c r="CV60" s="205">
        <f t="shared" si="80"/>
        <v>125.56548560384078</v>
      </c>
      <c r="CW60" s="205">
        <f t="shared" si="80"/>
        <v>104.63790466986732</v>
      </c>
      <c r="CX60" s="205">
        <f t="shared" si="80"/>
        <v>83.710323735893866</v>
      </c>
      <c r="CY60" s="205">
        <f t="shared" si="80"/>
        <v>62.782742801920392</v>
      </c>
      <c r="CZ60" s="205">
        <f t="shared" si="80"/>
        <v>41.855161867946947</v>
      </c>
      <c r="DA60" s="205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20.927580933973474</v>
      </c>
    </row>
    <row r="61" spans="1:105" s="205" customFormat="1">
      <c r="A61" s="205" t="str">
        <f>Income!A74</f>
        <v>Animal products consumed</v>
      </c>
      <c r="F61" s="205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789.14337078418851</v>
      </c>
      <c r="G61" s="205">
        <f t="shared" si="81"/>
        <v>789.14337078418851</v>
      </c>
      <c r="H61" s="205">
        <f t="shared" si="81"/>
        <v>789.14337078418851</v>
      </c>
      <c r="I61" s="205">
        <f t="shared" si="81"/>
        <v>789.14337078418851</v>
      </c>
      <c r="J61" s="205">
        <f t="shared" si="81"/>
        <v>789.14337078418851</v>
      </c>
      <c r="K61" s="205">
        <f t="shared" si="81"/>
        <v>789.14337078418851</v>
      </c>
      <c r="L61" s="205">
        <f t="shared" si="81"/>
        <v>789.14337078418851</v>
      </c>
      <c r="M61" s="205">
        <f t="shared" si="81"/>
        <v>789.14337078418851</v>
      </c>
      <c r="N61" s="205">
        <f t="shared" si="81"/>
        <v>789.14337078418851</v>
      </c>
      <c r="O61" s="205">
        <f t="shared" si="81"/>
        <v>789.14337078418851</v>
      </c>
      <c r="P61" s="205">
        <f t="shared" si="81"/>
        <v>789.14337078418851</v>
      </c>
      <c r="Q61" s="205">
        <f t="shared" si="81"/>
        <v>789.14337078418851</v>
      </c>
      <c r="R61" s="205">
        <f t="shared" si="81"/>
        <v>789.14337078418851</v>
      </c>
      <c r="S61" s="205">
        <f t="shared" si="81"/>
        <v>789.14337078418851</v>
      </c>
      <c r="T61" s="205">
        <f t="shared" si="81"/>
        <v>789.14337078418851</v>
      </c>
      <c r="U61" s="205">
        <f t="shared" si="81"/>
        <v>789.14337078418851</v>
      </c>
      <c r="V61" s="205">
        <f t="shared" si="81"/>
        <v>789.14337078418851</v>
      </c>
      <c r="W61" s="205">
        <f t="shared" si="81"/>
        <v>789.14337078418851</v>
      </c>
      <c r="X61" s="205">
        <f t="shared" si="81"/>
        <v>789.14337078418851</v>
      </c>
      <c r="Y61" s="205">
        <f t="shared" si="81"/>
        <v>789.14337078418851</v>
      </c>
      <c r="Z61" s="205">
        <f t="shared" si="81"/>
        <v>789.14337078418851</v>
      </c>
      <c r="AA61" s="205">
        <f t="shared" si="81"/>
        <v>812.36529143649204</v>
      </c>
      <c r="AB61" s="205">
        <f t="shared" si="81"/>
        <v>835.5872120887957</v>
      </c>
      <c r="AC61" s="205">
        <f t="shared" si="81"/>
        <v>858.80913274109923</v>
      </c>
      <c r="AD61" s="205">
        <f t="shared" si="81"/>
        <v>882.03105339340277</v>
      </c>
      <c r="AE61" s="205">
        <f t="shared" si="81"/>
        <v>905.25297404570642</v>
      </c>
      <c r="AF61" s="205">
        <f t="shared" si="81"/>
        <v>928.47489469800996</v>
      </c>
      <c r="AG61" s="205">
        <f t="shared" si="81"/>
        <v>951.6968153503135</v>
      </c>
      <c r="AH61" s="205">
        <f t="shared" si="81"/>
        <v>974.91873600261715</v>
      </c>
      <c r="AI61" s="205">
        <f t="shared" si="81"/>
        <v>998.14065665492069</v>
      </c>
      <c r="AJ61" s="205">
        <f t="shared" si="81"/>
        <v>1021.3625773072242</v>
      </c>
      <c r="AK61" s="205">
        <f t="shared" si="81"/>
        <v>1044.5844979595279</v>
      </c>
      <c r="AL61" s="205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1067.8064186118313</v>
      </c>
      <c r="AM61" s="205">
        <f t="shared" si="82"/>
        <v>1091.028339264135</v>
      </c>
      <c r="AN61" s="205">
        <f t="shared" si="82"/>
        <v>1114.2502599164386</v>
      </c>
      <c r="AO61" s="205">
        <f t="shared" si="82"/>
        <v>1137.472180568742</v>
      </c>
      <c r="AP61" s="205">
        <f t="shared" si="82"/>
        <v>1160.6941012210457</v>
      </c>
      <c r="AQ61" s="205">
        <f t="shared" si="82"/>
        <v>1183.9160218733493</v>
      </c>
      <c r="AR61" s="205">
        <f t="shared" si="82"/>
        <v>1207.1379425256528</v>
      </c>
      <c r="AS61" s="205">
        <f t="shared" si="82"/>
        <v>1230.3598631779564</v>
      </c>
      <c r="AT61" s="205">
        <f t="shared" si="82"/>
        <v>1253.5817838302601</v>
      </c>
      <c r="AU61" s="205">
        <f t="shared" si="82"/>
        <v>1276.8037044825635</v>
      </c>
      <c r="AV61" s="205">
        <f t="shared" si="82"/>
        <v>1300.0256251348671</v>
      </c>
      <c r="AW61" s="205">
        <f t="shared" si="82"/>
        <v>1323.2475457871706</v>
      </c>
      <c r="AX61" s="205">
        <f t="shared" si="82"/>
        <v>1346.4694664394742</v>
      </c>
      <c r="AY61" s="205">
        <f t="shared" si="82"/>
        <v>1369.6913870917779</v>
      </c>
      <c r="AZ61" s="205">
        <f t="shared" si="82"/>
        <v>1392.9133077440815</v>
      </c>
      <c r="BA61" s="205">
        <f t="shared" si="82"/>
        <v>1416.1352283963849</v>
      </c>
      <c r="BB61" s="205">
        <f t="shared" si="82"/>
        <v>1439.3571490486886</v>
      </c>
      <c r="BC61" s="205">
        <f t="shared" si="82"/>
        <v>1462.579069700992</v>
      </c>
      <c r="BD61" s="205">
        <f t="shared" si="82"/>
        <v>1485.8009903532957</v>
      </c>
      <c r="BE61" s="205">
        <f t="shared" si="82"/>
        <v>1509.0229110055993</v>
      </c>
      <c r="BF61" s="205">
        <f t="shared" si="82"/>
        <v>1532.244831657903</v>
      </c>
      <c r="BG61" s="205">
        <f t="shared" si="82"/>
        <v>1555.4667523102064</v>
      </c>
      <c r="BH61" s="205">
        <f t="shared" si="82"/>
        <v>1578.6886729625101</v>
      </c>
      <c r="BI61" s="205">
        <f t="shared" si="82"/>
        <v>1601.9105936148135</v>
      </c>
      <c r="BJ61" s="205">
        <f t="shared" si="82"/>
        <v>1625.1325142671171</v>
      </c>
      <c r="BK61" s="205">
        <f t="shared" si="82"/>
        <v>1648.3544349194208</v>
      </c>
      <c r="BL61" s="205">
        <f t="shared" si="82"/>
        <v>1671.5763555717244</v>
      </c>
      <c r="BM61" s="205">
        <f t="shared" si="82"/>
        <v>1694.7982762240279</v>
      </c>
      <c r="BN61" s="205">
        <f t="shared" si="82"/>
        <v>1717.7934011123546</v>
      </c>
      <c r="BO61" s="205">
        <f t="shared" si="82"/>
        <v>1740.5617302367043</v>
      </c>
      <c r="BP61" s="205">
        <f t="shared" si="82"/>
        <v>1763.3300593610543</v>
      </c>
      <c r="BQ61" s="205">
        <f t="shared" si="82"/>
        <v>1786.098388485404</v>
      </c>
      <c r="BR61" s="205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1808.8667176097538</v>
      </c>
      <c r="BS61" s="205">
        <f t="shared" si="83"/>
        <v>1831.6350467341035</v>
      </c>
      <c r="BT61" s="205">
        <f t="shared" si="83"/>
        <v>1854.4033758584535</v>
      </c>
      <c r="BU61" s="205">
        <f t="shared" si="83"/>
        <v>1877.1717049828032</v>
      </c>
      <c r="BV61" s="205">
        <f t="shared" si="83"/>
        <v>1899.940034107153</v>
      </c>
      <c r="BW61" s="205">
        <f t="shared" si="83"/>
        <v>1922.708363231503</v>
      </c>
      <c r="BX61" s="205">
        <f t="shared" si="83"/>
        <v>1945.4766923558527</v>
      </c>
      <c r="BY61" s="205">
        <f t="shared" si="83"/>
        <v>1968.2450214802025</v>
      </c>
      <c r="BZ61" s="205">
        <f t="shared" si="83"/>
        <v>1991.0133506045522</v>
      </c>
      <c r="CA61" s="205">
        <f t="shared" si="83"/>
        <v>2013.781679728902</v>
      </c>
      <c r="CB61" s="205">
        <f t="shared" si="83"/>
        <v>2036.5500088532519</v>
      </c>
      <c r="CC61" s="205">
        <f t="shared" si="83"/>
        <v>2059.3183379776019</v>
      </c>
      <c r="CD61" s="205">
        <f t="shared" si="83"/>
        <v>2082.0866671019517</v>
      </c>
      <c r="CE61" s="205">
        <f t="shared" si="83"/>
        <v>2104.8549962263014</v>
      </c>
      <c r="CF61" s="205">
        <f t="shared" si="83"/>
        <v>2127.6233253506512</v>
      </c>
      <c r="CG61" s="205">
        <f t="shared" si="83"/>
        <v>2150.3916544750009</v>
      </c>
      <c r="CH61" s="205">
        <f t="shared" si="83"/>
        <v>2173.1599835993507</v>
      </c>
      <c r="CI61" s="205">
        <f t="shared" si="83"/>
        <v>2195.9283127237004</v>
      </c>
      <c r="CJ61" s="205">
        <f t="shared" si="83"/>
        <v>2218.6966418480506</v>
      </c>
      <c r="CK61" s="205">
        <f t="shared" si="83"/>
        <v>2241.4649709723999</v>
      </c>
      <c r="CL61" s="205">
        <f t="shared" si="83"/>
        <v>2264.2333000967501</v>
      </c>
      <c r="CM61" s="205">
        <f t="shared" si="83"/>
        <v>2287.0016292210998</v>
      </c>
      <c r="CN61" s="205">
        <f t="shared" si="83"/>
        <v>2309.7699583454496</v>
      </c>
      <c r="CO61" s="205">
        <f t="shared" si="83"/>
        <v>2332.5382874697993</v>
      </c>
      <c r="CP61" s="205">
        <f t="shared" si="83"/>
        <v>2355.3066165941491</v>
      </c>
      <c r="CQ61" s="205">
        <f t="shared" si="83"/>
        <v>2378.0749457184993</v>
      </c>
      <c r="CR61" s="205">
        <f t="shared" si="83"/>
        <v>2275.6753431244515</v>
      </c>
      <c r="CS61" s="205">
        <f t="shared" si="83"/>
        <v>2048.1078088120062</v>
      </c>
      <c r="CT61" s="205">
        <f t="shared" si="83"/>
        <v>1820.5402744995611</v>
      </c>
      <c r="CU61" s="205">
        <f t="shared" si="83"/>
        <v>1592.972740187116</v>
      </c>
      <c r="CV61" s="205">
        <f t="shared" si="83"/>
        <v>1365.4052058746709</v>
      </c>
      <c r="CW61" s="205">
        <f t="shared" si="83"/>
        <v>1137.8376715622258</v>
      </c>
      <c r="CX61" s="205">
        <f t="shared" si="83"/>
        <v>910.27013724978065</v>
      </c>
      <c r="CY61" s="205">
        <f t="shared" si="83"/>
        <v>682.70260293733554</v>
      </c>
      <c r="CZ61" s="205">
        <f t="shared" si="83"/>
        <v>455.13506862489021</v>
      </c>
      <c r="DA61" s="205">
        <f t="shared" si="83"/>
        <v>227.56753431244533</v>
      </c>
    </row>
    <row r="62" spans="1:105" s="205" customFormat="1">
      <c r="A62" s="205" t="str">
        <f>Income!A75</f>
        <v>Animal products sold</v>
      </c>
      <c r="F62" s="205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5">
        <f t="shared" si="84"/>
        <v>0</v>
      </c>
      <c r="H62" s="205">
        <f t="shared" si="84"/>
        <v>0</v>
      </c>
      <c r="I62" s="205">
        <f t="shared" si="84"/>
        <v>0</v>
      </c>
      <c r="J62" s="205">
        <f t="shared" si="84"/>
        <v>0</v>
      </c>
      <c r="K62" s="205">
        <f t="shared" si="84"/>
        <v>0</v>
      </c>
      <c r="L62" s="205">
        <f t="shared" si="84"/>
        <v>0</v>
      </c>
      <c r="M62" s="205">
        <f t="shared" si="84"/>
        <v>0</v>
      </c>
      <c r="N62" s="205">
        <f t="shared" si="84"/>
        <v>0</v>
      </c>
      <c r="O62" s="205">
        <f t="shared" si="84"/>
        <v>0</v>
      </c>
      <c r="P62" s="205">
        <f t="shared" si="84"/>
        <v>0</v>
      </c>
      <c r="Q62" s="205">
        <f t="shared" si="84"/>
        <v>0</v>
      </c>
      <c r="R62" s="205">
        <f t="shared" si="84"/>
        <v>0</v>
      </c>
      <c r="S62" s="205">
        <f t="shared" si="84"/>
        <v>0</v>
      </c>
      <c r="T62" s="205">
        <f t="shared" si="84"/>
        <v>0</v>
      </c>
      <c r="U62" s="205">
        <f t="shared" si="84"/>
        <v>0</v>
      </c>
      <c r="V62" s="205">
        <f t="shared" si="84"/>
        <v>0</v>
      </c>
      <c r="W62" s="205">
        <f t="shared" si="84"/>
        <v>0</v>
      </c>
      <c r="X62" s="205">
        <f t="shared" si="84"/>
        <v>0</v>
      </c>
      <c r="Y62" s="205">
        <f t="shared" si="84"/>
        <v>0</v>
      </c>
      <c r="Z62" s="205">
        <f t="shared" si="84"/>
        <v>0</v>
      </c>
      <c r="AA62" s="205">
        <f t="shared" si="84"/>
        <v>0</v>
      </c>
      <c r="AB62" s="205">
        <f t="shared" si="84"/>
        <v>0</v>
      </c>
      <c r="AC62" s="205">
        <f t="shared" si="84"/>
        <v>0</v>
      </c>
      <c r="AD62" s="205">
        <f t="shared" si="84"/>
        <v>0</v>
      </c>
      <c r="AE62" s="205">
        <f t="shared" si="84"/>
        <v>0</v>
      </c>
      <c r="AF62" s="205">
        <f t="shared" si="84"/>
        <v>0</v>
      </c>
      <c r="AG62" s="205">
        <f t="shared" si="84"/>
        <v>0</v>
      </c>
      <c r="AH62" s="205">
        <f t="shared" si="84"/>
        <v>0</v>
      </c>
      <c r="AI62" s="205">
        <f t="shared" si="84"/>
        <v>0</v>
      </c>
      <c r="AJ62" s="205">
        <f t="shared" si="84"/>
        <v>0</v>
      </c>
      <c r="AK62" s="205">
        <f t="shared" si="84"/>
        <v>0</v>
      </c>
      <c r="AL62" s="205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5">
        <f t="shared" si="85"/>
        <v>0</v>
      </c>
      <c r="AN62" s="205">
        <f t="shared" si="85"/>
        <v>0</v>
      </c>
      <c r="AO62" s="205">
        <f t="shared" si="85"/>
        <v>0</v>
      </c>
      <c r="AP62" s="205">
        <f t="shared" si="85"/>
        <v>0</v>
      </c>
      <c r="AQ62" s="205">
        <f t="shared" si="85"/>
        <v>0</v>
      </c>
      <c r="AR62" s="205">
        <f t="shared" si="85"/>
        <v>0</v>
      </c>
      <c r="AS62" s="205">
        <f t="shared" si="85"/>
        <v>0</v>
      </c>
      <c r="AT62" s="205">
        <f t="shared" si="85"/>
        <v>0</v>
      </c>
      <c r="AU62" s="205">
        <f t="shared" si="85"/>
        <v>0</v>
      </c>
      <c r="AV62" s="205">
        <f t="shared" si="85"/>
        <v>0</v>
      </c>
      <c r="AW62" s="205">
        <f t="shared" si="85"/>
        <v>0</v>
      </c>
      <c r="AX62" s="205">
        <f t="shared" si="85"/>
        <v>0</v>
      </c>
      <c r="AY62" s="205">
        <f t="shared" si="85"/>
        <v>0</v>
      </c>
      <c r="AZ62" s="205">
        <f t="shared" si="85"/>
        <v>0</v>
      </c>
      <c r="BA62" s="205">
        <f t="shared" si="85"/>
        <v>0</v>
      </c>
      <c r="BB62" s="205">
        <f t="shared" si="85"/>
        <v>0</v>
      </c>
      <c r="BC62" s="205">
        <f t="shared" si="85"/>
        <v>0</v>
      </c>
      <c r="BD62" s="205">
        <f t="shared" si="85"/>
        <v>0</v>
      </c>
      <c r="BE62" s="205">
        <f t="shared" si="85"/>
        <v>0</v>
      </c>
      <c r="BF62" s="205">
        <f t="shared" si="85"/>
        <v>0</v>
      </c>
      <c r="BG62" s="205">
        <f t="shared" si="85"/>
        <v>0</v>
      </c>
      <c r="BH62" s="205">
        <f t="shared" si="85"/>
        <v>0</v>
      </c>
      <c r="BI62" s="205">
        <f t="shared" si="85"/>
        <v>0</v>
      </c>
      <c r="BJ62" s="205">
        <f t="shared" si="85"/>
        <v>0</v>
      </c>
      <c r="BK62" s="205">
        <f t="shared" si="85"/>
        <v>0</v>
      </c>
      <c r="BL62" s="205">
        <f t="shared" si="85"/>
        <v>0</v>
      </c>
      <c r="BM62" s="205">
        <f t="shared" si="85"/>
        <v>0</v>
      </c>
      <c r="BN62" s="205">
        <f t="shared" si="85"/>
        <v>0</v>
      </c>
      <c r="BO62" s="205">
        <f t="shared" si="85"/>
        <v>0</v>
      </c>
      <c r="BP62" s="205">
        <f t="shared" si="85"/>
        <v>0</v>
      </c>
      <c r="BQ62" s="205">
        <f t="shared" si="85"/>
        <v>0</v>
      </c>
      <c r="BR62" s="205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5">
        <f t="shared" si="86"/>
        <v>0</v>
      </c>
      <c r="BT62" s="205">
        <f t="shared" si="86"/>
        <v>0</v>
      </c>
      <c r="BU62" s="205">
        <f t="shared" si="86"/>
        <v>0</v>
      </c>
      <c r="BV62" s="205">
        <f t="shared" si="86"/>
        <v>0</v>
      </c>
      <c r="BW62" s="205">
        <f t="shared" si="86"/>
        <v>0</v>
      </c>
      <c r="BX62" s="205">
        <f t="shared" si="86"/>
        <v>0</v>
      </c>
      <c r="BY62" s="205">
        <f t="shared" si="86"/>
        <v>0</v>
      </c>
      <c r="BZ62" s="205">
        <f t="shared" si="86"/>
        <v>0</v>
      </c>
      <c r="CA62" s="205">
        <f t="shared" si="86"/>
        <v>0</v>
      </c>
      <c r="CB62" s="205">
        <f t="shared" si="86"/>
        <v>0</v>
      </c>
      <c r="CC62" s="205">
        <f t="shared" si="86"/>
        <v>0</v>
      </c>
      <c r="CD62" s="205">
        <f t="shared" si="86"/>
        <v>0</v>
      </c>
      <c r="CE62" s="205">
        <f t="shared" si="86"/>
        <v>0</v>
      </c>
      <c r="CF62" s="205">
        <f t="shared" si="86"/>
        <v>0</v>
      </c>
      <c r="CG62" s="205">
        <f t="shared" si="86"/>
        <v>0</v>
      </c>
      <c r="CH62" s="205">
        <f t="shared" si="86"/>
        <v>0</v>
      </c>
      <c r="CI62" s="205">
        <f t="shared" si="86"/>
        <v>0</v>
      </c>
      <c r="CJ62" s="205">
        <f t="shared" si="86"/>
        <v>0</v>
      </c>
      <c r="CK62" s="205">
        <f t="shared" si="86"/>
        <v>0</v>
      </c>
      <c r="CL62" s="205">
        <f t="shared" si="86"/>
        <v>0</v>
      </c>
      <c r="CM62" s="205">
        <f t="shared" si="86"/>
        <v>0</v>
      </c>
      <c r="CN62" s="205">
        <f t="shared" si="86"/>
        <v>0</v>
      </c>
      <c r="CO62" s="205">
        <f t="shared" si="86"/>
        <v>0</v>
      </c>
      <c r="CP62" s="205">
        <f t="shared" si="86"/>
        <v>0</v>
      </c>
      <c r="CQ62" s="205">
        <f t="shared" si="86"/>
        <v>0</v>
      </c>
      <c r="CR62" s="205">
        <f t="shared" si="86"/>
        <v>0</v>
      </c>
      <c r="CS62" s="205">
        <f t="shared" si="86"/>
        <v>0</v>
      </c>
      <c r="CT62" s="205">
        <f t="shared" si="86"/>
        <v>0</v>
      </c>
      <c r="CU62" s="205">
        <f t="shared" si="86"/>
        <v>0</v>
      </c>
      <c r="CV62" s="205">
        <f t="shared" si="86"/>
        <v>0</v>
      </c>
      <c r="CW62" s="205">
        <f t="shared" si="86"/>
        <v>0</v>
      </c>
      <c r="CX62" s="205">
        <f t="shared" si="86"/>
        <v>0</v>
      </c>
      <c r="CY62" s="205">
        <f t="shared" si="86"/>
        <v>0</v>
      </c>
      <c r="CZ62" s="205">
        <f t="shared" si="86"/>
        <v>0</v>
      </c>
      <c r="DA62" s="205">
        <f t="shared" si="86"/>
        <v>0</v>
      </c>
    </row>
    <row r="63" spans="1:105" s="205" customFormat="1">
      <c r="A63" s="205" t="str">
        <f>Income!A76</f>
        <v>Animals sold</v>
      </c>
      <c r="F63" s="205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9317.8041841119357</v>
      </c>
      <c r="G63" s="205">
        <f t="shared" si="87"/>
        <v>9317.8041841119357</v>
      </c>
      <c r="H63" s="205">
        <f t="shared" si="87"/>
        <v>9317.8041841119357</v>
      </c>
      <c r="I63" s="205">
        <f t="shared" si="87"/>
        <v>9317.8041841119357</v>
      </c>
      <c r="J63" s="205">
        <f t="shared" si="87"/>
        <v>9317.8041841119357</v>
      </c>
      <c r="K63" s="205">
        <f t="shared" si="87"/>
        <v>9317.8041841119357</v>
      </c>
      <c r="L63" s="205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9317.8041841119357</v>
      </c>
      <c r="M63" s="205">
        <f t="shared" si="87"/>
        <v>9317.8041841119357</v>
      </c>
      <c r="N63" s="205">
        <f t="shared" si="87"/>
        <v>9317.8041841119357</v>
      </c>
      <c r="O63" s="205">
        <f t="shared" si="87"/>
        <v>9317.8041841119357</v>
      </c>
      <c r="P63" s="205">
        <f t="shared" si="87"/>
        <v>9317.8041841119357</v>
      </c>
      <c r="Q63" s="205">
        <f t="shared" si="87"/>
        <v>9317.8041841119357</v>
      </c>
      <c r="R63" s="205">
        <f t="shared" si="87"/>
        <v>9317.8041841119357</v>
      </c>
      <c r="S63" s="205">
        <f t="shared" si="87"/>
        <v>9317.8041841119357</v>
      </c>
      <c r="T63" s="205">
        <f t="shared" si="87"/>
        <v>9317.8041841119357</v>
      </c>
      <c r="U63" s="205">
        <f t="shared" si="87"/>
        <v>9317.8041841119357</v>
      </c>
      <c r="V63" s="205">
        <f t="shared" si="87"/>
        <v>9317.8041841119357</v>
      </c>
      <c r="W63" s="205">
        <f t="shared" si="87"/>
        <v>9317.8041841119357</v>
      </c>
      <c r="X63" s="205">
        <f t="shared" si="87"/>
        <v>9317.8041841119357</v>
      </c>
      <c r="Y63" s="205">
        <f t="shared" si="87"/>
        <v>9317.8041841119357</v>
      </c>
      <c r="Z63" s="205">
        <f t="shared" si="87"/>
        <v>9317.8041841119357</v>
      </c>
      <c r="AA63" s="205">
        <f t="shared" si="87"/>
        <v>9452.6006280050551</v>
      </c>
      <c r="AB63" s="205">
        <f t="shared" si="87"/>
        <v>9587.3970718981764</v>
      </c>
      <c r="AC63" s="205">
        <f t="shared" si="87"/>
        <v>9722.1935157912958</v>
      </c>
      <c r="AD63" s="205">
        <f t="shared" si="87"/>
        <v>9856.989959684417</v>
      </c>
      <c r="AE63" s="205">
        <f t="shared" si="87"/>
        <v>9991.7864035775365</v>
      </c>
      <c r="AF63" s="205">
        <f t="shared" si="87"/>
        <v>10126.582847470656</v>
      </c>
      <c r="AG63" s="205">
        <f t="shared" si="87"/>
        <v>10261.379291363777</v>
      </c>
      <c r="AH63" s="205">
        <f t="shared" si="87"/>
        <v>10396.175735256897</v>
      </c>
      <c r="AI63" s="205">
        <f t="shared" si="87"/>
        <v>10530.972179150018</v>
      </c>
      <c r="AJ63" s="205">
        <f t="shared" si="87"/>
        <v>10665.768623043137</v>
      </c>
      <c r="AK63" s="205">
        <f t="shared" si="87"/>
        <v>10800.565066936259</v>
      </c>
      <c r="AL63" s="205">
        <f t="shared" si="87"/>
        <v>10935.361510829378</v>
      </c>
      <c r="AM63" s="205">
        <f t="shared" si="87"/>
        <v>11070.157954722497</v>
      </c>
      <c r="AN63" s="205">
        <f t="shared" si="87"/>
        <v>11204.954398615619</v>
      </c>
      <c r="AO63" s="205">
        <f t="shared" si="87"/>
        <v>11339.750842508738</v>
      </c>
      <c r="AP63" s="205">
        <f t="shared" si="87"/>
        <v>11474.547286401859</v>
      </c>
      <c r="AQ63" s="205">
        <f t="shared" si="87"/>
        <v>11609.343730294979</v>
      </c>
      <c r="AR63" s="205">
        <f t="shared" si="87"/>
        <v>11744.140174188098</v>
      </c>
      <c r="AS63" s="205">
        <f t="shared" si="87"/>
        <v>11878.936618081219</v>
      </c>
      <c r="AT63" s="205">
        <f t="shared" si="87"/>
        <v>12013.733061974339</v>
      </c>
      <c r="AU63" s="205">
        <f t="shared" si="87"/>
        <v>12148.52950586746</v>
      </c>
      <c r="AV63" s="205">
        <f t="shared" si="87"/>
        <v>12283.32594976058</v>
      </c>
      <c r="AW63" s="205">
        <f t="shared" si="87"/>
        <v>12418.122393653699</v>
      </c>
      <c r="AX63" s="205">
        <f t="shared" si="87"/>
        <v>12552.91883754682</v>
      </c>
      <c r="AY63" s="205">
        <f t="shared" si="87"/>
        <v>12687.71528143994</v>
      </c>
      <c r="AZ63" s="205">
        <f t="shared" si="87"/>
        <v>12822.511725333061</v>
      </c>
      <c r="BA63" s="205">
        <f t="shared" si="87"/>
        <v>12957.30816922618</v>
      </c>
      <c r="BB63" s="205">
        <f t="shared" si="87"/>
        <v>13092.1046131193</v>
      </c>
      <c r="BC63" s="205">
        <f t="shared" si="87"/>
        <v>13226.901057012421</v>
      </c>
      <c r="BD63" s="205">
        <f t="shared" si="87"/>
        <v>13361.69750090554</v>
      </c>
      <c r="BE63" s="205">
        <f t="shared" si="87"/>
        <v>13496.493944798662</v>
      </c>
      <c r="BF63" s="205">
        <f t="shared" si="87"/>
        <v>13631.290388691781</v>
      </c>
      <c r="BG63" s="205">
        <f t="shared" si="87"/>
        <v>13766.086832584901</v>
      </c>
      <c r="BH63" s="205">
        <f t="shared" si="87"/>
        <v>13900.883276478022</v>
      </c>
      <c r="BI63" s="205">
        <f t="shared" si="87"/>
        <v>14035.679720371141</v>
      </c>
      <c r="BJ63" s="205">
        <f t="shared" si="87"/>
        <v>14170.476164264262</v>
      </c>
      <c r="BK63" s="205">
        <f t="shared" si="87"/>
        <v>14305.272608157382</v>
      </c>
      <c r="BL63" s="205">
        <f t="shared" si="87"/>
        <v>14440.069052050501</v>
      </c>
      <c r="BM63" s="205">
        <f t="shared" si="87"/>
        <v>14574.865495943623</v>
      </c>
      <c r="BN63" s="205">
        <f t="shared" si="87"/>
        <v>14761.641481246719</v>
      </c>
      <c r="BO63" s="205">
        <f t="shared" si="87"/>
        <v>15000.397007959791</v>
      </c>
      <c r="BP63" s="205">
        <f t="shared" si="87"/>
        <v>15239.152534672863</v>
      </c>
      <c r="BQ63" s="205">
        <f t="shared" si="87"/>
        <v>15477.908061385935</v>
      </c>
      <c r="BR63" s="205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15716.663588099007</v>
      </c>
      <c r="BS63" s="205">
        <f t="shared" si="89"/>
        <v>15955.419114812081</v>
      </c>
      <c r="BT63" s="205">
        <f t="shared" si="89"/>
        <v>16194.174641525153</v>
      </c>
      <c r="BU63" s="205">
        <f t="shared" si="89"/>
        <v>16432.930168238225</v>
      </c>
      <c r="BV63" s="205">
        <f t="shared" si="89"/>
        <v>16671.685694951299</v>
      </c>
      <c r="BW63" s="205">
        <f t="shared" si="89"/>
        <v>16910.441221664369</v>
      </c>
      <c r="BX63" s="205">
        <f t="shared" si="89"/>
        <v>17149.196748377442</v>
      </c>
      <c r="BY63" s="205">
        <f t="shared" si="89"/>
        <v>17387.952275090513</v>
      </c>
      <c r="BZ63" s="205">
        <f t="shared" si="89"/>
        <v>17626.707801803586</v>
      </c>
      <c r="CA63" s="205">
        <f t="shared" si="89"/>
        <v>17865.46332851666</v>
      </c>
      <c r="CB63" s="205">
        <f t="shared" si="89"/>
        <v>18104.21885522973</v>
      </c>
      <c r="CC63" s="205">
        <f t="shared" si="89"/>
        <v>18342.974381942804</v>
      </c>
      <c r="CD63" s="205">
        <f t="shared" si="89"/>
        <v>18581.729908655874</v>
      </c>
      <c r="CE63" s="205">
        <f t="shared" si="89"/>
        <v>18820.485435368948</v>
      </c>
      <c r="CF63" s="205">
        <f t="shared" si="89"/>
        <v>19059.240962082022</v>
      </c>
      <c r="CG63" s="205">
        <f t="shared" si="89"/>
        <v>19297.996488795092</v>
      </c>
      <c r="CH63" s="205">
        <f t="shared" si="89"/>
        <v>19536.752015508166</v>
      </c>
      <c r="CI63" s="205">
        <f t="shared" si="89"/>
        <v>19775.507542221239</v>
      </c>
      <c r="CJ63" s="205">
        <f t="shared" si="89"/>
        <v>20014.26306893431</v>
      </c>
      <c r="CK63" s="205">
        <f t="shared" si="89"/>
        <v>20253.018595647383</v>
      </c>
      <c r="CL63" s="205">
        <f t="shared" si="89"/>
        <v>20491.774122360453</v>
      </c>
      <c r="CM63" s="205">
        <f t="shared" si="89"/>
        <v>20730.529649073527</v>
      </c>
      <c r="CN63" s="205">
        <f t="shared" si="89"/>
        <v>20969.285175786601</v>
      </c>
      <c r="CO63" s="205">
        <f t="shared" si="89"/>
        <v>21208.040702499671</v>
      </c>
      <c r="CP63" s="205">
        <f t="shared" si="89"/>
        <v>21446.796229212745</v>
      </c>
      <c r="CQ63" s="205">
        <f t="shared" si="89"/>
        <v>21685.551755925815</v>
      </c>
      <c r="CR63" s="205">
        <f t="shared" si="89"/>
        <v>20766.59954217367</v>
      </c>
      <c r="CS63" s="205">
        <f t="shared" si="89"/>
        <v>18689.939587956302</v>
      </c>
      <c r="CT63" s="205">
        <f t="shared" si="89"/>
        <v>16613.279633738937</v>
      </c>
      <c r="CU63" s="205">
        <f t="shared" si="89"/>
        <v>14536.619679521569</v>
      </c>
      <c r="CV63" s="205">
        <f t="shared" si="89"/>
        <v>12459.959725304201</v>
      </c>
      <c r="CW63" s="205">
        <f t="shared" si="89"/>
        <v>10383.299771086835</v>
      </c>
      <c r="CX63" s="205">
        <f t="shared" si="89"/>
        <v>8306.6398168694686</v>
      </c>
      <c r="CY63" s="205">
        <f t="shared" si="89"/>
        <v>6229.9798626521024</v>
      </c>
      <c r="CZ63" s="205">
        <f t="shared" si="89"/>
        <v>4153.3199084347361</v>
      </c>
      <c r="DA63" s="205">
        <f t="shared" si="89"/>
        <v>2076.6599542173681</v>
      </c>
    </row>
    <row r="64" spans="1:105" s="205" customFormat="1">
      <c r="A64" s="205" t="str">
        <f>Income!A77</f>
        <v>Wild foods consumed and sold</v>
      </c>
      <c r="F64" s="205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134.83800122135537</v>
      </c>
      <c r="G64" s="205">
        <f t="shared" si="90"/>
        <v>134.83800122135537</v>
      </c>
      <c r="H64" s="205">
        <f t="shared" si="90"/>
        <v>134.83800122135537</v>
      </c>
      <c r="I64" s="205">
        <f t="shared" si="90"/>
        <v>134.83800122135537</v>
      </c>
      <c r="J64" s="205">
        <f t="shared" si="90"/>
        <v>134.83800122135537</v>
      </c>
      <c r="K64" s="205">
        <f t="shared" si="90"/>
        <v>134.83800122135537</v>
      </c>
      <c r="L64" s="205">
        <f t="shared" si="88"/>
        <v>134.83800122135537</v>
      </c>
      <c r="M64" s="205">
        <f t="shared" si="90"/>
        <v>134.83800122135537</v>
      </c>
      <c r="N64" s="205">
        <f t="shared" si="90"/>
        <v>134.83800122135537</v>
      </c>
      <c r="O64" s="205">
        <f t="shared" si="90"/>
        <v>134.83800122135537</v>
      </c>
      <c r="P64" s="205">
        <f t="shared" si="90"/>
        <v>134.83800122135537</v>
      </c>
      <c r="Q64" s="205">
        <f t="shared" si="90"/>
        <v>134.83800122135537</v>
      </c>
      <c r="R64" s="205">
        <f t="shared" si="90"/>
        <v>134.83800122135537</v>
      </c>
      <c r="S64" s="205">
        <f t="shared" si="90"/>
        <v>134.83800122135537</v>
      </c>
      <c r="T64" s="205">
        <f t="shared" si="90"/>
        <v>134.83800122135537</v>
      </c>
      <c r="U64" s="205">
        <f t="shared" si="90"/>
        <v>134.83800122135537</v>
      </c>
      <c r="V64" s="205">
        <f t="shared" si="90"/>
        <v>134.83800122135537</v>
      </c>
      <c r="W64" s="205">
        <f t="shared" si="90"/>
        <v>134.83800122135537</v>
      </c>
      <c r="X64" s="205">
        <f t="shared" si="90"/>
        <v>134.83800122135537</v>
      </c>
      <c r="Y64" s="205">
        <f t="shared" si="90"/>
        <v>134.83800122135537</v>
      </c>
      <c r="Z64" s="205">
        <f t="shared" si="90"/>
        <v>134.83800122135537</v>
      </c>
      <c r="AA64" s="205">
        <f t="shared" si="90"/>
        <v>134.83800122135537</v>
      </c>
      <c r="AB64" s="205">
        <f t="shared" si="90"/>
        <v>134.83800122135537</v>
      </c>
      <c r="AC64" s="205">
        <f t="shared" si="90"/>
        <v>134.83800122135537</v>
      </c>
      <c r="AD64" s="205">
        <f t="shared" si="90"/>
        <v>134.83800122135537</v>
      </c>
      <c r="AE64" s="205">
        <f t="shared" si="90"/>
        <v>134.83800122135537</v>
      </c>
      <c r="AF64" s="205">
        <f t="shared" si="90"/>
        <v>134.83800122135537</v>
      </c>
      <c r="AG64" s="205">
        <f t="shared" si="90"/>
        <v>134.83800122135537</v>
      </c>
      <c r="AH64" s="205">
        <f t="shared" si="90"/>
        <v>134.83800122135537</v>
      </c>
      <c r="AI64" s="205">
        <f t="shared" si="90"/>
        <v>134.83800122135537</v>
      </c>
      <c r="AJ64" s="205">
        <f t="shared" si="90"/>
        <v>134.83800122135537</v>
      </c>
      <c r="AK64" s="205">
        <f t="shared" si="90"/>
        <v>134.83800122135537</v>
      </c>
      <c r="AL64" s="205">
        <f t="shared" si="90"/>
        <v>134.83800122135537</v>
      </c>
      <c r="AM64" s="205">
        <f t="shared" si="90"/>
        <v>134.83800122135537</v>
      </c>
      <c r="AN64" s="205">
        <f t="shared" si="90"/>
        <v>134.83800122135537</v>
      </c>
      <c r="AO64" s="205">
        <f t="shared" si="90"/>
        <v>134.83800122135537</v>
      </c>
      <c r="AP64" s="205">
        <f t="shared" si="90"/>
        <v>134.83800122135537</v>
      </c>
      <c r="AQ64" s="205">
        <f t="shared" si="90"/>
        <v>134.83800122135537</v>
      </c>
      <c r="AR64" s="205">
        <f t="shared" si="90"/>
        <v>134.83800122135537</v>
      </c>
      <c r="AS64" s="205">
        <f t="shared" si="90"/>
        <v>134.83800122135537</v>
      </c>
      <c r="AT64" s="205">
        <f t="shared" si="90"/>
        <v>134.83800122135534</v>
      </c>
      <c r="AU64" s="205">
        <f t="shared" si="90"/>
        <v>134.83800122135534</v>
      </c>
      <c r="AV64" s="205">
        <f t="shared" si="90"/>
        <v>134.83800122135534</v>
      </c>
      <c r="AW64" s="205">
        <f t="shared" si="90"/>
        <v>134.83800122135534</v>
      </c>
      <c r="AX64" s="205">
        <f t="shared" si="90"/>
        <v>134.83800122135534</v>
      </c>
      <c r="AY64" s="205">
        <f t="shared" si="90"/>
        <v>134.83800122135534</v>
      </c>
      <c r="AZ64" s="205">
        <f t="shared" si="90"/>
        <v>134.83800122135534</v>
      </c>
      <c r="BA64" s="205">
        <f t="shared" si="90"/>
        <v>134.83800122135534</v>
      </c>
      <c r="BB64" s="205">
        <f t="shared" si="90"/>
        <v>134.83800122135534</v>
      </c>
      <c r="BC64" s="205">
        <f t="shared" si="90"/>
        <v>134.83800122135534</v>
      </c>
      <c r="BD64" s="205">
        <f t="shared" si="90"/>
        <v>134.83800122135534</v>
      </c>
      <c r="BE64" s="205">
        <f t="shared" si="90"/>
        <v>134.83800122135534</v>
      </c>
      <c r="BF64" s="205">
        <f t="shared" si="90"/>
        <v>134.83800122135534</v>
      </c>
      <c r="BG64" s="205">
        <f t="shared" si="90"/>
        <v>134.83800122135534</v>
      </c>
      <c r="BH64" s="205">
        <f t="shared" si="90"/>
        <v>134.83800122135534</v>
      </c>
      <c r="BI64" s="205">
        <f t="shared" si="90"/>
        <v>134.83800122135534</v>
      </c>
      <c r="BJ64" s="205">
        <f t="shared" si="90"/>
        <v>134.83800122135534</v>
      </c>
      <c r="BK64" s="205">
        <f t="shared" si="90"/>
        <v>134.83800122135534</v>
      </c>
      <c r="BL64" s="205">
        <f t="shared" si="90"/>
        <v>134.83800122135534</v>
      </c>
      <c r="BM64" s="205">
        <f t="shared" si="90"/>
        <v>134.83800122135534</v>
      </c>
      <c r="BN64" s="205">
        <f t="shared" si="90"/>
        <v>136.01515837487511</v>
      </c>
      <c r="BO64" s="205">
        <f t="shared" si="90"/>
        <v>138.36947268191466</v>
      </c>
      <c r="BP64" s="205">
        <f t="shared" si="90"/>
        <v>140.7237869889542</v>
      </c>
      <c r="BQ64" s="205">
        <f t="shared" si="90"/>
        <v>143.07810129599372</v>
      </c>
      <c r="BR64" s="205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145.43241560303326</v>
      </c>
      <c r="BS64" s="205">
        <f t="shared" si="91"/>
        <v>147.78672991007281</v>
      </c>
      <c r="BT64" s="205">
        <f t="shared" si="91"/>
        <v>150.14104421711235</v>
      </c>
      <c r="BU64" s="205">
        <f t="shared" si="91"/>
        <v>152.4953585241519</v>
      </c>
      <c r="BV64" s="205">
        <f t="shared" si="91"/>
        <v>154.84967283119141</v>
      </c>
      <c r="BW64" s="205">
        <f t="shared" si="91"/>
        <v>157.20398713823096</v>
      </c>
      <c r="BX64" s="205">
        <f t="shared" si="91"/>
        <v>159.5583014452705</v>
      </c>
      <c r="BY64" s="205">
        <f t="shared" si="91"/>
        <v>161.91261575231005</v>
      </c>
      <c r="BZ64" s="205">
        <f t="shared" si="91"/>
        <v>164.26693005934959</v>
      </c>
      <c r="CA64" s="205">
        <f t="shared" si="91"/>
        <v>166.62124436638913</v>
      </c>
      <c r="CB64" s="205">
        <f t="shared" si="91"/>
        <v>168.97555867342868</v>
      </c>
      <c r="CC64" s="205">
        <f t="shared" si="91"/>
        <v>171.3298729804682</v>
      </c>
      <c r="CD64" s="205">
        <f t="shared" si="91"/>
        <v>173.68418728750774</v>
      </c>
      <c r="CE64" s="205">
        <f t="shared" si="91"/>
        <v>176.03850159454728</v>
      </c>
      <c r="CF64" s="205">
        <f t="shared" si="91"/>
        <v>178.39281590158683</v>
      </c>
      <c r="CG64" s="205">
        <f t="shared" si="91"/>
        <v>180.74713020862637</v>
      </c>
      <c r="CH64" s="205">
        <f t="shared" si="91"/>
        <v>183.10144451566589</v>
      </c>
      <c r="CI64" s="205">
        <f t="shared" si="91"/>
        <v>185.45575882270543</v>
      </c>
      <c r="CJ64" s="205">
        <f t="shared" si="91"/>
        <v>187.81007312974498</v>
      </c>
      <c r="CK64" s="205">
        <f t="shared" si="91"/>
        <v>190.16438743678452</v>
      </c>
      <c r="CL64" s="205">
        <f t="shared" si="91"/>
        <v>192.51870174382407</v>
      </c>
      <c r="CM64" s="205">
        <f t="shared" si="91"/>
        <v>194.87301605086361</v>
      </c>
      <c r="CN64" s="205">
        <f t="shared" si="91"/>
        <v>197.22733035790316</v>
      </c>
      <c r="CO64" s="205">
        <f t="shared" si="91"/>
        <v>199.5816446649427</v>
      </c>
      <c r="CP64" s="205">
        <f t="shared" si="91"/>
        <v>201.93595897198222</v>
      </c>
      <c r="CQ64" s="205">
        <f t="shared" si="91"/>
        <v>204.29027327902176</v>
      </c>
      <c r="CR64" s="205">
        <f t="shared" si="91"/>
        <v>195.68326707861098</v>
      </c>
      <c r="CS64" s="205">
        <f t="shared" si="91"/>
        <v>176.11494037074988</v>
      </c>
      <c r="CT64" s="205">
        <f t="shared" si="91"/>
        <v>156.54661366288877</v>
      </c>
      <c r="CU64" s="205">
        <f t="shared" si="91"/>
        <v>136.9782869550277</v>
      </c>
      <c r="CV64" s="205">
        <f t="shared" si="91"/>
        <v>117.40996024716659</v>
      </c>
      <c r="CW64" s="205">
        <f t="shared" si="91"/>
        <v>97.841633539305505</v>
      </c>
      <c r="CX64" s="205">
        <f t="shared" si="91"/>
        <v>78.273306831444401</v>
      </c>
      <c r="CY64" s="205">
        <f t="shared" si="91"/>
        <v>58.704980123583312</v>
      </c>
      <c r="CZ64" s="205">
        <f t="shared" si="91"/>
        <v>39.136653415722208</v>
      </c>
      <c r="DA64" s="205">
        <f t="shared" si="91"/>
        <v>19.568326707861104</v>
      </c>
    </row>
    <row r="65" spans="1:105" s="205" customFormat="1">
      <c r="A65" s="205" t="str">
        <f>Income!A78</f>
        <v>Labour - casual</v>
      </c>
      <c r="F65" s="205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2396.006790200212</v>
      </c>
      <c r="G65" s="205">
        <f t="shared" si="92"/>
        <v>2396.006790200212</v>
      </c>
      <c r="H65" s="205">
        <f t="shared" si="92"/>
        <v>2396.006790200212</v>
      </c>
      <c r="I65" s="205">
        <f t="shared" si="92"/>
        <v>2396.006790200212</v>
      </c>
      <c r="J65" s="205">
        <f t="shared" si="92"/>
        <v>2396.006790200212</v>
      </c>
      <c r="K65" s="205">
        <f t="shared" si="92"/>
        <v>2396.006790200212</v>
      </c>
      <c r="L65" s="205">
        <f t="shared" si="88"/>
        <v>2396.006790200212</v>
      </c>
      <c r="M65" s="205">
        <f t="shared" si="92"/>
        <v>2396.006790200212</v>
      </c>
      <c r="N65" s="205">
        <f t="shared" si="92"/>
        <v>2396.006790200212</v>
      </c>
      <c r="O65" s="205">
        <f t="shared" si="92"/>
        <v>2396.006790200212</v>
      </c>
      <c r="P65" s="205">
        <f t="shared" si="92"/>
        <v>2396.006790200212</v>
      </c>
      <c r="Q65" s="205">
        <f t="shared" si="92"/>
        <v>2396.006790200212</v>
      </c>
      <c r="R65" s="205">
        <f t="shared" si="92"/>
        <v>2396.006790200212</v>
      </c>
      <c r="S65" s="205">
        <f t="shared" si="92"/>
        <v>2396.006790200212</v>
      </c>
      <c r="T65" s="205">
        <f t="shared" si="92"/>
        <v>2396.006790200212</v>
      </c>
      <c r="U65" s="205">
        <f t="shared" si="92"/>
        <v>2396.006790200212</v>
      </c>
      <c r="V65" s="205">
        <f t="shared" si="92"/>
        <v>2396.006790200212</v>
      </c>
      <c r="W65" s="205">
        <f t="shared" si="92"/>
        <v>2396.006790200212</v>
      </c>
      <c r="X65" s="205">
        <f t="shared" si="92"/>
        <v>2396.006790200212</v>
      </c>
      <c r="Y65" s="205">
        <f t="shared" si="92"/>
        <v>2396.006790200212</v>
      </c>
      <c r="Z65" s="205">
        <f t="shared" si="92"/>
        <v>2396.006790200212</v>
      </c>
      <c r="AA65" s="205">
        <f t="shared" si="92"/>
        <v>2375.7873236162441</v>
      </c>
      <c r="AB65" s="205">
        <f t="shared" si="92"/>
        <v>2355.5678570322757</v>
      </c>
      <c r="AC65" s="205">
        <f t="shared" si="92"/>
        <v>2335.3483904483078</v>
      </c>
      <c r="AD65" s="205">
        <f t="shared" si="92"/>
        <v>2315.1289238643399</v>
      </c>
      <c r="AE65" s="205">
        <f t="shared" si="92"/>
        <v>2294.909457280372</v>
      </c>
      <c r="AF65" s="205">
        <f t="shared" si="92"/>
        <v>2274.6899906964036</v>
      </c>
      <c r="AG65" s="205">
        <f t="shared" si="92"/>
        <v>2254.4705241124357</v>
      </c>
      <c r="AH65" s="205">
        <f t="shared" si="92"/>
        <v>2234.2510575284678</v>
      </c>
      <c r="AI65" s="205">
        <f t="shared" si="92"/>
        <v>2214.0315909444998</v>
      </c>
      <c r="AJ65" s="205">
        <f t="shared" si="92"/>
        <v>2193.8121243605315</v>
      </c>
      <c r="AK65" s="205">
        <f t="shared" si="92"/>
        <v>2173.5926577765636</v>
      </c>
      <c r="AL65" s="205">
        <f t="shared" si="92"/>
        <v>2153.3731911925956</v>
      </c>
      <c r="AM65" s="205">
        <f t="shared" si="92"/>
        <v>2133.1537246086273</v>
      </c>
      <c r="AN65" s="205">
        <f t="shared" si="92"/>
        <v>2112.9342580246594</v>
      </c>
      <c r="AO65" s="205">
        <f t="shared" si="92"/>
        <v>2092.7147914406914</v>
      </c>
      <c r="AP65" s="205">
        <f t="shared" si="92"/>
        <v>2072.4953248567235</v>
      </c>
      <c r="AQ65" s="205">
        <f t="shared" si="92"/>
        <v>2052.2758582727556</v>
      </c>
      <c r="AR65" s="205">
        <f t="shared" si="92"/>
        <v>2032.0563916887872</v>
      </c>
      <c r="AS65" s="205">
        <f t="shared" si="92"/>
        <v>2011.8369251048193</v>
      </c>
      <c r="AT65" s="205">
        <f t="shared" si="92"/>
        <v>1991.6174585208514</v>
      </c>
      <c r="AU65" s="205">
        <f t="shared" si="92"/>
        <v>1971.3979919368833</v>
      </c>
      <c r="AV65" s="205">
        <f t="shared" si="92"/>
        <v>1951.1785253529151</v>
      </c>
      <c r="AW65" s="205">
        <f t="shared" si="92"/>
        <v>1930.9590587689472</v>
      </c>
      <c r="AX65" s="205">
        <f t="shared" si="92"/>
        <v>1910.7395921849791</v>
      </c>
      <c r="AY65" s="205">
        <f t="shared" si="92"/>
        <v>1890.5201256010112</v>
      </c>
      <c r="AZ65" s="205">
        <f t="shared" si="92"/>
        <v>1870.300659017043</v>
      </c>
      <c r="BA65" s="205">
        <f t="shared" si="92"/>
        <v>1850.0811924330751</v>
      </c>
      <c r="BB65" s="205">
        <f t="shared" si="92"/>
        <v>1829.861725849107</v>
      </c>
      <c r="BC65" s="205">
        <f t="shared" si="92"/>
        <v>1809.6422592651388</v>
      </c>
      <c r="BD65" s="205">
        <f t="shared" si="92"/>
        <v>1789.4227926811709</v>
      </c>
      <c r="BE65" s="205">
        <f t="shared" si="92"/>
        <v>1769.203326097203</v>
      </c>
      <c r="BF65" s="205">
        <f t="shared" si="92"/>
        <v>1748.9838595132348</v>
      </c>
      <c r="BG65" s="205">
        <f t="shared" si="92"/>
        <v>1728.7643929292667</v>
      </c>
      <c r="BH65" s="205">
        <f t="shared" si="92"/>
        <v>1708.5449263452988</v>
      </c>
      <c r="BI65" s="205">
        <f t="shared" si="92"/>
        <v>1688.3254597613309</v>
      </c>
      <c r="BJ65" s="205">
        <f t="shared" si="92"/>
        <v>1668.1059931773627</v>
      </c>
      <c r="BK65" s="205">
        <f t="shared" si="92"/>
        <v>1647.8865265933946</v>
      </c>
      <c r="BL65" s="205">
        <f t="shared" si="92"/>
        <v>1627.6670600094267</v>
      </c>
      <c r="BM65" s="205">
        <f t="shared" si="92"/>
        <v>1607.4475934254588</v>
      </c>
      <c r="BN65" s="205">
        <f t="shared" si="92"/>
        <v>1570.7155624645834</v>
      </c>
      <c r="BO65" s="205">
        <f t="shared" si="92"/>
        <v>1517.4709671268008</v>
      </c>
      <c r="BP65" s="205">
        <f t="shared" si="92"/>
        <v>1464.2263717890185</v>
      </c>
      <c r="BQ65" s="205">
        <f t="shared" si="92"/>
        <v>1410.9817764512359</v>
      </c>
      <c r="BR65" s="205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1357.7371811134535</v>
      </c>
      <c r="BS65" s="205">
        <f t="shared" si="93"/>
        <v>1304.4925857756709</v>
      </c>
      <c r="BT65" s="205">
        <f t="shared" si="93"/>
        <v>1251.2479904378883</v>
      </c>
      <c r="BU65" s="205">
        <f t="shared" si="93"/>
        <v>1198.003395100106</v>
      </c>
      <c r="BV65" s="205">
        <f t="shared" si="93"/>
        <v>1144.7587997623234</v>
      </c>
      <c r="BW65" s="205">
        <f t="shared" si="93"/>
        <v>1091.514204424541</v>
      </c>
      <c r="BX65" s="205">
        <f t="shared" si="93"/>
        <v>1038.2696090867585</v>
      </c>
      <c r="BY65" s="205">
        <f t="shared" si="93"/>
        <v>985.02501374897599</v>
      </c>
      <c r="BZ65" s="205">
        <f t="shared" si="93"/>
        <v>931.78041841119352</v>
      </c>
      <c r="CA65" s="205">
        <f t="shared" si="93"/>
        <v>878.53582307341105</v>
      </c>
      <c r="CB65" s="205">
        <f t="shared" si="93"/>
        <v>825.29122773562858</v>
      </c>
      <c r="CC65" s="205">
        <f t="shared" si="93"/>
        <v>772.04663239784611</v>
      </c>
      <c r="CD65" s="205">
        <f t="shared" si="93"/>
        <v>718.80203706006353</v>
      </c>
      <c r="CE65" s="205">
        <f t="shared" si="93"/>
        <v>665.55744172228106</v>
      </c>
      <c r="CF65" s="205">
        <f t="shared" si="93"/>
        <v>612.31284638449858</v>
      </c>
      <c r="CG65" s="205">
        <f t="shared" si="93"/>
        <v>559.06825104671611</v>
      </c>
      <c r="CH65" s="205">
        <f t="shared" si="93"/>
        <v>505.82365570893353</v>
      </c>
      <c r="CI65" s="205">
        <f t="shared" si="93"/>
        <v>452.57906037115117</v>
      </c>
      <c r="CJ65" s="205">
        <f t="shared" si="93"/>
        <v>399.33446503336859</v>
      </c>
      <c r="CK65" s="205">
        <f t="shared" si="93"/>
        <v>346.08986969558623</v>
      </c>
      <c r="CL65" s="205">
        <f t="shared" si="93"/>
        <v>292.84527435780365</v>
      </c>
      <c r="CM65" s="205">
        <f t="shared" si="93"/>
        <v>239.60067902002129</v>
      </c>
      <c r="CN65" s="205">
        <f t="shared" si="93"/>
        <v>186.3560836822387</v>
      </c>
      <c r="CO65" s="205">
        <f t="shared" si="93"/>
        <v>133.11148834445635</v>
      </c>
      <c r="CP65" s="205">
        <f t="shared" si="93"/>
        <v>79.866893006673763</v>
      </c>
      <c r="CQ65" s="205">
        <f t="shared" si="93"/>
        <v>26.622297668891179</v>
      </c>
      <c r="CR65" s="205">
        <f t="shared" si="93"/>
        <v>0</v>
      </c>
      <c r="CS65" s="205">
        <f t="shared" si="93"/>
        <v>0</v>
      </c>
      <c r="CT65" s="205">
        <f t="shared" si="93"/>
        <v>0</v>
      </c>
      <c r="CU65" s="205">
        <f t="shared" si="93"/>
        <v>0</v>
      </c>
      <c r="CV65" s="205">
        <f t="shared" si="93"/>
        <v>0</v>
      </c>
      <c r="CW65" s="205">
        <f t="shared" si="93"/>
        <v>0</v>
      </c>
      <c r="CX65" s="205">
        <f t="shared" si="93"/>
        <v>0</v>
      </c>
      <c r="CY65" s="205">
        <f t="shared" si="93"/>
        <v>0</v>
      </c>
      <c r="CZ65" s="205">
        <f t="shared" si="93"/>
        <v>0</v>
      </c>
      <c r="DA65" s="205">
        <f t="shared" si="93"/>
        <v>0</v>
      </c>
    </row>
    <row r="66" spans="1:105" s="205" customFormat="1">
      <c r="A66" s="205" t="str">
        <f>Income!A79</f>
        <v>Labour - formal emp</v>
      </c>
      <c r="F66" s="205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5">
        <f t="shared" si="94"/>
        <v>0</v>
      </c>
      <c r="H66" s="205">
        <f t="shared" si="94"/>
        <v>0</v>
      </c>
      <c r="I66" s="205">
        <f t="shared" si="94"/>
        <v>0</v>
      </c>
      <c r="J66" s="205">
        <f t="shared" si="94"/>
        <v>0</v>
      </c>
      <c r="K66" s="205">
        <f t="shared" si="94"/>
        <v>0</v>
      </c>
      <c r="L66" s="205">
        <f t="shared" si="88"/>
        <v>0</v>
      </c>
      <c r="M66" s="205">
        <f t="shared" si="94"/>
        <v>0</v>
      </c>
      <c r="N66" s="205">
        <f t="shared" si="94"/>
        <v>0</v>
      </c>
      <c r="O66" s="205">
        <f t="shared" si="94"/>
        <v>0</v>
      </c>
      <c r="P66" s="205">
        <f t="shared" si="94"/>
        <v>0</v>
      </c>
      <c r="Q66" s="205">
        <f t="shared" si="94"/>
        <v>0</v>
      </c>
      <c r="R66" s="205">
        <f t="shared" si="94"/>
        <v>0</v>
      </c>
      <c r="S66" s="205">
        <f t="shared" si="94"/>
        <v>0</v>
      </c>
      <c r="T66" s="205">
        <f t="shared" si="94"/>
        <v>0</v>
      </c>
      <c r="U66" s="205">
        <f t="shared" si="94"/>
        <v>0</v>
      </c>
      <c r="V66" s="205">
        <f t="shared" si="94"/>
        <v>0</v>
      </c>
      <c r="W66" s="205">
        <f t="shared" si="94"/>
        <v>0</v>
      </c>
      <c r="X66" s="205">
        <f t="shared" si="94"/>
        <v>0</v>
      </c>
      <c r="Y66" s="205">
        <f t="shared" si="94"/>
        <v>0</v>
      </c>
      <c r="Z66" s="205">
        <f t="shared" si="94"/>
        <v>0</v>
      </c>
      <c r="AA66" s="205">
        <f t="shared" si="94"/>
        <v>0</v>
      </c>
      <c r="AB66" s="205">
        <f t="shared" si="94"/>
        <v>0</v>
      </c>
      <c r="AC66" s="205">
        <f t="shared" si="94"/>
        <v>0</v>
      </c>
      <c r="AD66" s="205">
        <f t="shared" si="94"/>
        <v>0</v>
      </c>
      <c r="AE66" s="205">
        <f t="shared" si="94"/>
        <v>0</v>
      </c>
      <c r="AF66" s="205">
        <f t="shared" si="94"/>
        <v>0</v>
      </c>
      <c r="AG66" s="205">
        <f t="shared" si="94"/>
        <v>0</v>
      </c>
      <c r="AH66" s="205">
        <f t="shared" si="94"/>
        <v>0</v>
      </c>
      <c r="AI66" s="205">
        <f t="shared" si="94"/>
        <v>0</v>
      </c>
      <c r="AJ66" s="205">
        <f t="shared" si="94"/>
        <v>0</v>
      </c>
      <c r="AK66" s="205">
        <f t="shared" si="94"/>
        <v>0</v>
      </c>
      <c r="AL66" s="205">
        <f t="shared" si="94"/>
        <v>0</v>
      </c>
      <c r="AM66" s="205">
        <f t="shared" si="94"/>
        <v>0</v>
      </c>
      <c r="AN66" s="205">
        <f t="shared" si="94"/>
        <v>0</v>
      </c>
      <c r="AO66" s="205">
        <f t="shared" si="94"/>
        <v>0</v>
      </c>
      <c r="AP66" s="205">
        <f t="shared" si="94"/>
        <v>0</v>
      </c>
      <c r="AQ66" s="205">
        <f t="shared" si="94"/>
        <v>0</v>
      </c>
      <c r="AR66" s="205">
        <f t="shared" si="94"/>
        <v>0</v>
      </c>
      <c r="AS66" s="205">
        <f t="shared" si="94"/>
        <v>0</v>
      </c>
      <c r="AT66" s="205">
        <f t="shared" si="94"/>
        <v>0</v>
      </c>
      <c r="AU66" s="205">
        <f t="shared" si="94"/>
        <v>0</v>
      </c>
      <c r="AV66" s="205">
        <f t="shared" si="94"/>
        <v>0</v>
      </c>
      <c r="AW66" s="205">
        <f t="shared" si="94"/>
        <v>0</v>
      </c>
      <c r="AX66" s="205">
        <f t="shared" si="94"/>
        <v>0</v>
      </c>
      <c r="AY66" s="205">
        <f t="shared" si="94"/>
        <v>0</v>
      </c>
      <c r="AZ66" s="205">
        <f t="shared" si="94"/>
        <v>0</v>
      </c>
      <c r="BA66" s="205">
        <f t="shared" si="94"/>
        <v>0</v>
      </c>
      <c r="BB66" s="205">
        <f t="shared" si="94"/>
        <v>0</v>
      </c>
      <c r="BC66" s="205">
        <f t="shared" si="94"/>
        <v>0</v>
      </c>
      <c r="BD66" s="205">
        <f t="shared" si="94"/>
        <v>0</v>
      </c>
      <c r="BE66" s="205">
        <f t="shared" si="94"/>
        <v>0</v>
      </c>
      <c r="BF66" s="205">
        <f t="shared" si="94"/>
        <v>0</v>
      </c>
      <c r="BG66" s="205">
        <f t="shared" si="94"/>
        <v>0</v>
      </c>
      <c r="BH66" s="205">
        <f t="shared" si="94"/>
        <v>0</v>
      </c>
      <c r="BI66" s="205">
        <f t="shared" si="94"/>
        <v>0</v>
      </c>
      <c r="BJ66" s="205">
        <f t="shared" si="94"/>
        <v>0</v>
      </c>
      <c r="BK66" s="205">
        <f t="shared" si="94"/>
        <v>0</v>
      </c>
      <c r="BL66" s="205">
        <f t="shared" si="94"/>
        <v>0</v>
      </c>
      <c r="BM66" s="205">
        <f t="shared" si="94"/>
        <v>0</v>
      </c>
      <c r="BN66" s="205">
        <f t="shared" si="94"/>
        <v>1244.0641958288224</v>
      </c>
      <c r="BO66" s="205">
        <f t="shared" si="94"/>
        <v>3732.1925874864673</v>
      </c>
      <c r="BP66" s="205">
        <f t="shared" si="94"/>
        <v>6220.3209791441122</v>
      </c>
      <c r="BQ66" s="205">
        <f t="shared" si="94"/>
        <v>8708.4493708017581</v>
      </c>
      <c r="BR66" s="205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11196.577762459401</v>
      </c>
      <c r="BS66" s="205">
        <f t="shared" si="95"/>
        <v>13684.706154117048</v>
      </c>
      <c r="BT66" s="205">
        <f t="shared" si="95"/>
        <v>16172.834545774691</v>
      </c>
      <c r="BU66" s="205">
        <f t="shared" si="95"/>
        <v>18660.962937432338</v>
      </c>
      <c r="BV66" s="205">
        <f t="shared" si="95"/>
        <v>21149.091329089981</v>
      </c>
      <c r="BW66" s="205">
        <f t="shared" si="95"/>
        <v>23637.219720747627</v>
      </c>
      <c r="BX66" s="205">
        <f t="shared" si="95"/>
        <v>26125.348112405271</v>
      </c>
      <c r="BY66" s="205">
        <f t="shared" si="95"/>
        <v>28613.476504062917</v>
      </c>
      <c r="BZ66" s="205">
        <f t="shared" si="95"/>
        <v>31101.60489572056</v>
      </c>
      <c r="CA66" s="205">
        <f t="shared" si="95"/>
        <v>33589.733287378207</v>
      </c>
      <c r="CB66" s="205">
        <f t="shared" si="95"/>
        <v>36077.86167903585</v>
      </c>
      <c r="CC66" s="205">
        <f t="shared" si="95"/>
        <v>38565.990070693493</v>
      </c>
      <c r="CD66" s="205">
        <f t="shared" si="95"/>
        <v>41054.118462351144</v>
      </c>
      <c r="CE66" s="205">
        <f t="shared" si="95"/>
        <v>43542.246854008787</v>
      </c>
      <c r="CF66" s="205">
        <f t="shared" si="95"/>
        <v>46030.37524566643</v>
      </c>
      <c r="CG66" s="205">
        <f t="shared" si="95"/>
        <v>48518.503637324073</v>
      </c>
      <c r="CH66" s="205">
        <f t="shared" si="95"/>
        <v>51006.632028981723</v>
      </c>
      <c r="CI66" s="205">
        <f t="shared" si="95"/>
        <v>53494.760420639366</v>
      </c>
      <c r="CJ66" s="205">
        <f t="shared" si="95"/>
        <v>55982.888812297009</v>
      </c>
      <c r="CK66" s="205">
        <f t="shared" si="95"/>
        <v>58471.017203954652</v>
      </c>
      <c r="CL66" s="205">
        <f t="shared" si="95"/>
        <v>60959.145595612303</v>
      </c>
      <c r="CM66" s="205">
        <f t="shared" si="95"/>
        <v>63447.273987269946</v>
      </c>
      <c r="CN66" s="205">
        <f t="shared" si="95"/>
        <v>65935.402378927596</v>
      </c>
      <c r="CO66" s="205">
        <f t="shared" si="95"/>
        <v>68423.530770585232</v>
      </c>
      <c r="CP66" s="205">
        <f t="shared" si="95"/>
        <v>70911.659162242882</v>
      </c>
      <c r="CQ66" s="205">
        <f t="shared" si="95"/>
        <v>73399.787553900518</v>
      </c>
      <c r="CR66" s="205">
        <f t="shared" si="95"/>
        <v>71089.382618789852</v>
      </c>
      <c r="CS66" s="205">
        <f t="shared" si="95"/>
        <v>63980.44435691087</v>
      </c>
      <c r="CT66" s="205">
        <f t="shared" si="95"/>
        <v>56871.506095031888</v>
      </c>
      <c r="CU66" s="205">
        <f t="shared" si="95"/>
        <v>49762.567833152898</v>
      </c>
      <c r="CV66" s="205">
        <f t="shared" si="95"/>
        <v>42653.629571273916</v>
      </c>
      <c r="CW66" s="205">
        <f t="shared" si="95"/>
        <v>35544.691309394926</v>
      </c>
      <c r="CX66" s="205">
        <f t="shared" si="95"/>
        <v>28435.753047515944</v>
      </c>
      <c r="CY66" s="205">
        <f t="shared" si="95"/>
        <v>21326.814785636954</v>
      </c>
      <c r="CZ66" s="205">
        <f t="shared" si="95"/>
        <v>14217.876523757972</v>
      </c>
      <c r="DA66" s="205">
        <f t="shared" si="95"/>
        <v>7108.9382618789823</v>
      </c>
    </row>
    <row r="67" spans="1:105" s="205" customFormat="1">
      <c r="A67" s="205" t="str">
        <f>Income!A81</f>
        <v>Self - employment</v>
      </c>
      <c r="F67" s="205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5">
        <f t="shared" si="96"/>
        <v>0</v>
      </c>
      <c r="H67" s="205">
        <f t="shared" si="96"/>
        <v>0</v>
      </c>
      <c r="I67" s="205">
        <f t="shared" si="96"/>
        <v>0</v>
      </c>
      <c r="J67" s="205">
        <f t="shared" si="96"/>
        <v>0</v>
      </c>
      <c r="K67" s="205">
        <f t="shared" si="96"/>
        <v>0</v>
      </c>
      <c r="L67" s="205">
        <f t="shared" si="88"/>
        <v>0</v>
      </c>
      <c r="M67" s="205">
        <f t="shared" si="96"/>
        <v>0</v>
      </c>
      <c r="N67" s="205">
        <f t="shared" si="96"/>
        <v>0</v>
      </c>
      <c r="O67" s="205">
        <f t="shared" si="96"/>
        <v>0</v>
      </c>
      <c r="P67" s="205">
        <f t="shared" si="96"/>
        <v>0</v>
      </c>
      <c r="Q67" s="205">
        <f t="shared" si="96"/>
        <v>0</v>
      </c>
      <c r="R67" s="205">
        <f t="shared" si="96"/>
        <v>0</v>
      </c>
      <c r="S67" s="205">
        <f t="shared" si="96"/>
        <v>0</v>
      </c>
      <c r="T67" s="205">
        <f t="shared" si="96"/>
        <v>0</v>
      </c>
      <c r="U67" s="205">
        <f t="shared" si="96"/>
        <v>0</v>
      </c>
      <c r="V67" s="205">
        <f t="shared" si="96"/>
        <v>0</v>
      </c>
      <c r="W67" s="205">
        <f t="shared" si="96"/>
        <v>0</v>
      </c>
      <c r="X67" s="205">
        <f t="shared" si="96"/>
        <v>0</v>
      </c>
      <c r="Y67" s="205">
        <f t="shared" si="96"/>
        <v>0</v>
      </c>
      <c r="Z67" s="205">
        <f t="shared" si="96"/>
        <v>0</v>
      </c>
      <c r="AA67" s="205">
        <f t="shared" si="96"/>
        <v>0</v>
      </c>
      <c r="AB67" s="205">
        <f t="shared" si="96"/>
        <v>0</v>
      </c>
      <c r="AC67" s="205">
        <f t="shared" si="96"/>
        <v>0</v>
      </c>
      <c r="AD67" s="205">
        <f t="shared" si="96"/>
        <v>0</v>
      </c>
      <c r="AE67" s="205">
        <f t="shared" si="96"/>
        <v>0</v>
      </c>
      <c r="AF67" s="205">
        <f t="shared" si="96"/>
        <v>0</v>
      </c>
      <c r="AG67" s="205">
        <f t="shared" si="96"/>
        <v>0</v>
      </c>
      <c r="AH67" s="205">
        <f t="shared" si="96"/>
        <v>0</v>
      </c>
      <c r="AI67" s="205">
        <f t="shared" si="96"/>
        <v>0</v>
      </c>
      <c r="AJ67" s="205">
        <f t="shared" si="96"/>
        <v>0</v>
      </c>
      <c r="AK67" s="205">
        <f t="shared" si="96"/>
        <v>0</v>
      </c>
      <c r="AL67" s="205">
        <f t="shared" si="96"/>
        <v>0</v>
      </c>
      <c r="AM67" s="205">
        <f t="shared" si="96"/>
        <v>0</v>
      </c>
      <c r="AN67" s="205">
        <f t="shared" si="96"/>
        <v>0</v>
      </c>
      <c r="AO67" s="205">
        <f t="shared" si="96"/>
        <v>0</v>
      </c>
      <c r="AP67" s="205">
        <f t="shared" si="96"/>
        <v>0</v>
      </c>
      <c r="AQ67" s="205">
        <f t="shared" si="96"/>
        <v>0</v>
      </c>
      <c r="AR67" s="205">
        <f t="shared" si="96"/>
        <v>0</v>
      </c>
      <c r="AS67" s="205">
        <f t="shared" si="96"/>
        <v>0</v>
      </c>
      <c r="AT67" s="205">
        <f t="shared" si="96"/>
        <v>0</v>
      </c>
      <c r="AU67" s="205">
        <f t="shared" si="96"/>
        <v>0</v>
      </c>
      <c r="AV67" s="205">
        <f t="shared" si="96"/>
        <v>0</v>
      </c>
      <c r="AW67" s="205">
        <f t="shared" si="96"/>
        <v>0</v>
      </c>
      <c r="AX67" s="205">
        <f t="shared" si="96"/>
        <v>0</v>
      </c>
      <c r="AY67" s="205">
        <f t="shared" si="96"/>
        <v>0</v>
      </c>
      <c r="AZ67" s="205">
        <f t="shared" si="96"/>
        <v>0</v>
      </c>
      <c r="BA67" s="205">
        <f t="shared" si="96"/>
        <v>0</v>
      </c>
      <c r="BB67" s="205">
        <f t="shared" si="96"/>
        <v>0</v>
      </c>
      <c r="BC67" s="205">
        <f t="shared" si="96"/>
        <v>0</v>
      </c>
      <c r="BD67" s="205">
        <f t="shared" si="96"/>
        <v>0</v>
      </c>
      <c r="BE67" s="205">
        <f t="shared" si="96"/>
        <v>0</v>
      </c>
      <c r="BF67" s="205">
        <f t="shared" si="96"/>
        <v>0</v>
      </c>
      <c r="BG67" s="205">
        <f t="shared" si="96"/>
        <v>0</v>
      </c>
      <c r="BH67" s="205">
        <f t="shared" si="96"/>
        <v>0</v>
      </c>
      <c r="BI67" s="205">
        <f t="shared" si="96"/>
        <v>0</v>
      </c>
      <c r="BJ67" s="205">
        <f t="shared" si="96"/>
        <v>0</v>
      </c>
      <c r="BK67" s="205">
        <f t="shared" si="96"/>
        <v>0</v>
      </c>
      <c r="BL67" s="205">
        <f t="shared" si="96"/>
        <v>0</v>
      </c>
      <c r="BM67" s="205">
        <f t="shared" si="96"/>
        <v>0</v>
      </c>
      <c r="BN67" s="205">
        <f t="shared" si="96"/>
        <v>0</v>
      </c>
      <c r="BO67" s="205">
        <f t="shared" si="96"/>
        <v>0</v>
      </c>
      <c r="BP67" s="205">
        <f t="shared" si="96"/>
        <v>0</v>
      </c>
      <c r="BQ67" s="205">
        <f t="shared" si="96"/>
        <v>0</v>
      </c>
      <c r="BR67" s="205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5">
        <f t="shared" si="97"/>
        <v>0</v>
      </c>
      <c r="BT67" s="205">
        <f t="shared" si="97"/>
        <v>0</v>
      </c>
      <c r="BU67" s="205">
        <f t="shared" si="97"/>
        <v>0</v>
      </c>
      <c r="BV67" s="205">
        <f t="shared" si="97"/>
        <v>0</v>
      </c>
      <c r="BW67" s="205">
        <f t="shared" si="97"/>
        <v>0</v>
      </c>
      <c r="BX67" s="205">
        <f t="shared" si="97"/>
        <v>0</v>
      </c>
      <c r="BY67" s="205">
        <f t="shared" si="97"/>
        <v>0</v>
      </c>
      <c r="BZ67" s="205">
        <f t="shared" si="97"/>
        <v>0</v>
      </c>
      <c r="CA67" s="205">
        <f t="shared" si="97"/>
        <v>0</v>
      </c>
      <c r="CB67" s="205">
        <f t="shared" si="97"/>
        <v>0</v>
      </c>
      <c r="CC67" s="205">
        <f t="shared" si="97"/>
        <v>0</v>
      </c>
      <c r="CD67" s="205">
        <f t="shared" si="97"/>
        <v>0</v>
      </c>
      <c r="CE67" s="205">
        <f t="shared" si="97"/>
        <v>0</v>
      </c>
      <c r="CF67" s="205">
        <f t="shared" si="97"/>
        <v>0</v>
      </c>
      <c r="CG67" s="205">
        <f t="shared" si="97"/>
        <v>0</v>
      </c>
      <c r="CH67" s="205">
        <f t="shared" si="97"/>
        <v>0</v>
      </c>
      <c r="CI67" s="205">
        <f t="shared" si="97"/>
        <v>0</v>
      </c>
      <c r="CJ67" s="205">
        <f t="shared" si="97"/>
        <v>0</v>
      </c>
      <c r="CK67" s="205">
        <f t="shared" si="97"/>
        <v>0</v>
      </c>
      <c r="CL67" s="205">
        <f t="shared" si="97"/>
        <v>0</v>
      </c>
      <c r="CM67" s="205">
        <f t="shared" si="97"/>
        <v>0</v>
      </c>
      <c r="CN67" s="205">
        <f t="shared" si="97"/>
        <v>0</v>
      </c>
      <c r="CO67" s="205">
        <f t="shared" si="97"/>
        <v>0</v>
      </c>
      <c r="CP67" s="205">
        <f t="shared" si="97"/>
        <v>0</v>
      </c>
      <c r="CQ67" s="205">
        <f t="shared" si="97"/>
        <v>0</v>
      </c>
      <c r="CR67" s="205">
        <f t="shared" si="97"/>
        <v>0</v>
      </c>
      <c r="CS67" s="205">
        <f t="shared" si="97"/>
        <v>0</v>
      </c>
      <c r="CT67" s="205">
        <f t="shared" si="97"/>
        <v>0</v>
      </c>
      <c r="CU67" s="205">
        <f t="shared" si="97"/>
        <v>0</v>
      </c>
      <c r="CV67" s="205">
        <f t="shared" si="97"/>
        <v>0</v>
      </c>
      <c r="CW67" s="205">
        <f t="shared" si="97"/>
        <v>0</v>
      </c>
      <c r="CX67" s="205">
        <f t="shared" si="97"/>
        <v>0</v>
      </c>
      <c r="CY67" s="205">
        <f t="shared" si="97"/>
        <v>0</v>
      </c>
      <c r="CZ67" s="205">
        <f t="shared" si="97"/>
        <v>0</v>
      </c>
      <c r="DA67" s="205">
        <f t="shared" si="97"/>
        <v>0</v>
      </c>
    </row>
    <row r="68" spans="1:105" s="205" customFormat="1">
      <c r="A68" s="205" t="str">
        <f>Income!A82</f>
        <v>Small business/petty trading</v>
      </c>
      <c r="F68" s="205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5">
        <f t="shared" si="98"/>
        <v>0</v>
      </c>
      <c r="H68" s="205">
        <f t="shared" si="98"/>
        <v>0</v>
      </c>
      <c r="I68" s="205">
        <f t="shared" si="98"/>
        <v>0</v>
      </c>
      <c r="J68" s="205">
        <f t="shared" si="98"/>
        <v>0</v>
      </c>
      <c r="K68" s="205">
        <f t="shared" si="98"/>
        <v>0</v>
      </c>
      <c r="L68" s="205">
        <f t="shared" si="88"/>
        <v>0</v>
      </c>
      <c r="M68" s="205">
        <f t="shared" si="98"/>
        <v>0</v>
      </c>
      <c r="N68" s="205">
        <f t="shared" si="98"/>
        <v>0</v>
      </c>
      <c r="O68" s="205">
        <f t="shared" si="98"/>
        <v>0</v>
      </c>
      <c r="P68" s="205">
        <f t="shared" si="98"/>
        <v>0</v>
      </c>
      <c r="Q68" s="205">
        <f t="shared" si="98"/>
        <v>0</v>
      </c>
      <c r="R68" s="205">
        <f t="shared" si="98"/>
        <v>0</v>
      </c>
      <c r="S68" s="205">
        <f t="shared" si="98"/>
        <v>0</v>
      </c>
      <c r="T68" s="205">
        <f t="shared" si="98"/>
        <v>0</v>
      </c>
      <c r="U68" s="205">
        <f t="shared" si="98"/>
        <v>0</v>
      </c>
      <c r="V68" s="205">
        <f t="shared" si="98"/>
        <v>0</v>
      </c>
      <c r="W68" s="205">
        <f t="shared" si="98"/>
        <v>0</v>
      </c>
      <c r="X68" s="205">
        <f t="shared" si="98"/>
        <v>0</v>
      </c>
      <c r="Y68" s="205">
        <f t="shared" si="98"/>
        <v>0</v>
      </c>
      <c r="Z68" s="205">
        <f t="shared" si="98"/>
        <v>0</v>
      </c>
      <c r="AA68" s="205">
        <f t="shared" si="98"/>
        <v>104.84167858353794</v>
      </c>
      <c r="AB68" s="205">
        <f t="shared" si="98"/>
        <v>209.68335716707588</v>
      </c>
      <c r="AC68" s="205">
        <f t="shared" si="98"/>
        <v>314.52503575061382</v>
      </c>
      <c r="AD68" s="205">
        <f t="shared" si="98"/>
        <v>419.36671433415177</v>
      </c>
      <c r="AE68" s="205">
        <f t="shared" si="98"/>
        <v>524.20839291768971</v>
      </c>
      <c r="AF68" s="205">
        <f t="shared" si="98"/>
        <v>629.05007150122765</v>
      </c>
      <c r="AG68" s="205">
        <f t="shared" si="98"/>
        <v>733.89175008476559</v>
      </c>
      <c r="AH68" s="205">
        <f t="shared" si="98"/>
        <v>838.73342866830353</v>
      </c>
      <c r="AI68" s="205">
        <f t="shared" si="98"/>
        <v>943.57510725184147</v>
      </c>
      <c r="AJ68" s="205">
        <f t="shared" si="98"/>
        <v>1048.4167858353794</v>
      </c>
      <c r="AK68" s="205">
        <f t="shared" si="98"/>
        <v>1153.2584644189174</v>
      </c>
      <c r="AL68" s="205">
        <f t="shared" si="98"/>
        <v>1258.1001430024553</v>
      </c>
      <c r="AM68" s="205">
        <f t="shared" si="98"/>
        <v>1362.9418215859932</v>
      </c>
      <c r="AN68" s="205">
        <f t="shared" si="98"/>
        <v>1467.7835001695312</v>
      </c>
      <c r="AO68" s="205">
        <f t="shared" si="98"/>
        <v>1572.6251787530691</v>
      </c>
      <c r="AP68" s="205">
        <f t="shared" si="98"/>
        <v>1677.4668573366071</v>
      </c>
      <c r="AQ68" s="205">
        <f t="shared" si="98"/>
        <v>1782.308535920145</v>
      </c>
      <c r="AR68" s="205">
        <f t="shared" si="98"/>
        <v>1887.1502145036829</v>
      </c>
      <c r="AS68" s="205">
        <f t="shared" si="98"/>
        <v>1991.9918930872209</v>
      </c>
      <c r="AT68" s="205">
        <f t="shared" si="98"/>
        <v>2096.8335716707588</v>
      </c>
      <c r="AU68" s="205">
        <f t="shared" si="98"/>
        <v>2201.6752502542968</v>
      </c>
      <c r="AV68" s="205">
        <f t="shared" si="98"/>
        <v>2306.5169288378347</v>
      </c>
      <c r="AW68" s="205">
        <f t="shared" si="98"/>
        <v>2411.3586074213727</v>
      </c>
      <c r="AX68" s="205">
        <f t="shared" si="98"/>
        <v>2516.2002860049106</v>
      </c>
      <c r="AY68" s="205">
        <f t="shared" si="98"/>
        <v>2621.0419645884485</v>
      </c>
      <c r="AZ68" s="205">
        <f t="shared" si="98"/>
        <v>2725.8836431719865</v>
      </c>
      <c r="BA68" s="205">
        <f t="shared" si="98"/>
        <v>2830.7253217555244</v>
      </c>
      <c r="BB68" s="205">
        <f t="shared" si="98"/>
        <v>2935.5670003390624</v>
      </c>
      <c r="BC68" s="205">
        <f t="shared" si="98"/>
        <v>3040.4086789226003</v>
      </c>
      <c r="BD68" s="205">
        <f t="shared" si="98"/>
        <v>3145.2503575061382</v>
      </c>
      <c r="BE68" s="205">
        <f t="shared" si="98"/>
        <v>3250.0920360896762</v>
      </c>
      <c r="BF68" s="205">
        <f t="shared" si="98"/>
        <v>3354.9337146732141</v>
      </c>
      <c r="BG68" s="205">
        <f t="shared" si="98"/>
        <v>3459.7753932567521</v>
      </c>
      <c r="BH68" s="205">
        <f t="shared" si="98"/>
        <v>3564.61707184029</v>
      </c>
      <c r="BI68" s="205">
        <f t="shared" si="98"/>
        <v>3669.458750423828</v>
      </c>
      <c r="BJ68" s="205">
        <f t="shared" si="98"/>
        <v>3774.3004290073659</v>
      </c>
      <c r="BK68" s="205">
        <f t="shared" si="98"/>
        <v>3879.1421075909038</v>
      </c>
      <c r="BL68" s="205">
        <f t="shared" si="98"/>
        <v>3983.9837861744418</v>
      </c>
      <c r="BM68" s="205">
        <f t="shared" si="98"/>
        <v>4088.8254647579797</v>
      </c>
      <c r="BN68" s="205">
        <f t="shared" si="98"/>
        <v>4072.2255323155864</v>
      </c>
      <c r="BO68" s="205">
        <f t="shared" si="98"/>
        <v>3934.1839888472614</v>
      </c>
      <c r="BP68" s="205">
        <f t="shared" si="98"/>
        <v>3796.1424453789364</v>
      </c>
      <c r="BQ68" s="205">
        <f t="shared" si="98"/>
        <v>3658.1009019106114</v>
      </c>
      <c r="BR68" s="205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3520.0593584422863</v>
      </c>
      <c r="BS68" s="205">
        <f t="shared" si="99"/>
        <v>3382.0178149739613</v>
      </c>
      <c r="BT68" s="205">
        <f t="shared" si="99"/>
        <v>3243.9762715056363</v>
      </c>
      <c r="BU68" s="205">
        <f t="shared" si="99"/>
        <v>3105.9347280373113</v>
      </c>
      <c r="BV68" s="205">
        <f t="shared" si="99"/>
        <v>2967.8931845689867</v>
      </c>
      <c r="BW68" s="205">
        <f t="shared" si="99"/>
        <v>2829.8516411006613</v>
      </c>
      <c r="BX68" s="205">
        <f t="shared" si="99"/>
        <v>2691.8100976323367</v>
      </c>
      <c r="BY68" s="205">
        <f t="shared" si="99"/>
        <v>2553.7685541640117</v>
      </c>
      <c r="BZ68" s="205">
        <f t="shared" si="99"/>
        <v>2415.7270106956867</v>
      </c>
      <c r="CA68" s="205">
        <f t="shared" si="99"/>
        <v>2277.6854672273616</v>
      </c>
      <c r="CB68" s="205">
        <f t="shared" si="99"/>
        <v>2139.6439237590366</v>
      </c>
      <c r="CC68" s="205">
        <f t="shared" si="99"/>
        <v>2001.6023802907116</v>
      </c>
      <c r="CD68" s="205">
        <f t="shared" si="99"/>
        <v>1863.560836822387</v>
      </c>
      <c r="CE68" s="205">
        <f t="shared" si="99"/>
        <v>1725.519293354062</v>
      </c>
      <c r="CF68" s="205">
        <f t="shared" si="99"/>
        <v>1587.477749885737</v>
      </c>
      <c r="CG68" s="205">
        <f t="shared" si="99"/>
        <v>1449.436206417412</v>
      </c>
      <c r="CH68" s="205">
        <f t="shared" si="99"/>
        <v>1311.394662949087</v>
      </c>
      <c r="CI68" s="205">
        <f t="shared" si="99"/>
        <v>1173.353119480762</v>
      </c>
      <c r="CJ68" s="205">
        <f t="shared" si="99"/>
        <v>1035.3115760124369</v>
      </c>
      <c r="CK68" s="205">
        <f t="shared" si="99"/>
        <v>897.27003254411193</v>
      </c>
      <c r="CL68" s="205">
        <f t="shared" si="99"/>
        <v>759.22848907578737</v>
      </c>
      <c r="CM68" s="205">
        <f t="shared" si="99"/>
        <v>621.18694560746235</v>
      </c>
      <c r="CN68" s="205">
        <f t="shared" si="99"/>
        <v>483.14540213913733</v>
      </c>
      <c r="CO68" s="205">
        <f t="shared" si="99"/>
        <v>345.10385867081231</v>
      </c>
      <c r="CP68" s="205">
        <f t="shared" si="99"/>
        <v>207.0623152024873</v>
      </c>
      <c r="CQ68" s="205">
        <f t="shared" si="99"/>
        <v>69.020771734162281</v>
      </c>
      <c r="CR68" s="205">
        <f t="shared" si="99"/>
        <v>0</v>
      </c>
      <c r="CS68" s="205">
        <f t="shared" si="99"/>
        <v>0</v>
      </c>
      <c r="CT68" s="205">
        <f t="shared" si="99"/>
        <v>0</v>
      </c>
      <c r="CU68" s="205">
        <f t="shared" si="99"/>
        <v>0</v>
      </c>
      <c r="CV68" s="205">
        <f t="shared" si="99"/>
        <v>0</v>
      </c>
      <c r="CW68" s="205">
        <f t="shared" si="99"/>
        <v>0</v>
      </c>
      <c r="CX68" s="205">
        <f t="shared" si="99"/>
        <v>0</v>
      </c>
      <c r="CY68" s="205">
        <f t="shared" si="99"/>
        <v>0</v>
      </c>
      <c r="CZ68" s="205">
        <f t="shared" si="99"/>
        <v>0</v>
      </c>
      <c r="DA68" s="205">
        <f t="shared" si="99"/>
        <v>0</v>
      </c>
    </row>
    <row r="69" spans="1:105" s="205" customFormat="1">
      <c r="A69" s="205" t="str">
        <f>Income!A83</f>
        <v>Food transfer - official</v>
      </c>
      <c r="F69" s="205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2031.5005249868352</v>
      </c>
      <c r="G69" s="205">
        <f t="shared" si="100"/>
        <v>2031.5005249868352</v>
      </c>
      <c r="H69" s="205">
        <f t="shared" si="100"/>
        <v>2031.5005249868352</v>
      </c>
      <c r="I69" s="205">
        <f t="shared" si="100"/>
        <v>2031.5005249868352</v>
      </c>
      <c r="J69" s="205">
        <f t="shared" si="100"/>
        <v>2031.5005249868352</v>
      </c>
      <c r="K69" s="205">
        <f t="shared" si="100"/>
        <v>2031.5005249868352</v>
      </c>
      <c r="L69" s="205">
        <f t="shared" si="88"/>
        <v>2031.5005249868352</v>
      </c>
      <c r="M69" s="205">
        <f t="shared" si="100"/>
        <v>2031.5005249868352</v>
      </c>
      <c r="N69" s="205">
        <f t="shared" si="100"/>
        <v>2031.5005249868352</v>
      </c>
      <c r="O69" s="205">
        <f t="shared" si="100"/>
        <v>2031.5005249868352</v>
      </c>
      <c r="P69" s="205">
        <f t="shared" si="100"/>
        <v>2031.5005249868352</v>
      </c>
      <c r="Q69" s="205">
        <f t="shared" si="100"/>
        <v>2031.5005249868352</v>
      </c>
      <c r="R69" s="205">
        <f t="shared" si="100"/>
        <v>2031.5005249868352</v>
      </c>
      <c r="S69" s="205">
        <f t="shared" si="100"/>
        <v>2031.5005249868352</v>
      </c>
      <c r="T69" s="205">
        <f t="shared" si="100"/>
        <v>2031.5005249868352</v>
      </c>
      <c r="U69" s="205">
        <f t="shared" si="100"/>
        <v>2031.5005249868352</v>
      </c>
      <c r="V69" s="205">
        <f t="shared" si="100"/>
        <v>2031.5005249868352</v>
      </c>
      <c r="W69" s="205">
        <f t="shared" si="100"/>
        <v>2031.5005249868352</v>
      </c>
      <c r="X69" s="205">
        <f t="shared" si="100"/>
        <v>2031.5005249868352</v>
      </c>
      <c r="Y69" s="205">
        <f t="shared" si="100"/>
        <v>2031.5005249868352</v>
      </c>
      <c r="Z69" s="205">
        <f t="shared" si="100"/>
        <v>2031.5005249868352</v>
      </c>
      <c r="AA69" s="205">
        <f t="shared" si="100"/>
        <v>2031.5005249868352</v>
      </c>
      <c r="AB69" s="205">
        <f t="shared" si="100"/>
        <v>2031.5005249868352</v>
      </c>
      <c r="AC69" s="205">
        <f t="shared" si="100"/>
        <v>2031.5005249868352</v>
      </c>
      <c r="AD69" s="205">
        <f t="shared" si="100"/>
        <v>2031.5005249868352</v>
      </c>
      <c r="AE69" s="205">
        <f t="shared" si="100"/>
        <v>2031.5005249868352</v>
      </c>
      <c r="AF69" s="205">
        <f t="shared" si="100"/>
        <v>2031.5005249868352</v>
      </c>
      <c r="AG69" s="205">
        <f t="shared" si="100"/>
        <v>2031.5005249868352</v>
      </c>
      <c r="AH69" s="205">
        <f t="shared" si="100"/>
        <v>2031.5005249868352</v>
      </c>
      <c r="AI69" s="205">
        <f t="shared" si="100"/>
        <v>2031.5005249868352</v>
      </c>
      <c r="AJ69" s="205">
        <f t="shared" si="100"/>
        <v>2031.5005249868352</v>
      </c>
      <c r="AK69" s="205">
        <f t="shared" si="100"/>
        <v>2031.5005249868352</v>
      </c>
      <c r="AL69" s="205">
        <f t="shared" si="100"/>
        <v>2031.5005249868352</v>
      </c>
      <c r="AM69" s="205">
        <f t="shared" si="100"/>
        <v>2031.5005249868352</v>
      </c>
      <c r="AN69" s="205">
        <f t="shared" si="100"/>
        <v>2031.5005249868352</v>
      </c>
      <c r="AO69" s="205">
        <f t="shared" si="100"/>
        <v>2031.5005249868352</v>
      </c>
      <c r="AP69" s="205">
        <f t="shared" si="100"/>
        <v>2031.5005249868352</v>
      </c>
      <c r="AQ69" s="205">
        <f t="shared" si="100"/>
        <v>2031.5005249868352</v>
      </c>
      <c r="AR69" s="205">
        <f t="shared" si="100"/>
        <v>2031.5005249868352</v>
      </c>
      <c r="AS69" s="205">
        <f t="shared" si="100"/>
        <v>2031.5005249868352</v>
      </c>
      <c r="AT69" s="205">
        <f t="shared" si="100"/>
        <v>2031.500524986835</v>
      </c>
      <c r="AU69" s="205">
        <f t="shared" si="100"/>
        <v>2031.500524986835</v>
      </c>
      <c r="AV69" s="205">
        <f t="shared" si="100"/>
        <v>2031.500524986835</v>
      </c>
      <c r="AW69" s="205">
        <f t="shared" si="100"/>
        <v>2031.500524986835</v>
      </c>
      <c r="AX69" s="205">
        <f t="shared" si="100"/>
        <v>2031.500524986835</v>
      </c>
      <c r="AY69" s="205">
        <f t="shared" si="100"/>
        <v>2031.500524986835</v>
      </c>
      <c r="AZ69" s="205">
        <f t="shared" si="100"/>
        <v>2031.500524986835</v>
      </c>
      <c r="BA69" s="205">
        <f t="shared" si="100"/>
        <v>2031.500524986835</v>
      </c>
      <c r="BB69" s="205">
        <f t="shared" si="100"/>
        <v>2031.500524986835</v>
      </c>
      <c r="BC69" s="205">
        <f t="shared" si="100"/>
        <v>2031.500524986835</v>
      </c>
      <c r="BD69" s="205">
        <f t="shared" si="100"/>
        <v>2031.500524986835</v>
      </c>
      <c r="BE69" s="205">
        <f t="shared" si="100"/>
        <v>2031.500524986835</v>
      </c>
      <c r="BF69" s="205">
        <f t="shared" si="100"/>
        <v>2031.500524986835</v>
      </c>
      <c r="BG69" s="205">
        <f t="shared" si="100"/>
        <v>2031.500524986835</v>
      </c>
      <c r="BH69" s="205">
        <f t="shared" si="100"/>
        <v>2031.500524986835</v>
      </c>
      <c r="BI69" s="205">
        <f t="shared" si="100"/>
        <v>2031.500524986835</v>
      </c>
      <c r="BJ69" s="205">
        <f t="shared" si="100"/>
        <v>2031.500524986835</v>
      </c>
      <c r="BK69" s="205">
        <f t="shared" si="100"/>
        <v>2031.500524986835</v>
      </c>
      <c r="BL69" s="205">
        <f t="shared" si="100"/>
        <v>2031.500524986835</v>
      </c>
      <c r="BM69" s="205">
        <f t="shared" si="100"/>
        <v>2031.500524986835</v>
      </c>
      <c r="BN69" s="205">
        <f t="shared" si="100"/>
        <v>2028.5983813797109</v>
      </c>
      <c r="BO69" s="205">
        <f t="shared" si="100"/>
        <v>2022.7940941654629</v>
      </c>
      <c r="BP69" s="205">
        <f t="shared" si="100"/>
        <v>2016.9898069512146</v>
      </c>
      <c r="BQ69" s="205">
        <f t="shared" si="100"/>
        <v>2011.1855197369666</v>
      </c>
      <c r="BR69" s="205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2005.3812325227186</v>
      </c>
      <c r="BS69" s="205">
        <f t="shared" si="101"/>
        <v>1999.5769453084704</v>
      </c>
      <c r="BT69" s="205">
        <f t="shared" si="101"/>
        <v>1993.7726580942224</v>
      </c>
      <c r="BU69" s="205">
        <f t="shared" si="101"/>
        <v>1987.9683708799741</v>
      </c>
      <c r="BV69" s="205">
        <f t="shared" si="101"/>
        <v>1982.1640836657261</v>
      </c>
      <c r="BW69" s="205">
        <f t="shared" si="101"/>
        <v>1976.3597964514779</v>
      </c>
      <c r="BX69" s="205">
        <f t="shared" si="101"/>
        <v>1970.5555092372299</v>
      </c>
      <c r="BY69" s="205">
        <f t="shared" si="101"/>
        <v>1964.7512220229819</v>
      </c>
      <c r="BZ69" s="205">
        <f t="shared" si="101"/>
        <v>1958.9469348087337</v>
      </c>
      <c r="CA69" s="205">
        <f t="shared" si="101"/>
        <v>1953.1426475944857</v>
      </c>
      <c r="CB69" s="205">
        <f t="shared" si="101"/>
        <v>1947.3383603802374</v>
      </c>
      <c r="CC69" s="205">
        <f t="shared" si="101"/>
        <v>1941.5340731659894</v>
      </c>
      <c r="CD69" s="205">
        <f t="shared" si="101"/>
        <v>1935.7297859517412</v>
      </c>
      <c r="CE69" s="205">
        <f t="shared" si="101"/>
        <v>1929.9254987374932</v>
      </c>
      <c r="CF69" s="205">
        <f t="shared" si="101"/>
        <v>1924.1212115232452</v>
      </c>
      <c r="CG69" s="205">
        <f t="shared" si="101"/>
        <v>1918.3169243089969</v>
      </c>
      <c r="CH69" s="205">
        <f t="shared" si="101"/>
        <v>1912.5126370947489</v>
      </c>
      <c r="CI69" s="205">
        <f t="shared" si="101"/>
        <v>1906.7083498805007</v>
      </c>
      <c r="CJ69" s="205">
        <f t="shared" si="101"/>
        <v>1900.9040626662527</v>
      </c>
      <c r="CK69" s="205">
        <f t="shared" si="101"/>
        <v>1895.0997754520045</v>
      </c>
      <c r="CL69" s="205">
        <f t="shared" si="101"/>
        <v>1889.2954882377564</v>
      </c>
      <c r="CM69" s="205">
        <f t="shared" si="101"/>
        <v>1883.4912010235084</v>
      </c>
      <c r="CN69" s="205">
        <f t="shared" si="101"/>
        <v>1877.6869138092602</v>
      </c>
      <c r="CO69" s="205">
        <f t="shared" si="101"/>
        <v>1871.8826265950122</v>
      </c>
      <c r="CP69" s="205">
        <f t="shared" si="101"/>
        <v>1866.078339380764</v>
      </c>
      <c r="CQ69" s="205">
        <f t="shared" si="101"/>
        <v>1860.274052166516</v>
      </c>
      <c r="CR69" s="205">
        <f t="shared" si="101"/>
        <v>1768.9256271994209</v>
      </c>
      <c r="CS69" s="205">
        <f t="shared" si="101"/>
        <v>1592.0330644794788</v>
      </c>
      <c r="CT69" s="205">
        <f t="shared" si="101"/>
        <v>1415.1405017595366</v>
      </c>
      <c r="CU69" s="205">
        <f t="shared" si="101"/>
        <v>1238.2479390395947</v>
      </c>
      <c r="CV69" s="205">
        <f t="shared" si="101"/>
        <v>1061.3553763196524</v>
      </c>
      <c r="CW69" s="205">
        <f t="shared" si="101"/>
        <v>884.46281359971044</v>
      </c>
      <c r="CX69" s="205">
        <f t="shared" si="101"/>
        <v>707.57025087976831</v>
      </c>
      <c r="CY69" s="205">
        <f t="shared" si="101"/>
        <v>530.67768815982618</v>
      </c>
      <c r="CZ69" s="205">
        <f t="shared" si="101"/>
        <v>353.78512543988427</v>
      </c>
      <c r="DA69" s="205">
        <f t="shared" si="101"/>
        <v>176.89256271994213</v>
      </c>
    </row>
    <row r="70" spans="1:105" s="205" customFormat="1">
      <c r="A70" s="205" t="str">
        <f>Income!A85</f>
        <v>Cash transfer - official</v>
      </c>
      <c r="F70" s="205">
        <f t="shared" si="100"/>
        <v>31716.030622872437</v>
      </c>
      <c r="G70" s="205">
        <f t="shared" si="100"/>
        <v>31716.030622872437</v>
      </c>
      <c r="H70" s="205">
        <f t="shared" si="100"/>
        <v>31716.030622872437</v>
      </c>
      <c r="I70" s="205">
        <f t="shared" si="100"/>
        <v>31716.030622872437</v>
      </c>
      <c r="J70" s="205">
        <f t="shared" si="100"/>
        <v>31716.030622872437</v>
      </c>
      <c r="K70" s="205">
        <f t="shared" si="100"/>
        <v>31716.030622872437</v>
      </c>
      <c r="L70" s="205">
        <f t="shared" si="100"/>
        <v>31716.030622872437</v>
      </c>
      <c r="M70" s="205">
        <f t="shared" si="100"/>
        <v>31716.030622872437</v>
      </c>
      <c r="N70" s="205">
        <f t="shared" si="100"/>
        <v>31716.030622872437</v>
      </c>
      <c r="O70" s="205">
        <f t="shared" si="100"/>
        <v>31716.030622872437</v>
      </c>
      <c r="P70" s="205">
        <f t="shared" si="100"/>
        <v>31716.030622872437</v>
      </c>
      <c r="Q70" s="205">
        <f t="shared" si="100"/>
        <v>31716.030622872437</v>
      </c>
      <c r="R70" s="205">
        <f t="shared" si="100"/>
        <v>31716.030622872437</v>
      </c>
      <c r="S70" s="205">
        <f t="shared" si="100"/>
        <v>31716.030622872437</v>
      </c>
      <c r="T70" s="205">
        <f t="shared" si="100"/>
        <v>31716.030622872437</v>
      </c>
      <c r="U70" s="205">
        <f t="shared" si="100"/>
        <v>31716.030622872437</v>
      </c>
      <c r="V70" s="205">
        <f t="shared" si="100"/>
        <v>31716.030622872437</v>
      </c>
      <c r="W70" s="205">
        <f t="shared" si="100"/>
        <v>31716.030622872437</v>
      </c>
      <c r="X70" s="205">
        <f t="shared" si="100"/>
        <v>31716.030622872437</v>
      </c>
      <c r="Y70" s="205">
        <f t="shared" si="100"/>
        <v>31716.030622872437</v>
      </c>
      <c r="Z70" s="205">
        <f t="shared" si="100"/>
        <v>31716.030622872437</v>
      </c>
      <c r="AA70" s="205">
        <f t="shared" si="100"/>
        <v>31721.197819888341</v>
      </c>
      <c r="AB70" s="205">
        <f t="shared" si="100"/>
        <v>31726.365016904241</v>
      </c>
      <c r="AC70" s="205">
        <f t="shared" si="100"/>
        <v>31731.532213920145</v>
      </c>
      <c r="AD70" s="205">
        <f t="shared" si="100"/>
        <v>31736.699410936049</v>
      </c>
      <c r="AE70" s="205">
        <f t="shared" si="100"/>
        <v>31741.86660795195</v>
      </c>
      <c r="AF70" s="205">
        <f t="shared" si="100"/>
        <v>31747.033804967854</v>
      </c>
      <c r="AG70" s="205">
        <f t="shared" si="100"/>
        <v>31752.201001983758</v>
      </c>
      <c r="AH70" s="205">
        <f t="shared" si="100"/>
        <v>31757.368198999658</v>
      </c>
      <c r="AI70" s="205">
        <f t="shared" si="100"/>
        <v>31762.535396015563</v>
      </c>
      <c r="AJ70" s="205">
        <f t="shared" si="100"/>
        <v>31767.702593031467</v>
      </c>
      <c r="AK70" s="205">
        <f t="shared" si="100"/>
        <v>31772.869790047367</v>
      </c>
      <c r="AL70" s="205">
        <f t="shared" si="100"/>
        <v>31778.036987063271</v>
      </c>
      <c r="AM70" s="205">
        <f t="shared" si="100"/>
        <v>31783.204184079175</v>
      </c>
      <c r="AN70" s="205">
        <f t="shared" si="100"/>
        <v>31788.371381095076</v>
      </c>
      <c r="AO70" s="205">
        <f t="shared" si="100"/>
        <v>31793.53857811098</v>
      </c>
      <c r="AP70" s="205">
        <f t="shared" si="100"/>
        <v>31798.705775126884</v>
      </c>
      <c r="AQ70" s="205">
        <f t="shared" si="100"/>
        <v>31803.872972142784</v>
      </c>
      <c r="AR70" s="205">
        <f t="shared" si="100"/>
        <v>31809.040169158689</v>
      </c>
      <c r="AS70" s="205">
        <f t="shared" si="100"/>
        <v>31814.207366174593</v>
      </c>
      <c r="AT70" s="205">
        <f t="shared" si="100"/>
        <v>31819.374563190493</v>
      </c>
      <c r="AU70" s="205">
        <f t="shared" si="100"/>
        <v>31824.541760206397</v>
      </c>
      <c r="AV70" s="205">
        <f t="shared" si="100"/>
        <v>31829.708957222298</v>
      </c>
      <c r="AW70" s="205">
        <f t="shared" si="100"/>
        <v>31834.876154238202</v>
      </c>
      <c r="AX70" s="205">
        <f t="shared" si="100"/>
        <v>31840.043351254106</v>
      </c>
      <c r="AY70" s="205">
        <f t="shared" si="100"/>
        <v>31845.210548270006</v>
      </c>
      <c r="AZ70" s="205">
        <f t="shared" si="100"/>
        <v>31850.37774528591</v>
      </c>
      <c r="BA70" s="205">
        <f t="shared" si="100"/>
        <v>31855.544942301814</v>
      </c>
      <c r="BB70" s="205">
        <f t="shared" si="100"/>
        <v>31860.712139317715</v>
      </c>
      <c r="BC70" s="205">
        <f t="shared" si="100"/>
        <v>31865.879336333619</v>
      </c>
      <c r="BD70" s="205">
        <f t="shared" si="100"/>
        <v>31871.046533349523</v>
      </c>
      <c r="BE70" s="205">
        <f t="shared" si="100"/>
        <v>31876.213730365424</v>
      </c>
      <c r="BF70" s="205">
        <f t="shared" si="100"/>
        <v>31881.380927381328</v>
      </c>
      <c r="BG70" s="205">
        <f t="shared" si="100"/>
        <v>31886.548124397232</v>
      </c>
      <c r="BH70" s="205">
        <f t="shared" si="100"/>
        <v>31891.715321413132</v>
      </c>
      <c r="BI70" s="205">
        <f t="shared" si="100"/>
        <v>31896.882518429036</v>
      </c>
      <c r="BJ70" s="205">
        <f t="shared" si="100"/>
        <v>31902.04971544494</v>
      </c>
      <c r="BK70" s="205">
        <f t="shared" si="100"/>
        <v>31907.216912460841</v>
      </c>
      <c r="BL70" s="205">
        <f t="shared" si="100"/>
        <v>31912.384109476745</v>
      </c>
      <c r="BM70" s="205">
        <f t="shared" si="100"/>
        <v>31917.551306492649</v>
      </c>
      <c r="BN70" s="205">
        <f t="shared" si="100"/>
        <v>31949.651849320791</v>
      </c>
      <c r="BO70" s="205">
        <f t="shared" si="100"/>
        <v>32008.685737961172</v>
      </c>
      <c r="BP70" s="205">
        <f t="shared" si="100"/>
        <v>32067.719626601556</v>
      </c>
      <c r="BQ70" s="205">
        <f t="shared" si="100"/>
        <v>32126.75351524194</v>
      </c>
      <c r="BR70" s="205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32185.787403882321</v>
      </c>
      <c r="BS70" s="205">
        <f t="shared" si="102"/>
        <v>32244.821292522705</v>
      </c>
      <c r="BT70" s="205">
        <f t="shared" si="102"/>
        <v>32303.85518116309</v>
      </c>
      <c r="BU70" s="205">
        <f t="shared" si="102"/>
        <v>32362.88906980347</v>
      </c>
      <c r="BV70" s="205">
        <f t="shared" si="102"/>
        <v>32421.922958443854</v>
      </c>
      <c r="BW70" s="205">
        <f t="shared" si="102"/>
        <v>32480.956847084235</v>
      </c>
      <c r="BX70" s="205">
        <f t="shared" si="102"/>
        <v>32539.990735724619</v>
      </c>
      <c r="BY70" s="205">
        <f t="shared" si="102"/>
        <v>32599.024624365004</v>
      </c>
      <c r="BZ70" s="205">
        <f t="shared" si="102"/>
        <v>32658.058513005384</v>
      </c>
      <c r="CA70" s="205">
        <f t="shared" si="102"/>
        <v>32717.092401645768</v>
      </c>
      <c r="CB70" s="205">
        <f t="shared" si="102"/>
        <v>32776.126290286149</v>
      </c>
      <c r="CC70" s="205">
        <f t="shared" si="102"/>
        <v>32835.160178926533</v>
      </c>
      <c r="CD70" s="205">
        <f t="shared" si="102"/>
        <v>32894.194067566918</v>
      </c>
      <c r="CE70" s="205">
        <f t="shared" si="102"/>
        <v>32953.227956207302</v>
      </c>
      <c r="CF70" s="205">
        <f t="shared" si="102"/>
        <v>33012.261844847686</v>
      </c>
      <c r="CG70" s="205">
        <f t="shared" si="102"/>
        <v>33071.295733488063</v>
      </c>
      <c r="CH70" s="205">
        <f t="shared" si="102"/>
        <v>33130.329622128447</v>
      </c>
      <c r="CI70" s="205">
        <f t="shared" si="102"/>
        <v>33189.363510768831</v>
      </c>
      <c r="CJ70" s="205">
        <f t="shared" si="102"/>
        <v>33248.397399409216</v>
      </c>
      <c r="CK70" s="205">
        <f t="shared" si="102"/>
        <v>33307.4312880496</v>
      </c>
      <c r="CL70" s="205">
        <f t="shared" si="102"/>
        <v>33366.465176689977</v>
      </c>
      <c r="CM70" s="205">
        <f t="shared" si="102"/>
        <v>33425.499065330361</v>
      </c>
      <c r="CN70" s="205">
        <f t="shared" si="102"/>
        <v>33484.532953970745</v>
      </c>
      <c r="CO70" s="205">
        <f t="shared" si="102"/>
        <v>33543.56684261113</v>
      </c>
      <c r="CP70" s="205">
        <f t="shared" si="102"/>
        <v>33602.600731251514</v>
      </c>
      <c r="CQ70" s="205">
        <f t="shared" si="102"/>
        <v>33661.634619891898</v>
      </c>
      <c r="CR70" s="205">
        <f t="shared" si="102"/>
        <v>32086.81101353532</v>
      </c>
      <c r="CS70" s="205">
        <f t="shared" si="102"/>
        <v>28878.129912181786</v>
      </c>
      <c r="CT70" s="205">
        <f t="shared" si="102"/>
        <v>25669.448810828257</v>
      </c>
      <c r="CU70" s="205">
        <f t="shared" si="102"/>
        <v>22460.767709474727</v>
      </c>
      <c r="CV70" s="205">
        <f t="shared" si="102"/>
        <v>19252.086608121193</v>
      </c>
      <c r="CW70" s="205">
        <f t="shared" si="102"/>
        <v>16043.40550676766</v>
      </c>
      <c r="CX70" s="205">
        <f t="shared" si="102"/>
        <v>12834.724405414127</v>
      </c>
      <c r="CY70" s="205">
        <f t="shared" si="102"/>
        <v>9626.0433040605967</v>
      </c>
      <c r="CZ70" s="205">
        <f t="shared" si="102"/>
        <v>6417.3622027070633</v>
      </c>
      <c r="DA70" s="205">
        <f t="shared" si="102"/>
        <v>3208.6811013535334</v>
      </c>
    </row>
    <row r="71" spans="1:105" s="205" customFormat="1">
      <c r="A71" s="205" t="str">
        <f>Income!A86</f>
        <v>Cash transfer - gifts</v>
      </c>
      <c r="F71" s="205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5">
        <f t="shared" si="103"/>
        <v>0</v>
      </c>
      <c r="H71" s="205">
        <f t="shared" si="103"/>
        <v>0</v>
      </c>
      <c r="I71" s="205">
        <f t="shared" si="103"/>
        <v>0</v>
      </c>
      <c r="J71" s="205">
        <f t="shared" si="103"/>
        <v>0</v>
      </c>
      <c r="K71" s="205">
        <f t="shared" si="103"/>
        <v>0</v>
      </c>
      <c r="L71" s="205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5">
        <f t="shared" si="103"/>
        <v>0</v>
      </c>
      <c r="N71" s="205">
        <f t="shared" si="103"/>
        <v>0</v>
      </c>
      <c r="O71" s="205">
        <f t="shared" si="103"/>
        <v>0</v>
      </c>
      <c r="P71" s="205">
        <f t="shared" si="103"/>
        <v>0</v>
      </c>
      <c r="Q71" s="205">
        <f t="shared" si="103"/>
        <v>0</v>
      </c>
      <c r="R71" s="205">
        <f t="shared" si="103"/>
        <v>0</v>
      </c>
      <c r="S71" s="205">
        <f t="shared" si="103"/>
        <v>0</v>
      </c>
      <c r="T71" s="205">
        <f t="shared" si="103"/>
        <v>0</v>
      </c>
      <c r="U71" s="205">
        <f t="shared" si="103"/>
        <v>0</v>
      </c>
      <c r="V71" s="205">
        <f t="shared" si="103"/>
        <v>0</v>
      </c>
      <c r="W71" s="205">
        <f t="shared" si="103"/>
        <v>0</v>
      </c>
      <c r="X71" s="205">
        <f t="shared" si="103"/>
        <v>0</v>
      </c>
      <c r="Y71" s="205">
        <f t="shared" si="103"/>
        <v>0</v>
      </c>
      <c r="Z71" s="205">
        <f t="shared" si="103"/>
        <v>0</v>
      </c>
      <c r="AA71" s="205">
        <f t="shared" si="103"/>
        <v>0</v>
      </c>
      <c r="AB71" s="205">
        <f t="shared" si="103"/>
        <v>0</v>
      </c>
      <c r="AC71" s="205">
        <f t="shared" si="103"/>
        <v>0</v>
      </c>
      <c r="AD71" s="205">
        <f t="shared" si="103"/>
        <v>0</v>
      </c>
      <c r="AE71" s="205">
        <f t="shared" si="103"/>
        <v>0</v>
      </c>
      <c r="AF71" s="205">
        <f t="shared" si="103"/>
        <v>0</v>
      </c>
      <c r="AG71" s="205">
        <f t="shared" si="103"/>
        <v>0</v>
      </c>
      <c r="AH71" s="205">
        <f t="shared" si="103"/>
        <v>0</v>
      </c>
      <c r="AI71" s="205">
        <f t="shared" si="103"/>
        <v>0</v>
      </c>
      <c r="AJ71" s="205">
        <f t="shared" si="103"/>
        <v>0</v>
      </c>
      <c r="AK71" s="205">
        <f t="shared" si="103"/>
        <v>0</v>
      </c>
      <c r="AL71" s="205">
        <f t="shared" si="103"/>
        <v>0</v>
      </c>
      <c r="AM71" s="205">
        <f t="shared" si="103"/>
        <v>0</v>
      </c>
      <c r="AN71" s="205">
        <f t="shared" si="103"/>
        <v>0</v>
      </c>
      <c r="AO71" s="205">
        <f t="shared" si="103"/>
        <v>0</v>
      </c>
      <c r="AP71" s="205">
        <f t="shared" si="103"/>
        <v>0</v>
      </c>
      <c r="AQ71" s="205">
        <f t="shared" si="103"/>
        <v>0</v>
      </c>
      <c r="AR71" s="205">
        <f t="shared" si="103"/>
        <v>0</v>
      </c>
      <c r="AS71" s="205">
        <f t="shared" si="103"/>
        <v>0</v>
      </c>
      <c r="AT71" s="205">
        <f t="shared" si="103"/>
        <v>0</v>
      </c>
      <c r="AU71" s="205">
        <f t="shared" si="103"/>
        <v>0</v>
      </c>
      <c r="AV71" s="205">
        <f t="shared" si="103"/>
        <v>0</v>
      </c>
      <c r="AW71" s="205">
        <f t="shared" si="103"/>
        <v>0</v>
      </c>
      <c r="AX71" s="205">
        <f t="shared" si="103"/>
        <v>0</v>
      </c>
      <c r="AY71" s="205">
        <f t="shared" si="103"/>
        <v>0</v>
      </c>
      <c r="AZ71" s="205">
        <f t="shared" si="103"/>
        <v>0</v>
      </c>
      <c r="BA71" s="205">
        <f t="shared" si="103"/>
        <v>0</v>
      </c>
      <c r="BB71" s="205">
        <f t="shared" si="103"/>
        <v>0</v>
      </c>
      <c r="BC71" s="205">
        <f t="shared" si="103"/>
        <v>0</v>
      </c>
      <c r="BD71" s="205">
        <f t="shared" si="103"/>
        <v>0</v>
      </c>
      <c r="BE71" s="205">
        <f t="shared" si="103"/>
        <v>0</v>
      </c>
      <c r="BF71" s="205">
        <f t="shared" si="103"/>
        <v>0</v>
      </c>
      <c r="BG71" s="205">
        <f t="shared" si="103"/>
        <v>0</v>
      </c>
      <c r="BH71" s="205">
        <f t="shared" si="103"/>
        <v>0</v>
      </c>
      <c r="BI71" s="205">
        <f t="shared" si="103"/>
        <v>0</v>
      </c>
      <c r="BJ71" s="205">
        <f t="shared" si="103"/>
        <v>0</v>
      </c>
      <c r="BK71" s="205">
        <f t="shared" si="103"/>
        <v>0</v>
      </c>
      <c r="BL71" s="205">
        <f t="shared" si="103"/>
        <v>0</v>
      </c>
      <c r="BM71" s="205">
        <f t="shared" si="103"/>
        <v>0</v>
      </c>
      <c r="BN71" s="205">
        <f t="shared" si="103"/>
        <v>0</v>
      </c>
      <c r="BO71" s="205">
        <f t="shared" si="103"/>
        <v>0</v>
      </c>
      <c r="BP71" s="205">
        <f t="shared" si="103"/>
        <v>0</v>
      </c>
      <c r="BQ71" s="205">
        <f t="shared" si="103"/>
        <v>0</v>
      </c>
      <c r="BR71" s="205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5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5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5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5">
        <f t="shared" si="104"/>
        <v>0</v>
      </c>
      <c r="BW71" s="205">
        <f t="shared" si="104"/>
        <v>0</v>
      </c>
      <c r="BX71" s="205">
        <f t="shared" si="104"/>
        <v>0</v>
      </c>
      <c r="BY71" s="205">
        <f t="shared" si="104"/>
        <v>0</v>
      </c>
      <c r="BZ71" s="205">
        <f t="shared" si="104"/>
        <v>0</v>
      </c>
      <c r="CA71" s="205">
        <f t="shared" si="104"/>
        <v>0</v>
      </c>
      <c r="CB71" s="205">
        <f t="shared" si="104"/>
        <v>0</v>
      </c>
      <c r="CC71" s="205">
        <f t="shared" si="104"/>
        <v>0</v>
      </c>
      <c r="CD71" s="205">
        <f t="shared" si="104"/>
        <v>0</v>
      </c>
      <c r="CE71" s="205">
        <f t="shared" si="104"/>
        <v>0</v>
      </c>
      <c r="CF71" s="205">
        <f t="shared" si="104"/>
        <v>0</v>
      </c>
      <c r="CG71" s="205">
        <f t="shared" si="104"/>
        <v>0</v>
      </c>
      <c r="CH71" s="205">
        <f t="shared" si="104"/>
        <v>0</v>
      </c>
      <c r="CI71" s="205">
        <f t="shared" si="104"/>
        <v>0</v>
      </c>
      <c r="CJ71" s="205">
        <f t="shared" si="104"/>
        <v>0</v>
      </c>
      <c r="CK71" s="205">
        <f t="shared" si="104"/>
        <v>0</v>
      </c>
      <c r="CL71" s="205">
        <f t="shared" si="104"/>
        <v>0</v>
      </c>
      <c r="CM71" s="205">
        <f t="shared" si="104"/>
        <v>0</v>
      </c>
      <c r="CN71" s="205">
        <f t="shared" si="104"/>
        <v>0</v>
      </c>
      <c r="CO71" s="205">
        <f t="shared" si="104"/>
        <v>0</v>
      </c>
      <c r="CP71" s="205">
        <f t="shared" si="104"/>
        <v>0</v>
      </c>
      <c r="CQ71" s="205">
        <f t="shared" si="104"/>
        <v>0</v>
      </c>
      <c r="CR71" s="205">
        <f t="shared" si="104"/>
        <v>0</v>
      </c>
      <c r="CS71" s="205">
        <f t="shared" si="104"/>
        <v>0</v>
      </c>
      <c r="CT71" s="205">
        <f t="shared" si="104"/>
        <v>0</v>
      </c>
      <c r="CU71" s="205">
        <f t="shared" si="104"/>
        <v>0</v>
      </c>
      <c r="CV71" s="205">
        <f t="shared" si="104"/>
        <v>0</v>
      </c>
      <c r="CW71" s="205">
        <f t="shared" si="104"/>
        <v>0</v>
      </c>
      <c r="CX71" s="205">
        <f t="shared" si="104"/>
        <v>0</v>
      </c>
      <c r="CY71" s="205">
        <f t="shared" si="104"/>
        <v>0</v>
      </c>
      <c r="CZ71" s="205">
        <f t="shared" si="104"/>
        <v>0</v>
      </c>
      <c r="DA71" s="205">
        <f t="shared" si="104"/>
        <v>0</v>
      </c>
    </row>
    <row r="72" spans="1:105" s="205" customFormat="1">
      <c r="A72" s="205" t="str">
        <f>Income!A88</f>
        <v>TOTAL</v>
      </c>
      <c r="F72" s="205">
        <f>SUM(F59:F71)</f>
        <v>55686.942825814651</v>
      </c>
      <c r="G72" s="205">
        <f t="shared" ref="G72:BR72" si="105">SUM(G59:G71)</f>
        <v>55346.682825814642</v>
      </c>
      <c r="H72" s="205">
        <f t="shared" si="105"/>
        <v>55006.422825814647</v>
      </c>
      <c r="I72" s="205">
        <f t="shared" si="105"/>
        <v>54666.162825814645</v>
      </c>
      <c r="J72" s="205">
        <f t="shared" si="105"/>
        <v>54325.902825814643</v>
      </c>
      <c r="K72" s="205">
        <f t="shared" si="105"/>
        <v>53985.642825814648</v>
      </c>
      <c r="L72" s="205">
        <f t="shared" si="105"/>
        <v>53645.382825814646</v>
      </c>
      <c r="M72" s="205">
        <f t="shared" si="105"/>
        <v>53305.122825814644</v>
      </c>
      <c r="N72" s="205">
        <f t="shared" si="105"/>
        <v>52964.862825814649</v>
      </c>
      <c r="O72" s="205">
        <f t="shared" si="105"/>
        <v>52624.60282581464</v>
      </c>
      <c r="P72" s="205">
        <f t="shared" si="105"/>
        <v>52284.342825814645</v>
      </c>
      <c r="Q72" s="205">
        <f t="shared" si="105"/>
        <v>51944.082825814643</v>
      </c>
      <c r="R72" s="205">
        <f t="shared" si="105"/>
        <v>51603.822825814641</v>
      </c>
      <c r="S72" s="205">
        <f t="shared" si="105"/>
        <v>51263.562825814646</v>
      </c>
      <c r="T72" s="205">
        <f t="shared" si="105"/>
        <v>50923.302825814644</v>
      </c>
      <c r="U72" s="205">
        <f t="shared" si="105"/>
        <v>50583.042825814642</v>
      </c>
      <c r="V72" s="205">
        <f t="shared" si="105"/>
        <v>50242.782825814647</v>
      </c>
      <c r="W72" s="205">
        <f t="shared" si="105"/>
        <v>49902.522825814645</v>
      </c>
      <c r="X72" s="205">
        <f t="shared" si="105"/>
        <v>49562.262825814643</v>
      </c>
      <c r="Y72" s="205">
        <f t="shared" si="105"/>
        <v>49222.002825814649</v>
      </c>
      <c r="Z72" s="205">
        <f t="shared" si="105"/>
        <v>48881.742825814639</v>
      </c>
      <c r="AA72" s="205">
        <f t="shared" si="105"/>
        <v>49157.565919060944</v>
      </c>
      <c r="AB72" s="205">
        <f t="shared" si="105"/>
        <v>49433.389012307249</v>
      </c>
      <c r="AC72" s="205">
        <f t="shared" si="105"/>
        <v>49709.212105553554</v>
      </c>
      <c r="AD72" s="205">
        <f t="shared" si="105"/>
        <v>49985.035198799858</v>
      </c>
      <c r="AE72" s="205">
        <f t="shared" si="105"/>
        <v>50260.858292046163</v>
      </c>
      <c r="AF72" s="205">
        <f t="shared" si="105"/>
        <v>50536.681385292468</v>
      </c>
      <c r="AG72" s="205">
        <f t="shared" si="105"/>
        <v>50812.504478538773</v>
      </c>
      <c r="AH72" s="205">
        <f t="shared" si="105"/>
        <v>51088.32757178507</v>
      </c>
      <c r="AI72" s="205">
        <f t="shared" si="105"/>
        <v>51364.150665031375</v>
      </c>
      <c r="AJ72" s="205">
        <f t="shared" si="105"/>
        <v>51639.97375827768</v>
      </c>
      <c r="AK72" s="205">
        <f t="shared" si="105"/>
        <v>51915.796851523977</v>
      </c>
      <c r="AL72" s="205">
        <f t="shared" si="105"/>
        <v>52191.619944770282</v>
      </c>
      <c r="AM72" s="205">
        <f t="shared" si="105"/>
        <v>52467.443038016587</v>
      </c>
      <c r="AN72" s="205">
        <f t="shared" si="105"/>
        <v>52743.266131262892</v>
      </c>
      <c r="AO72" s="205">
        <f t="shared" si="105"/>
        <v>53019.089224509196</v>
      </c>
      <c r="AP72" s="205">
        <f t="shared" si="105"/>
        <v>53294.912317755501</v>
      </c>
      <c r="AQ72" s="205">
        <f t="shared" si="105"/>
        <v>53570.735411001806</v>
      </c>
      <c r="AR72" s="205">
        <f t="shared" si="105"/>
        <v>53846.558504248103</v>
      </c>
      <c r="AS72" s="205">
        <f t="shared" si="105"/>
        <v>54122.381597494415</v>
      </c>
      <c r="AT72" s="205">
        <f t="shared" si="105"/>
        <v>54398.204690740706</v>
      </c>
      <c r="AU72" s="205">
        <f t="shared" si="105"/>
        <v>54674.027783987018</v>
      </c>
      <c r="AV72" s="205">
        <f t="shared" si="105"/>
        <v>54949.850877233315</v>
      </c>
      <c r="AW72" s="205">
        <f t="shared" si="105"/>
        <v>55225.67397047962</v>
      </c>
      <c r="AX72" s="205">
        <f t="shared" si="105"/>
        <v>55501.497063725925</v>
      </c>
      <c r="AY72" s="205">
        <f t="shared" si="105"/>
        <v>55777.32015697223</v>
      </c>
      <c r="AZ72" s="205">
        <f t="shared" si="105"/>
        <v>56053.143250218534</v>
      </c>
      <c r="BA72" s="205">
        <f t="shared" si="105"/>
        <v>56328.966343464839</v>
      </c>
      <c r="BB72" s="205">
        <f t="shared" si="105"/>
        <v>56604.789436711137</v>
      </c>
      <c r="BC72" s="205">
        <f t="shared" si="105"/>
        <v>56880.612529957449</v>
      </c>
      <c r="BD72" s="205">
        <f t="shared" si="105"/>
        <v>57156.435623203739</v>
      </c>
      <c r="BE72" s="205">
        <f t="shared" si="105"/>
        <v>57432.258716450044</v>
      </c>
      <c r="BF72" s="205">
        <f t="shared" si="105"/>
        <v>57708.081809696349</v>
      </c>
      <c r="BG72" s="205">
        <f t="shared" si="105"/>
        <v>57983.904902942661</v>
      </c>
      <c r="BH72" s="205">
        <f t="shared" si="105"/>
        <v>58259.727996188958</v>
      </c>
      <c r="BI72" s="205">
        <f t="shared" si="105"/>
        <v>58535.551089435263</v>
      </c>
      <c r="BJ72" s="205">
        <f t="shared" si="105"/>
        <v>58811.374182681568</v>
      </c>
      <c r="BK72" s="205">
        <f t="shared" si="105"/>
        <v>59087.197275927865</v>
      </c>
      <c r="BL72" s="205">
        <f t="shared" si="105"/>
        <v>59363.02036917417</v>
      </c>
      <c r="BM72" s="205">
        <f t="shared" si="105"/>
        <v>59638.843462420475</v>
      </c>
      <c r="BN72" s="205">
        <f t="shared" si="105"/>
        <v>61077.52175236302</v>
      </c>
      <c r="BO72" s="205">
        <f t="shared" si="105"/>
        <v>63679.055239001813</v>
      </c>
      <c r="BP72" s="205">
        <f t="shared" si="105"/>
        <v>66280.588725640599</v>
      </c>
      <c r="BQ72" s="205">
        <f t="shared" si="105"/>
        <v>68882.122212279384</v>
      </c>
      <c r="BR72" s="205">
        <f t="shared" si="105"/>
        <v>71483.655698918184</v>
      </c>
      <c r="BS72" s="205">
        <f t="shared" ref="BS72:DA72" si="106">SUM(BS59:BS71)</f>
        <v>74085.18918555697</v>
      </c>
      <c r="BT72" s="205">
        <f t="shared" si="106"/>
        <v>76686.722672195756</v>
      </c>
      <c r="BU72" s="205">
        <f t="shared" si="106"/>
        <v>79288.256158834542</v>
      </c>
      <c r="BV72" s="205">
        <f t="shared" si="106"/>
        <v>81889.789645473342</v>
      </c>
      <c r="BW72" s="205">
        <f t="shared" si="106"/>
        <v>84491.323132112127</v>
      </c>
      <c r="BX72" s="205">
        <f t="shared" si="106"/>
        <v>87092.856618750913</v>
      </c>
      <c r="BY72" s="205">
        <f t="shared" si="106"/>
        <v>89694.390105389699</v>
      </c>
      <c r="BZ72" s="205">
        <f t="shared" si="106"/>
        <v>92295.923592028485</v>
      </c>
      <c r="CA72" s="205">
        <f t="shared" si="106"/>
        <v>94897.457078667285</v>
      </c>
      <c r="CB72" s="205">
        <f t="shared" si="106"/>
        <v>97498.99056530607</v>
      </c>
      <c r="CC72" s="205">
        <f t="shared" si="106"/>
        <v>100100.52405194487</v>
      </c>
      <c r="CD72" s="205">
        <f t="shared" si="106"/>
        <v>102702.05753858366</v>
      </c>
      <c r="CE72" s="205">
        <f t="shared" si="106"/>
        <v>105303.59102522244</v>
      </c>
      <c r="CF72" s="205">
        <f t="shared" si="106"/>
        <v>107905.12451186124</v>
      </c>
      <c r="CG72" s="205">
        <f t="shared" si="106"/>
        <v>110506.6579985</v>
      </c>
      <c r="CH72" s="205">
        <f t="shared" si="106"/>
        <v>113108.19148513881</v>
      </c>
      <c r="CI72" s="205">
        <f t="shared" si="106"/>
        <v>115709.7249717776</v>
      </c>
      <c r="CJ72" s="205">
        <f t="shared" si="106"/>
        <v>118311.25845841639</v>
      </c>
      <c r="CK72" s="205">
        <f t="shared" si="106"/>
        <v>120912.79194505517</v>
      </c>
      <c r="CL72" s="205">
        <f t="shared" si="106"/>
        <v>123514.32543169396</v>
      </c>
      <c r="CM72" s="205">
        <f t="shared" si="106"/>
        <v>126115.85891833276</v>
      </c>
      <c r="CN72" s="205">
        <f t="shared" si="106"/>
        <v>128717.39240497154</v>
      </c>
      <c r="CO72" s="205">
        <f t="shared" si="106"/>
        <v>131318.92589161033</v>
      </c>
      <c r="CP72" s="205">
        <f t="shared" si="106"/>
        <v>133920.45937824913</v>
      </c>
      <c r="CQ72" s="205">
        <f t="shared" si="106"/>
        <v>136521.9928648879</v>
      </c>
      <c r="CR72" s="205">
        <f t="shared" si="106"/>
        <v>131259.77105543553</v>
      </c>
      <c r="CS72" s="205">
        <f t="shared" si="106"/>
        <v>118133.79394989196</v>
      </c>
      <c r="CT72" s="205">
        <f t="shared" si="106"/>
        <v>105007.81684434843</v>
      </c>
      <c r="CU72" s="205">
        <f t="shared" si="106"/>
        <v>91881.839738804876</v>
      </c>
      <c r="CV72" s="205">
        <f t="shared" si="106"/>
        <v>78755.86263326132</v>
      </c>
      <c r="CW72" s="205">
        <f t="shared" si="106"/>
        <v>65629.885527717764</v>
      </c>
      <c r="CX72" s="205">
        <f t="shared" si="106"/>
        <v>52503.908422174216</v>
      </c>
      <c r="CY72" s="205">
        <f t="shared" si="106"/>
        <v>39377.93131663066</v>
      </c>
      <c r="CZ72" s="205">
        <f t="shared" si="106"/>
        <v>26251.954211087108</v>
      </c>
      <c r="DA72" s="205">
        <f t="shared" si="106"/>
        <v>13125.977105543552</v>
      </c>
    </row>
    <row r="73" spans="1:105">
      <c r="A73" s="202" t="str">
        <f>Income!A89</f>
        <v>Food Poverty line</v>
      </c>
    </row>
    <row r="74" spans="1:105">
      <c r="A74" s="202" t="str">
        <f>Income!A90</f>
        <v>Lower Bound Poverty line</v>
      </c>
    </row>
    <row r="96" spans="4:15"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  <c r="O96" s="212"/>
    </row>
    <row r="97" spans="1:31">
      <c r="C97" s="211"/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13"/>
    </row>
    <row r="98" spans="1:31">
      <c r="C98" s="211"/>
      <c r="D98" s="213"/>
      <c r="E98" s="213"/>
      <c r="F98" s="213"/>
      <c r="G98" s="213"/>
      <c r="H98" s="213"/>
      <c r="I98" s="213"/>
      <c r="J98" s="213"/>
      <c r="K98" s="213"/>
      <c r="L98" s="213"/>
      <c r="M98" s="213"/>
      <c r="N98" s="213"/>
      <c r="O98" s="213"/>
    </row>
    <row r="99" spans="1:31">
      <c r="C99" s="211"/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3"/>
    </row>
    <row r="100" spans="1:31">
      <c r="C100" s="211"/>
      <c r="D100" s="213"/>
      <c r="E100" s="213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</row>
    <row r="101" spans="1:31">
      <c r="C101" s="211"/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</row>
    <row r="107" spans="1:31">
      <c r="B107" s="215">
        <f>A23</f>
        <v>0</v>
      </c>
      <c r="C107" s="215">
        <f>B23</f>
        <v>40</v>
      </c>
      <c r="D107" s="215">
        <f>C23</f>
        <v>79</v>
      </c>
      <c r="E107" s="215">
        <f>D23</f>
        <v>100</v>
      </c>
      <c r="F107" s="215">
        <f>E23</f>
        <v>100</v>
      </c>
      <c r="AD107" s="202" t="s">
        <v>117</v>
      </c>
    </row>
    <row r="108" spans="1:31">
      <c r="A108" s="214" t="str">
        <f t="shared" ref="A108:A120" si="107">A42</f>
        <v>Own crops Consumed</v>
      </c>
      <c r="B108" s="213">
        <v>0</v>
      </c>
      <c r="C108" s="213">
        <f>AD42</f>
        <v>22.586018473045073</v>
      </c>
      <c r="D108" s="213">
        <f>BU42</f>
        <v>-11.853102912045566</v>
      </c>
      <c r="E108" s="213">
        <f>CR42</f>
        <v>-286.74178341944634</v>
      </c>
      <c r="F108" s="213">
        <f xml:space="preserve"> 0.0529*F107^2 - 5.8907*F107 + 166.43</f>
        <v>106.36000000000007</v>
      </c>
    </row>
    <row r="109" spans="1:31">
      <c r="A109" s="214" t="str">
        <f t="shared" si="107"/>
        <v>Own crops sold</v>
      </c>
      <c r="B109" s="213">
        <f xml:space="preserve"> 0.2249*B107^2 + 18.644*B107 + 340.26</f>
        <v>340.26</v>
      </c>
      <c r="C109" s="213">
        <f>AD43</f>
        <v>5.4293012123617865</v>
      </c>
      <c r="D109" s="213">
        <f t="shared" ref="D109:D120" si="108">BU43</f>
        <v>-0.5634348712992856</v>
      </c>
      <c r="E109" s="213">
        <f t="shared" ref="E109:E120" si="109">CR43</f>
        <v>-20.927580933973463</v>
      </c>
      <c r="F109" s="213">
        <f xml:space="preserve"> 0.2249*F107^2 - 18.644*F107 + 340.26</f>
        <v>724.86000000000013</v>
      </c>
      <c r="AD109" s="218" t="s">
        <v>120</v>
      </c>
      <c r="AE109" s="202">
        <f>(0.0000001/7+0.00002/6+0.0039/5+0.2271/4+1.2857/3+16.311/2+13342)</f>
        <v>13350.641625014287</v>
      </c>
    </row>
    <row r="110" spans="1:31">
      <c r="A110" s="214" t="str">
        <f t="shared" si="107"/>
        <v>Animal products consumed</v>
      </c>
      <c r="B110" s="213">
        <v>0</v>
      </c>
      <c r="C110" s="213">
        <f t="shared" ref="C110:C120" si="110">AD44</f>
        <v>23.221920652303574</v>
      </c>
      <c r="D110" s="213">
        <f t="shared" si="108"/>
        <v>22.768329124349808</v>
      </c>
      <c r="E110" s="213">
        <f t="shared" si="109"/>
        <v>-227.56753431244513</v>
      </c>
      <c r="F110" s="213">
        <f xml:space="preserve"> -0.005*F107^2 + 0.7378*F107 - 15.349</f>
        <v>8.4310000000000009</v>
      </c>
      <c r="AD110" s="218" t="s">
        <v>118</v>
      </c>
      <c r="AE110" s="202">
        <f>(0.5*(DA72-F72))</f>
        <v>-21280.482860135548</v>
      </c>
    </row>
    <row r="111" spans="1:31">
      <c r="A111" s="214" t="str">
        <f t="shared" si="107"/>
        <v>Animal products sold</v>
      </c>
      <c r="B111" s="213">
        <v>0</v>
      </c>
      <c r="C111" s="213">
        <f t="shared" si="110"/>
        <v>0</v>
      </c>
      <c r="D111" s="213">
        <f t="shared" si="108"/>
        <v>0</v>
      </c>
      <c r="E111" s="213">
        <f t="shared" si="109"/>
        <v>0</v>
      </c>
      <c r="F111" s="213">
        <v>0</v>
      </c>
      <c r="AD111" s="218" t="s">
        <v>119</v>
      </c>
      <c r="AE111" s="213">
        <f>AE109/AE110</f>
        <v>-0.62736554018818202</v>
      </c>
    </row>
    <row r="112" spans="1:31">
      <c r="A112" s="214" t="str">
        <f t="shared" si="107"/>
        <v>Animals sold</v>
      </c>
      <c r="B112" s="213">
        <v>0</v>
      </c>
      <c r="C112" s="213">
        <f t="shared" si="110"/>
        <v>134.79644389312017</v>
      </c>
      <c r="D112" s="213">
        <f t="shared" si="108"/>
        <v>238.75552671307233</v>
      </c>
      <c r="E112" s="213">
        <f t="shared" si="109"/>
        <v>-2076.6599542173667</v>
      </c>
      <c r="F112" s="213">
        <v>0</v>
      </c>
    </row>
    <row r="113" spans="1:31">
      <c r="A113" s="214" t="str">
        <f t="shared" si="107"/>
        <v>Wild foods consumed and sold</v>
      </c>
      <c r="B113" s="213">
        <v>0</v>
      </c>
      <c r="C113" s="213">
        <f t="shared" si="110"/>
        <v>-7.1953694760516473E-16</v>
      </c>
      <c r="D113" s="213">
        <f t="shared" si="108"/>
        <v>2.3543143070395396</v>
      </c>
      <c r="E113" s="213">
        <f t="shared" si="109"/>
        <v>-19.568326707861097</v>
      </c>
      <c r="F113" s="213">
        <f xml:space="preserve"> 0.0898*F107^2 - 11.826*F107 + 336.79</f>
        <v>52.189999999999884</v>
      </c>
      <c r="AD113" s="218" t="s">
        <v>121</v>
      </c>
      <c r="AE113" s="202">
        <v>0.57299999999999995</v>
      </c>
    </row>
    <row r="114" spans="1:31">
      <c r="A114" s="214" t="str">
        <f t="shared" si="107"/>
        <v>Labour - casual</v>
      </c>
      <c r="B114" s="213">
        <v>0</v>
      </c>
      <c r="C114" s="213">
        <f t="shared" si="110"/>
        <v>-20.219466583968035</v>
      </c>
      <c r="D114" s="213">
        <f t="shared" si="108"/>
        <v>-53.244595337782485</v>
      </c>
      <c r="E114" s="213">
        <f t="shared" si="109"/>
        <v>0</v>
      </c>
      <c r="F114" s="213">
        <v>0</v>
      </c>
      <c r="AD114" s="218" t="s">
        <v>122</v>
      </c>
      <c r="AE114" s="202">
        <v>0.51500000000000001</v>
      </c>
    </row>
    <row r="115" spans="1:31">
      <c r="A115" s="214" t="str">
        <f t="shared" si="107"/>
        <v>Labour - formal emp</v>
      </c>
      <c r="B115" s="213">
        <v>0</v>
      </c>
      <c r="C115" s="213">
        <f t="shared" si="110"/>
        <v>0</v>
      </c>
      <c r="D115" s="213">
        <f t="shared" si="108"/>
        <v>2488.1283916576449</v>
      </c>
      <c r="E115" s="213">
        <f t="shared" si="109"/>
        <v>-7108.9382618789859</v>
      </c>
      <c r="F115" s="213">
        <f xml:space="preserve"> -2.582*F107^2 + 352.49*F107 - 6757.3</f>
        <v>2671.7</v>
      </c>
    </row>
    <row r="116" spans="1:31">
      <c r="A116" s="214" t="str">
        <f t="shared" si="107"/>
        <v>Self - employment</v>
      </c>
      <c r="B116" s="213">
        <v>0</v>
      </c>
      <c r="C116" s="213">
        <f t="shared" si="110"/>
        <v>0</v>
      </c>
      <c r="D116" s="213">
        <f t="shared" si="108"/>
        <v>0</v>
      </c>
      <c r="E116" s="213">
        <f t="shared" si="109"/>
        <v>0</v>
      </c>
      <c r="F116" s="213">
        <f xml:space="preserve"> 0.025*F107^2 - 2.8902*F107 + 868.55</f>
        <v>829.53</v>
      </c>
    </row>
    <row r="117" spans="1:31">
      <c r="A117" s="214" t="str">
        <f t="shared" si="107"/>
        <v>Small business/petty trading</v>
      </c>
      <c r="B117" s="213">
        <v>0</v>
      </c>
      <c r="C117" s="213">
        <f t="shared" si="110"/>
        <v>104.84167858353794</v>
      </c>
      <c r="D117" s="213">
        <f t="shared" si="108"/>
        <v>-138.04154346832496</v>
      </c>
      <c r="E117" s="213">
        <f t="shared" si="109"/>
        <v>0</v>
      </c>
      <c r="F117" s="213">
        <f xml:space="preserve"> 1.6289*F107^2 - 121.84*F107 + 2098.5</f>
        <v>6203.5</v>
      </c>
    </row>
    <row r="118" spans="1:31">
      <c r="A118" s="214" t="str">
        <f t="shared" si="107"/>
        <v>Food transfer - official</v>
      </c>
      <c r="B118" s="213">
        <f xml:space="preserve"> 0</f>
        <v>0</v>
      </c>
      <c r="C118" s="213">
        <f t="shared" si="110"/>
        <v>-5.7562955808413179E-15</v>
      </c>
      <c r="D118" s="213">
        <f t="shared" si="108"/>
        <v>-5.804287214248105</v>
      </c>
      <c r="E118" s="213">
        <f t="shared" si="109"/>
        <v>-176.89256271994208</v>
      </c>
      <c r="F118" s="213">
        <f>0.0411*F107^2 - 5.0851*F107 + 112.24</f>
        <v>14.730000000000004</v>
      </c>
    </row>
    <row r="119" spans="1:31">
      <c r="A119" s="214" t="str">
        <f t="shared" si="107"/>
        <v>Cash transfer - official</v>
      </c>
      <c r="B119" s="213">
        <v>0</v>
      </c>
      <c r="C119" s="213">
        <f t="shared" si="110"/>
        <v>5.1671970159028504</v>
      </c>
      <c r="D119" s="213">
        <f t="shared" si="108"/>
        <v>59.033888640382912</v>
      </c>
      <c r="E119" s="213">
        <f t="shared" si="109"/>
        <v>-3208.6811013535321</v>
      </c>
      <c r="F119" s="213">
        <f xml:space="preserve"> -0.4727*F107^2 + 44.988*F107 - 899.63</f>
        <v>-1127.83</v>
      </c>
    </row>
    <row r="120" spans="1:31">
      <c r="A120" s="214" t="str">
        <f t="shared" si="107"/>
        <v>Cash transfer - gifts</v>
      </c>
      <c r="B120" s="213">
        <v>0</v>
      </c>
      <c r="C120" s="213">
        <f t="shared" si="110"/>
        <v>0</v>
      </c>
      <c r="D120" s="213">
        <f t="shared" si="108"/>
        <v>0</v>
      </c>
      <c r="E120" s="213">
        <f t="shared" si="109"/>
        <v>0</v>
      </c>
      <c r="F120" s="213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2016-08-10T07:43:24Z</dcterms:modified>
  <cp:category/>
</cp:coreProperties>
</file>